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isworldwide-my.sharepoint.com/personal/ton_maciel_iris-worldwide_com/Documents/Boticário/OOH Planner/Bases com peso/"/>
    </mc:Choice>
  </mc:AlternateContent>
  <xr:revisionPtr revIDLastSave="168" documentId="11_852533D67B9B2D24FD14975967A0CB440EF7479E" xr6:coauthVersionLast="47" xr6:coauthVersionMax="47" xr10:uidLastSave="{9D06BFD5-B394-4B8C-A0BE-E6197D397767}"/>
  <bookViews>
    <workbookView xWindow="-108" yWindow="-108" windowWidth="23256" windowHeight="12456" tabRatio="872" firstSheet="2" activeTab="2" xr2:uid="{00000000-000D-0000-FFFF-FFFF00000000}"/>
  </bookViews>
  <sheets>
    <sheet name="BELEM" sheetId="72" state="hidden" r:id="rId1"/>
    <sheet name="Pesos" sheetId="101" state="hidden" r:id="rId2"/>
    <sheet name="BELEM PLAN" sheetId="39" r:id="rId3"/>
    <sheet name="BOA VISTA" sheetId="73" state="hidden" r:id="rId4"/>
    <sheet name="BOA VISTA PLAN" sheetId="44" r:id="rId5"/>
    <sheet name="MACAPA" sheetId="74" state="hidden" r:id="rId6"/>
    <sheet name="MACAPA PLAN" sheetId="45" r:id="rId7"/>
    <sheet name="MANAUS" sheetId="75" state="hidden" r:id="rId8"/>
    <sheet name="MANAUS PLAN" sheetId="46" r:id="rId9"/>
    <sheet name="PALMAS" sheetId="76" state="hidden" r:id="rId10"/>
    <sheet name="PALMAS PLAN" sheetId="47" r:id="rId11"/>
    <sheet name="PORTO VELHO" sheetId="77" state="hidden" r:id="rId12"/>
    <sheet name="PORTO VELHO PLAN" sheetId="48" r:id="rId13"/>
    <sheet name="RIO BRANCO" sheetId="78" state="hidden" r:id="rId14"/>
    <sheet name="RIO BRANCO PLAN" sheetId="49" r:id="rId15"/>
    <sheet name="VITORIA" sheetId="79" state="hidden" r:id="rId16"/>
    <sheet name="VITORIA PLAN" sheetId="63" r:id="rId17"/>
    <sheet name="SAO PAULO" sheetId="80" state="hidden" r:id="rId18"/>
    <sheet name="SAO PAULO PLAN" sheetId="64" r:id="rId19"/>
    <sheet name="BELO HORIZONTE" sheetId="81" state="hidden" r:id="rId20"/>
    <sheet name="B.HORIZONTE PLAN" sheetId="65" r:id="rId21"/>
    <sheet name="RIO DE JANEIRO" sheetId="82" state="hidden" r:id="rId22"/>
    <sheet name="RIO PLAN" sheetId="70" r:id="rId23"/>
    <sheet name="RIO DE JANEIRO_SEMPRATA" sheetId="83" state="hidden" r:id="rId24"/>
    <sheet name="BRASILIA" sheetId="84" state="hidden" r:id="rId25"/>
    <sheet name="BRASILIA PLAN" sheetId="66" r:id="rId26"/>
    <sheet name="CAMPO GRANDE" sheetId="85" state="hidden" r:id="rId27"/>
    <sheet name="C.GRANDE PLAN" sheetId="67" r:id="rId28"/>
    <sheet name="GOIANIA" sheetId="86" state="hidden" r:id="rId29"/>
    <sheet name="GOIANIA PLAN" sheetId="68" r:id="rId30"/>
    <sheet name="CUIABA" sheetId="87" state="hidden" r:id="rId31"/>
    <sheet name="CUIABÁ PLAN" sheetId="69" r:id="rId32"/>
    <sheet name="FLORIANOPOLIS" sheetId="88" state="hidden" r:id="rId33"/>
    <sheet name="FLORIPA PLAN" sheetId="59" r:id="rId34"/>
    <sheet name="CURITIBA " sheetId="89" state="hidden" r:id="rId35"/>
    <sheet name="CURITIBA PLAN" sheetId="60" r:id="rId36"/>
    <sheet name="PORTO ALEGRE" sheetId="90" state="hidden" r:id="rId37"/>
    <sheet name="POA PLAN" sheetId="61" r:id="rId38"/>
    <sheet name="ARACAJU" sheetId="91" state="hidden" r:id="rId39"/>
    <sheet name="ARACAJU PLAN" sheetId="50" r:id="rId40"/>
    <sheet name="MACEIO " sheetId="92" state="hidden" r:id="rId41"/>
    <sheet name="MACEIO PLAN" sheetId="51" r:id="rId42"/>
    <sheet name="NATAL" sheetId="93" state="hidden" r:id="rId43"/>
    <sheet name="NATAL PLAN" sheetId="52" r:id="rId44"/>
    <sheet name="TERESINA" sheetId="94" state="hidden" r:id="rId45"/>
    <sheet name="TERESINA PLAN" sheetId="53" r:id="rId46"/>
    <sheet name="SAO LUIS" sheetId="95" state="hidden" r:id="rId47"/>
    <sheet name="SAO LUIS PLAN" sheetId="54" r:id="rId48"/>
    <sheet name="JOAO PESSOA" sheetId="96" state="hidden" r:id="rId49"/>
    <sheet name="JOAO PESSOA PLAN" sheetId="55" r:id="rId50"/>
    <sheet name="RECIFE" sheetId="97" state="hidden" r:id="rId51"/>
    <sheet name="RECIFE PLAN" sheetId="56" r:id="rId52"/>
    <sheet name="FORTALEZA" sheetId="98" state="hidden" r:id="rId53"/>
    <sheet name="FORTALEZA PLAN" sheetId="57" r:id="rId54"/>
    <sheet name="SALVADOR" sheetId="99" state="hidden" r:id="rId55"/>
    <sheet name="SALVADOR PLAN" sheetId="100" r:id="rId56"/>
  </sheets>
  <calcPr calcId="191029"/>
  <fileRecoveryPr dataExtract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00" l="1"/>
  <c r="H55" i="100"/>
  <c r="H54" i="100"/>
  <c r="H53" i="100"/>
  <c r="H52" i="100"/>
  <c r="H51" i="100"/>
  <c r="H50" i="100"/>
  <c r="H49" i="100"/>
  <c r="H48" i="100"/>
  <c r="H47" i="100"/>
  <c r="H46" i="100"/>
  <c r="H43" i="100"/>
  <c r="H42" i="100"/>
  <c r="H41" i="100"/>
  <c r="H40" i="100"/>
  <c r="H39" i="100"/>
  <c r="H38" i="100"/>
  <c r="H37" i="100"/>
  <c r="H36" i="100"/>
  <c r="H35" i="100"/>
  <c r="H34" i="100"/>
  <c r="H33" i="100"/>
  <c r="H30" i="100"/>
  <c r="H29" i="100"/>
  <c r="H28" i="100"/>
  <c r="H27" i="100"/>
  <c r="H26" i="100"/>
  <c r="H25" i="100"/>
  <c r="H24" i="100"/>
  <c r="H23" i="100"/>
  <c r="H22" i="100"/>
  <c r="H21" i="100"/>
  <c r="H20" i="100"/>
  <c r="H19" i="100"/>
  <c r="H18" i="100"/>
  <c r="H15" i="100"/>
  <c r="H14" i="100"/>
  <c r="H13" i="100"/>
  <c r="H12" i="100"/>
  <c r="H11" i="100"/>
  <c r="H10" i="100"/>
  <c r="H9" i="100"/>
  <c r="H8" i="100"/>
  <c r="H7" i="100"/>
  <c r="H6" i="100"/>
  <c r="H5" i="100"/>
  <c r="H4" i="100"/>
  <c r="H3" i="100"/>
  <c r="H2" i="100"/>
  <c r="H38" i="57"/>
  <c r="H37" i="57"/>
  <c r="H36" i="57"/>
  <c r="H35" i="57"/>
  <c r="H34" i="57"/>
  <c r="H33" i="57"/>
  <c r="H32" i="57"/>
  <c r="H30" i="57"/>
  <c r="H29" i="57"/>
  <c r="H28" i="57"/>
  <c r="H27" i="57"/>
  <c r="H26" i="57"/>
  <c r="H25" i="57"/>
  <c r="H23" i="57"/>
  <c r="H22" i="57"/>
  <c r="H21" i="57"/>
  <c r="H20" i="57"/>
  <c r="H19" i="57"/>
  <c r="H18" i="57"/>
  <c r="H17" i="57"/>
  <c r="H15" i="57"/>
  <c r="H14" i="57"/>
  <c r="H13" i="57"/>
  <c r="H12" i="57"/>
  <c r="H11" i="57"/>
  <c r="H10" i="57"/>
  <c r="H8" i="57"/>
  <c r="H7" i="57"/>
  <c r="H6" i="57"/>
  <c r="H5" i="57"/>
  <c r="H4" i="57"/>
  <c r="H3" i="57"/>
  <c r="H2" i="57"/>
  <c r="H50" i="56"/>
  <c r="H49" i="56"/>
  <c r="H48" i="56"/>
  <c r="H47" i="56"/>
  <c r="H46" i="56"/>
  <c r="H45" i="56"/>
  <c r="H44" i="56"/>
  <c r="H43" i="56"/>
  <c r="H42" i="56"/>
  <c r="H40" i="56"/>
  <c r="H39" i="56"/>
  <c r="H38" i="56"/>
  <c r="H37" i="56"/>
  <c r="H36" i="56"/>
  <c r="H35" i="56"/>
  <c r="H34" i="56"/>
  <c r="H33" i="56"/>
  <c r="H32" i="56"/>
  <c r="H31" i="56"/>
  <c r="H30" i="56"/>
  <c r="H28" i="56"/>
  <c r="H27" i="56"/>
  <c r="H26" i="56"/>
  <c r="H25" i="56"/>
  <c r="H24" i="56"/>
  <c r="H23" i="56"/>
  <c r="H22" i="56"/>
  <c r="H20" i="56"/>
  <c r="H19" i="56"/>
  <c r="H18" i="56"/>
  <c r="H17" i="56"/>
  <c r="H16" i="56"/>
  <c r="H15" i="56"/>
  <c r="H14" i="56"/>
  <c r="H13" i="56"/>
  <c r="H12" i="56"/>
  <c r="H11" i="56"/>
  <c r="H10" i="56"/>
  <c r="H8" i="56"/>
  <c r="H7" i="56"/>
  <c r="H6" i="56"/>
  <c r="H5" i="56"/>
  <c r="H4" i="56"/>
  <c r="H3" i="56"/>
  <c r="H2" i="56"/>
  <c r="H52" i="55"/>
  <c r="H51" i="55"/>
  <c r="H50" i="55"/>
  <c r="H49" i="55"/>
  <c r="H48" i="55"/>
  <c r="H47" i="55"/>
  <c r="H46" i="55"/>
  <c r="H45" i="55"/>
  <c r="H43" i="55"/>
  <c r="H42" i="55"/>
  <c r="H41" i="55"/>
  <c r="H40" i="55"/>
  <c r="H39" i="55"/>
  <c r="H38" i="55"/>
  <c r="H37" i="55"/>
  <c r="H36" i="55"/>
  <c r="H35" i="55"/>
  <c r="H33" i="55"/>
  <c r="H32" i="55"/>
  <c r="H31" i="55"/>
  <c r="H30" i="55"/>
  <c r="H29" i="55"/>
  <c r="H28" i="55"/>
  <c r="H27" i="55"/>
  <c r="H26" i="55"/>
  <c r="H25" i="55"/>
  <c r="H23" i="55"/>
  <c r="H22" i="55"/>
  <c r="H21" i="55"/>
  <c r="H20" i="55"/>
  <c r="H19" i="55"/>
  <c r="H18" i="55"/>
  <c r="H17" i="55"/>
  <c r="H16" i="55"/>
  <c r="H15" i="55"/>
  <c r="H14" i="55"/>
  <c r="H12" i="55"/>
  <c r="H11" i="55"/>
  <c r="H10" i="55"/>
  <c r="H9" i="55"/>
  <c r="H8" i="55"/>
  <c r="H7" i="55"/>
  <c r="H6" i="55"/>
  <c r="H5" i="55"/>
  <c r="H4" i="55"/>
  <c r="H3" i="55"/>
  <c r="H2" i="55"/>
  <c r="H39" i="54"/>
  <c r="H38" i="54"/>
  <c r="H37" i="54"/>
  <c r="H35" i="54"/>
  <c r="H34" i="54"/>
  <c r="H33" i="54"/>
  <c r="H32" i="54"/>
  <c r="H31" i="54"/>
  <c r="H30" i="54"/>
  <c r="H29" i="54"/>
  <c r="H27" i="54"/>
  <c r="H26" i="54"/>
  <c r="H25" i="54"/>
  <c r="H24" i="54"/>
  <c r="H23" i="54"/>
  <c r="H22" i="54"/>
  <c r="H21" i="54"/>
  <c r="H20" i="54"/>
  <c r="H18" i="54"/>
  <c r="H17" i="54"/>
  <c r="H16" i="54"/>
  <c r="H15" i="54"/>
  <c r="H14" i="54"/>
  <c r="H13" i="54"/>
  <c r="H12" i="54"/>
  <c r="H11" i="54"/>
  <c r="H9" i="54"/>
  <c r="H8" i="54"/>
  <c r="H7" i="54"/>
  <c r="H6" i="54"/>
  <c r="H5" i="54"/>
  <c r="H4" i="54"/>
  <c r="H3" i="54"/>
  <c r="H2" i="54"/>
  <c r="H41" i="53"/>
  <c r="H40" i="53"/>
  <c r="H39" i="53"/>
  <c r="H38" i="53"/>
  <c r="H37" i="53"/>
  <c r="H36" i="53"/>
  <c r="H35" i="53"/>
  <c r="H34" i="53"/>
  <c r="H32" i="53"/>
  <c r="H31" i="53"/>
  <c r="H30" i="53"/>
  <c r="H29" i="53"/>
  <c r="H28" i="53"/>
  <c r="H27" i="53"/>
  <c r="H26" i="53"/>
  <c r="H25" i="53"/>
  <c r="H23" i="53"/>
  <c r="H22" i="53"/>
  <c r="H21" i="53"/>
  <c r="H20" i="53"/>
  <c r="H19" i="53"/>
  <c r="H18" i="53"/>
  <c r="H16" i="53"/>
  <c r="H15" i="53"/>
  <c r="H14" i="53"/>
  <c r="H13" i="53"/>
  <c r="H12" i="53"/>
  <c r="H11" i="53"/>
  <c r="H10" i="53"/>
  <c r="H9" i="53"/>
  <c r="H7" i="53"/>
  <c r="H6" i="53"/>
  <c r="H5" i="53"/>
  <c r="H4" i="53"/>
  <c r="H3" i="53"/>
  <c r="H2" i="53"/>
  <c r="H49" i="52"/>
  <c r="H48" i="52"/>
  <c r="H47" i="52"/>
  <c r="H46" i="52"/>
  <c r="H45" i="52"/>
  <c r="H44" i="52"/>
  <c r="H43" i="52"/>
  <c r="H42" i="52"/>
  <c r="H40" i="52"/>
  <c r="H39" i="52"/>
  <c r="H38" i="52"/>
  <c r="H37" i="52"/>
  <c r="H36" i="52"/>
  <c r="H35" i="52"/>
  <c r="H34" i="52"/>
  <c r="H33" i="52"/>
  <c r="H30" i="52"/>
  <c r="H29" i="52"/>
  <c r="H27" i="52"/>
  <c r="H26" i="52"/>
  <c r="H24" i="52"/>
  <c r="H23" i="52"/>
  <c r="H21" i="52"/>
  <c r="H20" i="52"/>
  <c r="H19" i="52"/>
  <c r="H18" i="52"/>
  <c r="H17" i="52"/>
  <c r="H16" i="52"/>
  <c r="H15" i="52"/>
  <c r="H14" i="52"/>
  <c r="H13" i="52"/>
  <c r="H12" i="52"/>
  <c r="H10" i="52"/>
  <c r="H9" i="52"/>
  <c r="H8" i="52"/>
  <c r="H7" i="52"/>
  <c r="H6" i="52"/>
  <c r="H5" i="52"/>
  <c r="H4" i="52"/>
  <c r="H3" i="52"/>
  <c r="H2" i="52"/>
  <c r="H45" i="51"/>
  <c r="H44" i="51"/>
  <c r="H43" i="51"/>
  <c r="H42" i="51"/>
  <c r="H40" i="51"/>
  <c r="H39" i="51"/>
  <c r="H38" i="51"/>
  <c r="H37" i="51"/>
  <c r="H36" i="51"/>
  <c r="H35" i="51"/>
  <c r="H34" i="51"/>
  <c r="H33" i="51"/>
  <c r="H32" i="51"/>
  <c r="H30" i="51"/>
  <c r="H29" i="51"/>
  <c r="H28" i="51"/>
  <c r="H27" i="51"/>
  <c r="H26" i="51"/>
  <c r="H25" i="51"/>
  <c r="H24" i="51"/>
  <c r="H23" i="51"/>
  <c r="H21" i="51"/>
  <c r="H20" i="51"/>
  <c r="H19" i="51"/>
  <c r="H18" i="51"/>
  <c r="H17" i="51"/>
  <c r="H16" i="51"/>
  <c r="H15" i="51"/>
  <c r="H14" i="51"/>
  <c r="H13" i="51"/>
  <c r="H11" i="51"/>
  <c r="H10" i="51"/>
  <c r="H9" i="51"/>
  <c r="H8" i="51"/>
  <c r="H7" i="51"/>
  <c r="H6" i="51"/>
  <c r="H5" i="51"/>
  <c r="H4" i="51"/>
  <c r="H3" i="51"/>
  <c r="H2" i="51"/>
  <c r="H35" i="50"/>
  <c r="H34" i="50"/>
  <c r="H33" i="50"/>
  <c r="H32" i="50"/>
  <c r="H30" i="50"/>
  <c r="H29" i="50"/>
  <c r="H28" i="50"/>
  <c r="H27" i="50"/>
  <c r="H26" i="50"/>
  <c r="H25" i="50"/>
  <c r="H23" i="50"/>
  <c r="H22" i="50"/>
  <c r="H21" i="50"/>
  <c r="H20" i="50"/>
  <c r="H19" i="50"/>
  <c r="H18" i="50"/>
  <c r="H16" i="50"/>
  <c r="H15" i="50"/>
  <c r="H14" i="50"/>
  <c r="H13" i="50"/>
  <c r="H12" i="50"/>
  <c r="H11" i="50"/>
  <c r="H10" i="50"/>
  <c r="H8" i="50"/>
  <c r="H7" i="50"/>
  <c r="H6" i="50"/>
  <c r="H5" i="50"/>
  <c r="H4" i="50"/>
  <c r="H3" i="50"/>
  <c r="H2" i="50"/>
  <c r="H50" i="61"/>
  <c r="H49" i="61"/>
  <c r="H48" i="61"/>
  <c r="H47" i="61"/>
  <c r="H46" i="61"/>
  <c r="H45" i="61"/>
  <c r="H43" i="61"/>
  <c r="H42" i="61"/>
  <c r="H41" i="61"/>
  <c r="H40" i="61"/>
  <c r="H39" i="61"/>
  <c r="H38" i="61"/>
  <c r="H36" i="61"/>
  <c r="H35" i="61"/>
  <c r="H34" i="61"/>
  <c r="H33" i="61"/>
  <c r="H32" i="61"/>
  <c r="H31" i="61"/>
  <c r="H30" i="61"/>
  <c r="H29" i="61"/>
  <c r="H28" i="61"/>
  <c r="H26" i="61"/>
  <c r="H25" i="61"/>
  <c r="H24" i="61"/>
  <c r="H23" i="61"/>
  <c r="H22" i="61"/>
  <c r="H21" i="61"/>
  <c r="H20" i="61"/>
  <c r="H19" i="61"/>
  <c r="H18" i="61"/>
  <c r="H17" i="61"/>
  <c r="H16" i="61"/>
  <c r="H15" i="61"/>
  <c r="H13" i="61"/>
  <c r="H12" i="61"/>
  <c r="H11" i="61"/>
  <c r="H10" i="61"/>
  <c r="H9" i="61"/>
  <c r="H8" i="61"/>
  <c r="H7" i="61"/>
  <c r="H6" i="61"/>
  <c r="H5" i="61"/>
  <c r="H4" i="61"/>
  <c r="H3" i="61"/>
  <c r="H2" i="61"/>
  <c r="H24" i="60"/>
  <c r="H23" i="60"/>
  <c r="H22" i="60"/>
  <c r="H21" i="60"/>
  <c r="H20" i="60"/>
  <c r="H18" i="60"/>
  <c r="H17" i="60"/>
  <c r="H16" i="60"/>
  <c r="H15" i="60"/>
  <c r="H14" i="60"/>
  <c r="H13" i="60"/>
  <c r="H12" i="60"/>
  <c r="H10" i="60"/>
  <c r="H9" i="60"/>
  <c r="H8" i="60"/>
  <c r="H7" i="60"/>
  <c r="H6" i="60"/>
  <c r="H5" i="60"/>
  <c r="H4" i="60"/>
  <c r="H3" i="60"/>
  <c r="H2" i="60"/>
  <c r="H41" i="59"/>
  <c r="H40" i="59"/>
  <c r="H39" i="59"/>
  <c r="H38" i="59"/>
  <c r="H37" i="59"/>
  <c r="H35" i="59"/>
  <c r="H34" i="59"/>
  <c r="H33" i="59"/>
  <c r="H32" i="59"/>
  <c r="H31" i="59"/>
  <c r="H30" i="59"/>
  <c r="H29" i="59"/>
  <c r="H28" i="59"/>
  <c r="H26" i="59"/>
  <c r="H25" i="59"/>
  <c r="H24" i="59"/>
  <c r="H23" i="59"/>
  <c r="H22" i="59"/>
  <c r="H21" i="59"/>
  <c r="H20" i="59"/>
  <c r="H18" i="59"/>
  <c r="H17" i="59"/>
  <c r="H16" i="59"/>
  <c r="H15" i="59"/>
  <c r="H14" i="59"/>
  <c r="H13" i="59"/>
  <c r="H12" i="59"/>
  <c r="H11" i="59"/>
  <c r="H9" i="59"/>
  <c r="H8" i="59"/>
  <c r="H7" i="59"/>
  <c r="H6" i="59"/>
  <c r="H5" i="59"/>
  <c r="H4" i="59"/>
  <c r="H3" i="59"/>
  <c r="H2" i="59"/>
  <c r="H63" i="69"/>
  <c r="H62" i="69"/>
  <c r="H61" i="69"/>
  <c r="H60" i="69"/>
  <c r="H59" i="69"/>
  <c r="H58" i="69"/>
  <c r="H57" i="69"/>
  <c r="H56" i="69"/>
  <c r="H55" i="69"/>
  <c r="H54" i="69"/>
  <c r="H52" i="69"/>
  <c r="H51" i="69"/>
  <c r="H50" i="69"/>
  <c r="H49" i="69"/>
  <c r="H48" i="69"/>
  <c r="H47" i="69"/>
  <c r="H46" i="69"/>
  <c r="H45" i="69"/>
  <c r="H44" i="69"/>
  <c r="H43" i="69"/>
  <c r="H42" i="69"/>
  <c r="H40" i="69"/>
  <c r="H39" i="69"/>
  <c r="H38" i="69"/>
  <c r="H37" i="69"/>
  <c r="H36" i="69"/>
  <c r="H35" i="69"/>
  <c r="H34" i="69"/>
  <c r="H33" i="69"/>
  <c r="H32" i="69"/>
  <c r="H31" i="69"/>
  <c r="H30" i="69"/>
  <c r="H29" i="69"/>
  <c r="H28" i="69"/>
  <c r="H26" i="69"/>
  <c r="H25" i="69"/>
  <c r="H24" i="69"/>
  <c r="H23" i="69"/>
  <c r="H22" i="69"/>
  <c r="H21" i="69"/>
  <c r="H20" i="69"/>
  <c r="H19" i="69"/>
  <c r="H18" i="69"/>
  <c r="H17" i="69"/>
  <c r="H16" i="69"/>
  <c r="H14" i="69"/>
  <c r="H13" i="69"/>
  <c r="H12" i="69"/>
  <c r="H11" i="69"/>
  <c r="H10" i="69"/>
  <c r="H9" i="69"/>
  <c r="H8" i="69"/>
  <c r="H7" i="69"/>
  <c r="H6" i="69"/>
  <c r="H5" i="69"/>
  <c r="H4" i="69"/>
  <c r="H3" i="69"/>
  <c r="H2" i="69"/>
  <c r="H60" i="68"/>
  <c r="H59" i="68"/>
  <c r="H58" i="68"/>
  <c r="H57" i="68"/>
  <c r="H56" i="68"/>
  <c r="H55" i="68"/>
  <c r="H54" i="68"/>
  <c r="H53" i="68"/>
  <c r="H52" i="68"/>
  <c r="H51" i="68"/>
  <c r="H49" i="68"/>
  <c r="H48" i="68"/>
  <c r="H47" i="68"/>
  <c r="H46" i="68"/>
  <c r="H45" i="68"/>
  <c r="H44" i="68"/>
  <c r="H43" i="68"/>
  <c r="H42" i="68"/>
  <c r="H41" i="68"/>
  <c r="H40" i="68"/>
  <c r="H39" i="68"/>
  <c r="H37" i="68"/>
  <c r="H36" i="68"/>
  <c r="H35" i="68"/>
  <c r="H34" i="68"/>
  <c r="H33" i="68"/>
  <c r="H32" i="68"/>
  <c r="H31" i="68"/>
  <c r="H30" i="68"/>
  <c r="H29" i="68"/>
  <c r="H28" i="68"/>
  <c r="H27" i="68"/>
  <c r="H25" i="68"/>
  <c r="H24" i="68"/>
  <c r="H23" i="68"/>
  <c r="H22" i="68"/>
  <c r="H21" i="68"/>
  <c r="H20" i="68"/>
  <c r="H19" i="68"/>
  <c r="H18" i="68"/>
  <c r="H17" i="68"/>
  <c r="H16" i="68"/>
  <c r="H15" i="68"/>
  <c r="H13" i="68"/>
  <c r="H12" i="68"/>
  <c r="H11" i="68"/>
  <c r="H10" i="68"/>
  <c r="H9" i="68"/>
  <c r="H8" i="68"/>
  <c r="H7" i="68"/>
  <c r="H6" i="68"/>
  <c r="H5" i="68"/>
  <c r="H4" i="68"/>
  <c r="H3" i="68"/>
  <c r="H2" i="68"/>
  <c r="H56" i="67"/>
  <c r="H55" i="67"/>
  <c r="H54" i="67"/>
  <c r="H53" i="67"/>
  <c r="H52" i="67"/>
  <c r="H51" i="67"/>
  <c r="H50" i="67"/>
  <c r="H49" i="67"/>
  <c r="H48" i="67"/>
  <c r="H46" i="67"/>
  <c r="H45" i="67"/>
  <c r="H44" i="67"/>
  <c r="H43" i="67"/>
  <c r="H42" i="67"/>
  <c r="H41" i="67"/>
  <c r="H40" i="67"/>
  <c r="H39" i="67"/>
  <c r="H38" i="67"/>
  <c r="H37" i="67"/>
  <c r="H36" i="67"/>
  <c r="H34" i="67"/>
  <c r="H33" i="67"/>
  <c r="H32" i="67"/>
  <c r="H31" i="67"/>
  <c r="H30" i="67"/>
  <c r="H29" i="67"/>
  <c r="H28" i="67"/>
  <c r="H27" i="67"/>
  <c r="H26" i="67"/>
  <c r="H25" i="67"/>
  <c r="H23" i="67"/>
  <c r="H22" i="67"/>
  <c r="H21" i="67"/>
  <c r="H20" i="67"/>
  <c r="H19" i="67"/>
  <c r="H18" i="67"/>
  <c r="H17" i="67"/>
  <c r="H16" i="67"/>
  <c r="H15" i="67"/>
  <c r="H14" i="67"/>
  <c r="H13" i="67"/>
  <c r="H11" i="67"/>
  <c r="H10" i="67"/>
  <c r="H9" i="67"/>
  <c r="H8" i="67"/>
  <c r="H7" i="67"/>
  <c r="H6" i="67"/>
  <c r="H5" i="67"/>
  <c r="H4" i="67"/>
  <c r="H3" i="67"/>
  <c r="H2" i="67"/>
  <c r="H38" i="66"/>
  <c r="H37" i="66"/>
  <c r="H36" i="66"/>
  <c r="H35" i="66"/>
  <c r="H33" i="66"/>
  <c r="H32" i="66"/>
  <c r="H31" i="66"/>
  <c r="H30" i="66"/>
  <c r="H29" i="66"/>
  <c r="H28" i="66"/>
  <c r="H27" i="66"/>
  <c r="H25" i="66"/>
  <c r="H24" i="66"/>
  <c r="H23" i="66"/>
  <c r="H22" i="66"/>
  <c r="H21" i="66"/>
  <c r="H20" i="66"/>
  <c r="H18" i="66"/>
  <c r="H17" i="66"/>
  <c r="H16" i="66"/>
  <c r="H15" i="66"/>
  <c r="H14" i="66"/>
  <c r="H13" i="66"/>
  <c r="H12" i="66"/>
  <c r="H11" i="66"/>
  <c r="H10" i="66"/>
  <c r="H8" i="66"/>
  <c r="H7" i="66"/>
  <c r="H6" i="66"/>
  <c r="H5" i="66"/>
  <c r="H4" i="66"/>
  <c r="H3" i="66"/>
  <c r="H2" i="66"/>
  <c r="H58" i="70"/>
  <c r="H57" i="70"/>
  <c r="H56" i="70"/>
  <c r="H55" i="70"/>
  <c r="H54" i="70"/>
  <c r="H53" i="70"/>
  <c r="H52" i="70"/>
  <c r="H51" i="70"/>
  <c r="H50" i="70"/>
  <c r="H49" i="70"/>
  <c r="H48" i="70"/>
  <c r="H47" i="70"/>
  <c r="H46" i="70"/>
  <c r="H44" i="70"/>
  <c r="H43" i="70"/>
  <c r="H42" i="70"/>
  <c r="H41" i="70"/>
  <c r="H40" i="70"/>
  <c r="H39" i="70"/>
  <c r="H38" i="70"/>
  <c r="H37" i="70"/>
  <c r="H36" i="70"/>
  <c r="H35" i="70"/>
  <c r="H34" i="70"/>
  <c r="H33" i="70"/>
  <c r="H31" i="70"/>
  <c r="H30" i="70"/>
  <c r="H29" i="70"/>
  <c r="H28" i="70"/>
  <c r="H27" i="70"/>
  <c r="H26" i="70"/>
  <c r="H25" i="70"/>
  <c r="H24" i="70"/>
  <c r="H23" i="70"/>
  <c r="H22" i="70"/>
  <c r="H21" i="70"/>
  <c r="H20" i="70"/>
  <c r="H19" i="70"/>
  <c r="H18" i="70"/>
  <c r="H16" i="70"/>
  <c r="H15" i="70"/>
  <c r="H14" i="70"/>
  <c r="H13" i="70"/>
  <c r="H12" i="70"/>
  <c r="H11" i="70"/>
  <c r="H10" i="70"/>
  <c r="H9" i="70"/>
  <c r="H8" i="70"/>
  <c r="H7" i="70"/>
  <c r="H6" i="70"/>
  <c r="H5" i="70"/>
  <c r="H4" i="70"/>
  <c r="H3" i="70"/>
  <c r="H2" i="70"/>
  <c r="H53" i="65"/>
  <c r="H52" i="65"/>
  <c r="H51" i="65"/>
  <c r="H50" i="65"/>
  <c r="H49" i="65"/>
  <c r="H48" i="65"/>
  <c r="H46" i="65"/>
  <c r="H45" i="65"/>
  <c r="H44" i="65"/>
  <c r="H43" i="65"/>
  <c r="H42" i="65"/>
  <c r="H41" i="65"/>
  <c r="H40" i="65"/>
  <c r="H39" i="65"/>
  <c r="H38" i="65"/>
  <c r="H37" i="65"/>
  <c r="H35" i="65"/>
  <c r="H34" i="65"/>
  <c r="H33" i="65"/>
  <c r="H32" i="65"/>
  <c r="H31" i="65"/>
  <c r="H30" i="65"/>
  <c r="H29" i="65"/>
  <c r="H28" i="65"/>
  <c r="H27" i="65"/>
  <c r="H26" i="65"/>
  <c r="H24" i="65"/>
  <c r="H23" i="65"/>
  <c r="H22" i="65"/>
  <c r="H21" i="65"/>
  <c r="H20" i="65"/>
  <c r="H19" i="65"/>
  <c r="H18" i="65"/>
  <c r="H17" i="65"/>
  <c r="H16" i="65"/>
  <c r="H15" i="65"/>
  <c r="H13" i="65"/>
  <c r="H12" i="65"/>
  <c r="H11" i="65"/>
  <c r="H10" i="65"/>
  <c r="H9" i="65"/>
  <c r="H8" i="65"/>
  <c r="H7" i="65"/>
  <c r="H6" i="65"/>
  <c r="H5" i="65"/>
  <c r="H4" i="65"/>
  <c r="H3" i="65"/>
  <c r="H2" i="65"/>
  <c r="H59" i="64"/>
  <c r="H58" i="64"/>
  <c r="H57" i="64"/>
  <c r="H56" i="64"/>
  <c r="H55" i="64"/>
  <c r="H54" i="64"/>
  <c r="H52" i="64"/>
  <c r="H51" i="64"/>
  <c r="H50" i="64"/>
  <c r="H49" i="64"/>
  <c r="H48" i="64"/>
  <c r="H47" i="64"/>
  <c r="H46" i="64"/>
  <c r="H45" i="64"/>
  <c r="H44" i="64"/>
  <c r="H43" i="64"/>
  <c r="H42" i="64"/>
  <c r="H41" i="64"/>
  <c r="H39" i="64"/>
  <c r="H38" i="64"/>
  <c r="H37" i="64"/>
  <c r="H36" i="64"/>
  <c r="H35" i="64"/>
  <c r="H34" i="64"/>
  <c r="H33" i="64"/>
  <c r="H32" i="64"/>
  <c r="H31" i="64"/>
  <c r="H30" i="64"/>
  <c r="H28" i="64"/>
  <c r="H27" i="64"/>
  <c r="H26" i="64"/>
  <c r="H25" i="64"/>
  <c r="H24" i="64"/>
  <c r="H23" i="64"/>
  <c r="H22" i="64"/>
  <c r="H21" i="64"/>
  <c r="H20" i="64"/>
  <c r="H19" i="64"/>
  <c r="H18" i="64"/>
  <c r="H17" i="64"/>
  <c r="H16" i="64"/>
  <c r="H15" i="64"/>
  <c r="H13" i="64"/>
  <c r="H12" i="64"/>
  <c r="H11" i="64"/>
  <c r="H10" i="64"/>
  <c r="H9" i="64"/>
  <c r="H8" i="64"/>
  <c r="H7" i="64"/>
  <c r="H6" i="64"/>
  <c r="H5" i="64"/>
  <c r="H4" i="64"/>
  <c r="H3" i="64"/>
  <c r="H2" i="64"/>
  <c r="H37" i="63"/>
  <c r="H36" i="63"/>
  <c r="H35" i="63"/>
  <c r="H34" i="63"/>
  <c r="H32" i="63"/>
  <c r="H31" i="63"/>
  <c r="H30" i="63"/>
  <c r="H29" i="63"/>
  <c r="H28" i="63"/>
  <c r="H27" i="63"/>
  <c r="H25" i="63"/>
  <c r="H24" i="63"/>
  <c r="H23" i="63"/>
  <c r="H22" i="63"/>
  <c r="H21" i="63"/>
  <c r="H20" i="63"/>
  <c r="H19" i="63"/>
  <c r="H17" i="63"/>
  <c r="H16" i="63"/>
  <c r="H15" i="63"/>
  <c r="H14" i="63"/>
  <c r="H13" i="63"/>
  <c r="H12" i="63"/>
  <c r="H11" i="63"/>
  <c r="H9" i="63"/>
  <c r="H8" i="63"/>
  <c r="H7" i="63"/>
  <c r="H6" i="63"/>
  <c r="H5" i="63"/>
  <c r="H4" i="63"/>
  <c r="H3" i="63"/>
  <c r="H2" i="63"/>
  <c r="H33" i="49"/>
  <c r="H32" i="49"/>
  <c r="H31" i="49"/>
  <c r="H30" i="49"/>
  <c r="H29" i="49"/>
  <c r="H28" i="49"/>
  <c r="H26" i="49"/>
  <c r="H25" i="49"/>
  <c r="H24" i="49"/>
  <c r="H23" i="49"/>
  <c r="H22" i="49"/>
  <c r="H21" i="49"/>
  <c r="H19" i="49"/>
  <c r="H18" i="49"/>
  <c r="H17" i="49"/>
  <c r="H16" i="49"/>
  <c r="H15" i="49"/>
  <c r="H13" i="49"/>
  <c r="H12" i="49"/>
  <c r="H11" i="49"/>
  <c r="H10" i="49"/>
  <c r="H9" i="49"/>
  <c r="H8" i="49"/>
  <c r="H6" i="49"/>
  <c r="H5" i="49"/>
  <c r="H4" i="49"/>
  <c r="H3" i="49"/>
  <c r="H2" i="49"/>
  <c r="H37" i="48"/>
  <c r="H36" i="48"/>
  <c r="H35" i="48"/>
  <c r="H34" i="48"/>
  <c r="H33" i="48"/>
  <c r="H32" i="48"/>
  <c r="H30" i="48"/>
  <c r="H29" i="48"/>
  <c r="H28" i="48"/>
  <c r="H27" i="48"/>
  <c r="H26" i="48"/>
  <c r="H25" i="48"/>
  <c r="H24" i="48"/>
  <c r="H22" i="48"/>
  <c r="H21" i="48"/>
  <c r="H20" i="48"/>
  <c r="H19" i="48"/>
  <c r="H18" i="48"/>
  <c r="H16" i="48"/>
  <c r="H15" i="48"/>
  <c r="H14" i="48"/>
  <c r="H13" i="48"/>
  <c r="H12" i="48"/>
  <c r="H11" i="48"/>
  <c r="H10" i="48"/>
  <c r="H9" i="48"/>
  <c r="H7" i="48"/>
  <c r="H6" i="48"/>
  <c r="H5" i="48"/>
  <c r="H4" i="48"/>
  <c r="H3" i="48"/>
  <c r="H2" i="48"/>
  <c r="H35" i="47"/>
  <c r="H34" i="47"/>
  <c r="H33" i="47"/>
  <c r="H32" i="47"/>
  <c r="H31" i="47"/>
  <c r="H30" i="47"/>
  <c r="H28" i="47"/>
  <c r="H27" i="47"/>
  <c r="H26" i="47"/>
  <c r="H25" i="47"/>
  <c r="H24" i="47"/>
  <c r="H23" i="47"/>
  <c r="H22" i="47"/>
  <c r="H20" i="47"/>
  <c r="H19" i="47"/>
  <c r="H18" i="47"/>
  <c r="H17" i="47"/>
  <c r="H16" i="47"/>
  <c r="H14" i="47"/>
  <c r="H13" i="47"/>
  <c r="H12" i="47"/>
  <c r="H11" i="47"/>
  <c r="H10" i="47"/>
  <c r="H9" i="47"/>
  <c r="H8" i="47"/>
  <c r="H6" i="47"/>
  <c r="H5" i="47"/>
  <c r="H4" i="47"/>
  <c r="H3" i="47"/>
  <c r="H2" i="47"/>
  <c r="H62" i="46"/>
  <c r="H61" i="46"/>
  <c r="H60" i="46"/>
  <c r="H59" i="46"/>
  <c r="H58" i="46"/>
  <c r="H57" i="46"/>
  <c r="H56" i="46"/>
  <c r="H55" i="46"/>
  <c r="H54" i="46"/>
  <c r="H52" i="46"/>
  <c r="H51" i="46"/>
  <c r="H50" i="46"/>
  <c r="H49" i="46"/>
  <c r="H48" i="46"/>
  <c r="H47" i="46"/>
  <c r="H46" i="46"/>
  <c r="H45" i="46"/>
  <c r="H44" i="46"/>
  <c r="H43" i="46"/>
  <c r="H42" i="46"/>
  <c r="H41" i="46"/>
  <c r="H40" i="46"/>
  <c r="H38" i="46"/>
  <c r="H37" i="46"/>
  <c r="H36" i="46"/>
  <c r="H35" i="46"/>
  <c r="H34" i="46"/>
  <c r="H33" i="46"/>
  <c r="H32" i="46"/>
  <c r="H31" i="46"/>
  <c r="H30" i="46"/>
  <c r="H29" i="46"/>
  <c r="H28" i="46"/>
  <c r="H26" i="46"/>
  <c r="H25" i="46"/>
  <c r="H24" i="46"/>
  <c r="H23" i="46"/>
  <c r="H22" i="46"/>
  <c r="H21" i="46"/>
  <c r="H20" i="46"/>
  <c r="H19" i="46"/>
  <c r="H18" i="46"/>
  <c r="H17" i="46"/>
  <c r="H16" i="46"/>
  <c r="H15" i="46"/>
  <c r="H14" i="46"/>
  <c r="H12" i="46"/>
  <c r="H11" i="46"/>
  <c r="H10" i="46"/>
  <c r="H9" i="46"/>
  <c r="H8" i="46"/>
  <c r="H7" i="46"/>
  <c r="H6" i="46"/>
  <c r="H5" i="46"/>
  <c r="H4" i="46"/>
  <c r="H3" i="46"/>
  <c r="H2" i="46"/>
  <c r="H33" i="45"/>
  <c r="H32" i="45"/>
  <c r="H31" i="45"/>
  <c r="H30" i="45"/>
  <c r="H29" i="45"/>
  <c r="H27" i="45"/>
  <c r="H26" i="45"/>
  <c r="H25" i="45"/>
  <c r="H24" i="45"/>
  <c r="H23" i="45"/>
  <c r="H22" i="45"/>
  <c r="H20" i="45"/>
  <c r="H19" i="45"/>
  <c r="H18" i="45"/>
  <c r="H17" i="45"/>
  <c r="H16" i="45"/>
  <c r="H14" i="45"/>
  <c r="H13" i="45"/>
  <c r="H12" i="45"/>
  <c r="H11" i="45"/>
  <c r="H10" i="45"/>
  <c r="H9" i="45"/>
  <c r="H8" i="45"/>
  <c r="H6" i="45"/>
  <c r="H5" i="45"/>
  <c r="H4" i="45"/>
  <c r="H3" i="45"/>
  <c r="H2" i="45"/>
  <c r="H31" i="44"/>
  <c r="H30" i="44"/>
  <c r="H29" i="44"/>
  <c r="H28" i="44"/>
  <c r="H27" i="44"/>
  <c r="H26" i="44"/>
  <c r="H24" i="44"/>
  <c r="H23" i="44"/>
  <c r="H22" i="44"/>
  <c r="H21" i="44"/>
  <c r="H20" i="44"/>
  <c r="H19" i="44"/>
  <c r="H17" i="44"/>
  <c r="H16" i="44"/>
  <c r="H15" i="44"/>
  <c r="H14" i="44"/>
  <c r="H12" i="44"/>
  <c r="H11" i="44"/>
  <c r="H10" i="44"/>
  <c r="H9" i="44"/>
  <c r="H8" i="44"/>
  <c r="H7" i="44"/>
  <c r="H5" i="44"/>
  <c r="H4" i="44"/>
  <c r="H3" i="44"/>
  <c r="H2" i="44"/>
  <c r="H80" i="39"/>
  <c r="H79" i="39"/>
  <c r="H78" i="39"/>
  <c r="H77" i="39"/>
  <c r="H76" i="39"/>
  <c r="H75" i="39"/>
  <c r="H74" i="39"/>
  <c r="H73" i="39"/>
  <c r="H72" i="39"/>
  <c r="H71" i="39"/>
  <c r="H70" i="39"/>
  <c r="H69" i="39"/>
  <c r="H68" i="39"/>
  <c r="H66" i="39"/>
  <c r="H65" i="39"/>
  <c r="H64" i="39"/>
  <c r="H63" i="39"/>
  <c r="H62" i="39"/>
  <c r="H61" i="39"/>
  <c r="H60" i="39"/>
  <c r="H59" i="39"/>
  <c r="H58" i="39"/>
  <c r="H57" i="39"/>
  <c r="H56" i="39"/>
  <c r="H55" i="39"/>
  <c r="H53" i="39"/>
  <c r="H52" i="39"/>
  <c r="H50" i="39"/>
  <c r="H49" i="39"/>
  <c r="H48" i="39"/>
  <c r="H47" i="39"/>
  <c r="H46" i="39"/>
  <c r="H45" i="39"/>
  <c r="H44" i="39"/>
  <c r="H43" i="39"/>
  <c r="H42" i="39"/>
  <c r="H41" i="39"/>
  <c r="H40" i="39"/>
  <c r="H39" i="39"/>
  <c r="H38" i="39"/>
  <c r="H37" i="39"/>
  <c r="H36" i="39"/>
  <c r="H34" i="39"/>
  <c r="H33" i="39"/>
  <c r="H32" i="39"/>
  <c r="H31" i="39"/>
  <c r="H30" i="39"/>
  <c r="H29" i="39"/>
  <c r="H28" i="39"/>
  <c r="H27" i="39"/>
  <c r="H26" i="39"/>
  <c r="H25" i="39"/>
  <c r="H24" i="39"/>
  <c r="H23" i="39"/>
  <c r="H22" i="39"/>
  <c r="H21" i="39"/>
  <c r="H20" i="39"/>
  <c r="H19" i="39"/>
  <c r="H3" i="39"/>
  <c r="H4" i="39"/>
  <c r="H5" i="39"/>
  <c r="H6" i="39"/>
  <c r="H7" i="39"/>
  <c r="H8" i="39"/>
  <c r="H9" i="39"/>
  <c r="H10" i="39"/>
  <c r="H11" i="39"/>
  <c r="H12" i="39"/>
  <c r="H13" i="39"/>
  <c r="H14" i="39"/>
  <c r="H15" i="39"/>
  <c r="H16" i="39"/>
  <c r="H17" i="39"/>
  <c r="H2" i="39"/>
  <c r="D65" i="100"/>
  <c r="B65" i="100"/>
  <c r="D64" i="100"/>
  <c r="B64" i="100"/>
  <c r="D63" i="100"/>
  <c r="B63" i="100"/>
  <c r="D62" i="100"/>
  <c r="B62" i="100"/>
  <c r="W56" i="100"/>
  <c r="V56" i="100"/>
  <c r="V55" i="100"/>
  <c r="W55" i="100" s="1"/>
  <c r="V54" i="100"/>
  <c r="W54" i="100" s="1"/>
  <c r="W53" i="100"/>
  <c r="V53" i="100"/>
  <c r="V52" i="100"/>
  <c r="W52" i="100" s="1"/>
  <c r="W51" i="100"/>
  <c r="V51" i="100"/>
  <c r="W50" i="100"/>
  <c r="V50" i="100"/>
  <c r="W49" i="100"/>
  <c r="V49" i="100"/>
  <c r="W48" i="100"/>
  <c r="V48" i="100"/>
  <c r="W47" i="100"/>
  <c r="V47" i="100"/>
  <c r="W46" i="100"/>
  <c r="V46" i="100"/>
  <c r="W43" i="100"/>
  <c r="V43" i="100"/>
  <c r="W42" i="100"/>
  <c r="V42" i="100"/>
  <c r="W41" i="100"/>
  <c r="V41" i="100"/>
  <c r="W40" i="100"/>
  <c r="V40" i="100"/>
  <c r="W39" i="100"/>
  <c r="V39" i="100"/>
  <c r="W38" i="100"/>
  <c r="V38" i="100"/>
  <c r="W37" i="100"/>
  <c r="V37" i="100"/>
  <c r="W36" i="100"/>
  <c r="V36" i="100"/>
  <c r="W35" i="100"/>
  <c r="V35" i="100"/>
  <c r="W34" i="100"/>
  <c r="V34" i="100"/>
  <c r="W33" i="100"/>
  <c r="V33" i="100"/>
  <c r="W30" i="100"/>
  <c r="V30" i="100"/>
  <c r="W29" i="100"/>
  <c r="V29" i="100"/>
  <c r="W28" i="100"/>
  <c r="V28" i="100"/>
  <c r="W27" i="100"/>
  <c r="V27" i="100"/>
  <c r="W26" i="100"/>
  <c r="V26" i="100"/>
  <c r="W25" i="100"/>
  <c r="V25" i="100"/>
  <c r="W24" i="100"/>
  <c r="V24" i="100"/>
  <c r="W23" i="100"/>
  <c r="V23" i="100"/>
  <c r="W22" i="100"/>
  <c r="V22" i="100"/>
  <c r="W21" i="100"/>
  <c r="V21" i="100"/>
  <c r="W20" i="100"/>
  <c r="V20" i="100"/>
  <c r="W19" i="100"/>
  <c r="V19" i="100"/>
  <c r="W18" i="100"/>
  <c r="V18" i="100"/>
  <c r="W15" i="100"/>
  <c r="V15" i="100"/>
  <c r="W14" i="100"/>
  <c r="V14" i="100"/>
  <c r="W13" i="100"/>
  <c r="V13" i="100"/>
  <c r="W12" i="100"/>
  <c r="V12" i="100"/>
  <c r="W11" i="100"/>
  <c r="V11" i="100"/>
  <c r="W10" i="100"/>
  <c r="V10" i="100"/>
  <c r="W9" i="100"/>
  <c r="V9" i="100"/>
  <c r="W8" i="100"/>
  <c r="V8" i="100"/>
  <c r="W7" i="100"/>
  <c r="V7" i="100"/>
  <c r="W6" i="100"/>
  <c r="V6" i="100"/>
  <c r="W5" i="100"/>
  <c r="V5" i="100"/>
  <c r="W4" i="100"/>
  <c r="V4" i="100"/>
  <c r="W3" i="100"/>
  <c r="V3" i="100"/>
  <c r="W2" i="100"/>
  <c r="V2" i="100"/>
  <c r="Z160" i="99"/>
  <c r="Y160" i="99"/>
  <c r="L159" i="99"/>
  <c r="K159" i="99"/>
  <c r="J159" i="99"/>
  <c r="I159" i="99"/>
  <c r="AI158" i="99"/>
  <c r="AD158" i="99"/>
  <c r="K158" i="99"/>
  <c r="J158" i="99"/>
  <c r="I158" i="99"/>
  <c r="M158" i="99" s="1"/>
  <c r="Z161" i="99" s="1"/>
  <c r="S156" i="99"/>
  <c r="X156" i="99" s="1"/>
  <c r="X158" i="99" s="1"/>
  <c r="S155" i="99"/>
  <c r="W155" i="99" s="1"/>
  <c r="W158" i="99" s="1"/>
  <c r="P153" i="99"/>
  <c r="Q153" i="99" s="1"/>
  <c r="AL152" i="99"/>
  <c r="S152" i="99"/>
  <c r="P152" i="99"/>
  <c r="Q152" i="99" s="1"/>
  <c r="P151" i="99"/>
  <c r="Q151" i="99" s="1"/>
  <c r="S151" i="99" s="1"/>
  <c r="Q150" i="99"/>
  <c r="P150" i="99"/>
  <c r="P149" i="99"/>
  <c r="Q149" i="99" s="1"/>
  <c r="P148" i="99"/>
  <c r="Q148" i="99" s="1"/>
  <c r="AE147" i="99"/>
  <c r="AE158" i="99" s="1"/>
  <c r="Q147" i="99"/>
  <c r="S147" i="99" s="1"/>
  <c r="P147" i="99"/>
  <c r="Q146" i="99"/>
  <c r="S146" i="99" s="1"/>
  <c r="P146" i="99"/>
  <c r="P145" i="99"/>
  <c r="Q145" i="99" s="1"/>
  <c r="AA144" i="99"/>
  <c r="S144" i="99"/>
  <c r="Y144" i="99" s="1"/>
  <c r="P144" i="99"/>
  <c r="Q144" i="99" s="1"/>
  <c r="Q143" i="99"/>
  <c r="P143" i="99"/>
  <c r="Z127" i="99"/>
  <c r="Z128" i="99" s="1"/>
  <c r="Y127" i="99"/>
  <c r="L126" i="99"/>
  <c r="K126" i="99"/>
  <c r="J126" i="99"/>
  <c r="I126" i="99"/>
  <c r="M126" i="99" s="1"/>
  <c r="AJ125" i="99"/>
  <c r="AF125" i="99"/>
  <c r="X125" i="99"/>
  <c r="K125" i="99"/>
  <c r="I125" i="99"/>
  <c r="M125" i="99" s="1"/>
  <c r="Y128" i="99" s="1"/>
  <c r="X123" i="99"/>
  <c r="S123" i="99"/>
  <c r="S122" i="99"/>
  <c r="W122" i="99" s="1"/>
  <c r="W125" i="99" s="1"/>
  <c r="Q131" i="99" s="1"/>
  <c r="P120" i="99"/>
  <c r="Q120" i="99" s="1"/>
  <c r="P119" i="99"/>
  <c r="Q119" i="99" s="1"/>
  <c r="S118" i="99"/>
  <c r="Q118" i="99"/>
  <c r="P118" i="99"/>
  <c r="P117" i="99"/>
  <c r="Q117" i="99" s="1"/>
  <c r="P116" i="99"/>
  <c r="Q116" i="99" s="1"/>
  <c r="P115" i="99"/>
  <c r="Q115" i="99" s="1"/>
  <c r="S115" i="99" s="1"/>
  <c r="P114" i="99"/>
  <c r="Q114" i="99" s="1"/>
  <c r="P113" i="99"/>
  <c r="Q113" i="99" s="1"/>
  <c r="S112" i="99"/>
  <c r="P112" i="99"/>
  <c r="Q112" i="99" s="1"/>
  <c r="P111" i="99"/>
  <c r="Q111" i="99" s="1"/>
  <c r="S111" i="99" s="1"/>
  <c r="S110" i="99"/>
  <c r="Q110" i="99"/>
  <c r="P110" i="99"/>
  <c r="Z87" i="99"/>
  <c r="Y87" i="99"/>
  <c r="M86" i="99"/>
  <c r="L86" i="99"/>
  <c r="K86" i="99"/>
  <c r="J86" i="99"/>
  <c r="I86" i="99"/>
  <c r="AJ85" i="99"/>
  <c r="AI85" i="99"/>
  <c r="AD85" i="99"/>
  <c r="K85" i="99"/>
  <c r="J85" i="99"/>
  <c r="M85" i="99" s="1"/>
  <c r="Y88" i="99" s="1"/>
  <c r="I85" i="99"/>
  <c r="X83" i="99"/>
  <c r="X85" i="99" s="1"/>
  <c r="S83" i="99"/>
  <c r="W82" i="99"/>
  <c r="W85" i="99" s="1"/>
  <c r="S82" i="99"/>
  <c r="P80" i="99"/>
  <c r="Q80" i="99" s="1"/>
  <c r="S79" i="99"/>
  <c r="V79" i="99" s="1"/>
  <c r="Q79" i="99"/>
  <c r="P79" i="99"/>
  <c r="P78" i="99"/>
  <c r="Q78" i="99" s="1"/>
  <c r="Z77" i="99"/>
  <c r="V77" i="99"/>
  <c r="S77" i="99"/>
  <c r="Q77" i="99"/>
  <c r="P77" i="99"/>
  <c r="P76" i="99"/>
  <c r="Q76" i="99" s="1"/>
  <c r="S75" i="99"/>
  <c r="V75" i="99" s="1"/>
  <c r="P75" i="99"/>
  <c r="Q75" i="99" s="1"/>
  <c r="P74" i="99"/>
  <c r="Q74" i="99" s="1"/>
  <c r="AE73" i="99"/>
  <c r="AE85" i="99" s="1"/>
  <c r="S73" i="99"/>
  <c r="P73" i="99"/>
  <c r="Q73" i="99" s="1"/>
  <c r="Q72" i="99"/>
  <c r="S72" i="99" s="1"/>
  <c r="P72" i="99"/>
  <c r="P71" i="99"/>
  <c r="Q71" i="99" s="1"/>
  <c r="P70" i="99"/>
  <c r="Q70" i="99" s="1"/>
  <c r="AA69" i="99"/>
  <c r="S69" i="99"/>
  <c r="P69" i="99"/>
  <c r="Q69" i="99" s="1"/>
  <c r="Q68" i="99"/>
  <c r="S68" i="99" s="1"/>
  <c r="P68" i="99"/>
  <c r="Z55" i="99"/>
  <c r="Y55" i="99"/>
  <c r="Y56" i="99" s="1"/>
  <c r="L54" i="99"/>
  <c r="K54" i="99"/>
  <c r="J54" i="99"/>
  <c r="I54" i="99"/>
  <c r="X53" i="99"/>
  <c r="K53" i="99"/>
  <c r="J53" i="99"/>
  <c r="I53" i="99"/>
  <c r="M53" i="99" s="1"/>
  <c r="X51" i="99"/>
  <c r="S51" i="99"/>
  <c r="S50" i="99"/>
  <c r="W50" i="99" s="1"/>
  <c r="W53" i="99" s="1"/>
  <c r="Q48" i="99"/>
  <c r="S48" i="99" s="1"/>
  <c r="P48" i="99"/>
  <c r="P47" i="99"/>
  <c r="Q47" i="99" s="1"/>
  <c r="P46" i="99"/>
  <c r="Q46" i="99" s="1"/>
  <c r="S46" i="99" s="1"/>
  <c r="S45" i="99"/>
  <c r="P45" i="99"/>
  <c r="Q45" i="99" s="1"/>
  <c r="P44" i="99"/>
  <c r="Q44" i="99" s="1"/>
  <c r="S43" i="99"/>
  <c r="Q43" i="99"/>
  <c r="P43" i="99"/>
  <c r="Q42" i="99"/>
  <c r="S42" i="99" s="1"/>
  <c r="AF42" i="99" s="1"/>
  <c r="AF53" i="99" s="1"/>
  <c r="P42" i="99"/>
  <c r="Q41" i="99"/>
  <c r="P41" i="99"/>
  <c r="Q40" i="99"/>
  <c r="S40" i="99" s="1"/>
  <c r="P40" i="99"/>
  <c r="S39" i="99"/>
  <c r="Q39" i="99"/>
  <c r="P39" i="99"/>
  <c r="P38" i="99"/>
  <c r="Q38" i="99" s="1"/>
  <c r="Q37" i="99"/>
  <c r="P37" i="99"/>
  <c r="P36" i="99"/>
  <c r="Q36" i="99" s="1"/>
  <c r="S36" i="99" s="1"/>
  <c r="Q35" i="99"/>
  <c r="P35" i="99"/>
  <c r="V38" i="57"/>
  <c r="W38" i="57" s="1"/>
  <c r="V37" i="57"/>
  <c r="W37" i="57" s="1"/>
  <c r="V36" i="57"/>
  <c r="W36" i="57" s="1"/>
  <c r="V35" i="57"/>
  <c r="W35" i="57" s="1"/>
  <c r="W34" i="57"/>
  <c r="V34" i="57"/>
  <c r="V33" i="57"/>
  <c r="W33" i="57" s="1"/>
  <c r="V32" i="57"/>
  <c r="W32" i="57" s="1"/>
  <c r="V30" i="57"/>
  <c r="W30" i="57" s="1"/>
  <c r="V29" i="57"/>
  <c r="W29" i="57" s="1"/>
  <c r="V28" i="57"/>
  <c r="W28" i="57" s="1"/>
  <c r="V27" i="57"/>
  <c r="W27" i="57" s="1"/>
  <c r="V26" i="57"/>
  <c r="W26" i="57" s="1"/>
  <c r="V25" i="57"/>
  <c r="W25" i="57" s="1"/>
  <c r="V23" i="57"/>
  <c r="W23" i="57" s="1"/>
  <c r="V22" i="57"/>
  <c r="W22" i="57" s="1"/>
  <c r="W21" i="57"/>
  <c r="V21" i="57"/>
  <c r="V20" i="57"/>
  <c r="W20" i="57" s="1"/>
  <c r="V19" i="57"/>
  <c r="W19" i="57" s="1"/>
  <c r="V18" i="57"/>
  <c r="W18" i="57" s="1"/>
  <c r="W17" i="57"/>
  <c r="V17" i="57"/>
  <c r="V15" i="57"/>
  <c r="W15" i="57" s="1"/>
  <c r="W14" i="57"/>
  <c r="V14" i="57"/>
  <c r="W13" i="57"/>
  <c r="V13" i="57"/>
  <c r="V12" i="57"/>
  <c r="W12" i="57" s="1"/>
  <c r="V11" i="57"/>
  <c r="W11" i="57" s="1"/>
  <c r="V10" i="57"/>
  <c r="W10" i="57" s="1"/>
  <c r="V8" i="57"/>
  <c r="W8" i="57" s="1"/>
  <c r="V7" i="57"/>
  <c r="W7" i="57" s="1"/>
  <c r="W6" i="57"/>
  <c r="V6" i="57"/>
  <c r="W5" i="57"/>
  <c r="V5" i="57"/>
  <c r="V4" i="57"/>
  <c r="W4" i="57" s="1"/>
  <c r="W3" i="57"/>
  <c r="V3" i="57"/>
  <c r="V2" i="57"/>
  <c r="W2" i="57" s="1"/>
  <c r="AG163" i="98"/>
  <c r="Q158" i="98"/>
  <c r="Y156" i="98"/>
  <c r="Z155" i="98"/>
  <c r="Y155" i="98"/>
  <c r="M154" i="98"/>
  <c r="J155" i="98" s="1"/>
  <c r="K154" i="98"/>
  <c r="J154" i="98"/>
  <c r="I154" i="98"/>
  <c r="I155" i="98" s="1"/>
  <c r="AF153" i="98"/>
  <c r="AD153" i="98"/>
  <c r="K153" i="98"/>
  <c r="M153" i="98" s="1"/>
  <c r="I152" i="98" s="1"/>
  <c r="J153" i="98"/>
  <c r="I153" i="98"/>
  <c r="K152" i="98"/>
  <c r="J152" i="98"/>
  <c r="S151" i="98"/>
  <c r="X151" i="98" s="1"/>
  <c r="X153" i="98" s="1"/>
  <c r="Q159" i="98" s="1"/>
  <c r="P150" i="98"/>
  <c r="Q150" i="98" s="1"/>
  <c r="S150" i="98" s="1"/>
  <c r="P149" i="98"/>
  <c r="Q149" i="98" s="1"/>
  <c r="Q148" i="98"/>
  <c r="P148" i="98"/>
  <c r="P147" i="98"/>
  <c r="Q147" i="98" s="1"/>
  <c r="P146" i="98"/>
  <c r="Q146" i="98" s="1"/>
  <c r="M146" i="98"/>
  <c r="P145" i="98"/>
  <c r="Q145" i="98" s="1"/>
  <c r="Q144" i="98"/>
  <c r="P144" i="98"/>
  <c r="Q128" i="98"/>
  <c r="Z125" i="98"/>
  <c r="Y125" i="98"/>
  <c r="K124" i="98"/>
  <c r="J124" i="98"/>
  <c r="I124" i="98"/>
  <c r="M124" i="98" s="1"/>
  <c r="AD123" i="98"/>
  <c r="K123" i="98"/>
  <c r="I123" i="98"/>
  <c r="S121" i="98"/>
  <c r="X121" i="98" s="1"/>
  <c r="X123" i="98" s="1"/>
  <c r="Q129" i="98" s="1"/>
  <c r="P120" i="98"/>
  <c r="Q120" i="98" s="1"/>
  <c r="S120" i="98" s="1"/>
  <c r="F120" i="98"/>
  <c r="S119" i="98"/>
  <c r="P119" i="98"/>
  <c r="Q119" i="98" s="1"/>
  <c r="AC118" i="98"/>
  <c r="P118" i="98"/>
  <c r="Q118" i="98" s="1"/>
  <c r="S118" i="98" s="1"/>
  <c r="Q117" i="98"/>
  <c r="S117" i="98" s="1"/>
  <c r="T117" i="98" s="1"/>
  <c r="P117" i="98"/>
  <c r="P116" i="98"/>
  <c r="Q116" i="98" s="1"/>
  <c r="U115" i="98"/>
  <c r="P115" i="98"/>
  <c r="Q115" i="98" s="1"/>
  <c r="S115" i="98" s="1"/>
  <c r="Q104" i="98"/>
  <c r="Q103" i="98"/>
  <c r="Z102" i="98"/>
  <c r="Z101" i="98"/>
  <c r="Y101" i="98"/>
  <c r="K100" i="98"/>
  <c r="J100" i="98"/>
  <c r="I100" i="98"/>
  <c r="AF99" i="98"/>
  <c r="AE99" i="98"/>
  <c r="K99" i="98"/>
  <c r="J99" i="98"/>
  <c r="M99" i="98" s="1"/>
  <c r="I99" i="98"/>
  <c r="X97" i="98"/>
  <c r="X99" i="98" s="1"/>
  <c r="Q105" i="98" s="1"/>
  <c r="S97" i="98"/>
  <c r="S96" i="98"/>
  <c r="Q96" i="98"/>
  <c r="P96" i="98"/>
  <c r="AD95" i="98"/>
  <c r="AD99" i="98" s="1"/>
  <c r="P95" i="98"/>
  <c r="Q95" i="98" s="1"/>
  <c r="S95" i="98" s="1"/>
  <c r="Q94" i="98"/>
  <c r="S94" i="98" s="1"/>
  <c r="T94" i="98" s="1"/>
  <c r="P94" i="98"/>
  <c r="P93" i="98"/>
  <c r="Q93" i="98" s="1"/>
  <c r="S92" i="98"/>
  <c r="P92" i="98"/>
  <c r="M92" i="98"/>
  <c r="Q92" i="98" s="1"/>
  <c r="P91" i="98"/>
  <c r="Q91" i="98" s="1"/>
  <c r="P90" i="98"/>
  <c r="Q90" i="98" s="1"/>
  <c r="Z71" i="98"/>
  <c r="Y71" i="98"/>
  <c r="L70" i="98"/>
  <c r="K70" i="98"/>
  <c r="J70" i="98"/>
  <c r="I70" i="98"/>
  <c r="AD69" i="98"/>
  <c r="W69" i="98"/>
  <c r="L69" i="98"/>
  <c r="K69" i="98"/>
  <c r="J69" i="98"/>
  <c r="I69" i="98"/>
  <c r="S68" i="98"/>
  <c r="X67" i="98"/>
  <c r="X69" i="98" s="1"/>
  <c r="Q75" i="98" s="1"/>
  <c r="S67" i="98"/>
  <c r="AF66" i="98"/>
  <c r="AF69" i="98" s="1"/>
  <c r="V66" i="98"/>
  <c r="P66" i="98"/>
  <c r="Q66" i="98" s="1"/>
  <c r="S66" i="98" s="1"/>
  <c r="Y66" i="98" s="1"/>
  <c r="F66" i="98"/>
  <c r="AE65" i="98"/>
  <c r="AE69" i="98" s="1"/>
  <c r="S65" i="98"/>
  <c r="P65" i="98"/>
  <c r="Q65" i="98" s="1"/>
  <c r="Y64" i="98"/>
  <c r="Q64" i="98"/>
  <c r="S64" i="98" s="1"/>
  <c r="T64" i="98" s="1"/>
  <c r="P64" i="98"/>
  <c r="AB63" i="98"/>
  <c r="P63" i="98"/>
  <c r="Q63" i="98" s="1"/>
  <c r="S63" i="98" s="1"/>
  <c r="M63" i="98"/>
  <c r="S62" i="98"/>
  <c r="Q62" i="98"/>
  <c r="P62" i="98"/>
  <c r="P61" i="98"/>
  <c r="Q61" i="98" s="1"/>
  <c r="Z47" i="98"/>
  <c r="Y47" i="98"/>
  <c r="M46" i="98"/>
  <c r="L46" i="98"/>
  <c r="K46" i="98"/>
  <c r="J46" i="98"/>
  <c r="I46" i="98"/>
  <c r="V45" i="98"/>
  <c r="L45" i="98"/>
  <c r="K45" i="98"/>
  <c r="J45" i="98"/>
  <c r="I45" i="98"/>
  <c r="S43" i="98"/>
  <c r="X43" i="98" s="1"/>
  <c r="X45" i="98" s="1"/>
  <c r="S42" i="98"/>
  <c r="W42" i="98" s="1"/>
  <c r="W45" i="98" s="1"/>
  <c r="Q40" i="98"/>
  <c r="S40" i="98" s="1"/>
  <c r="AC40" i="98" s="1"/>
  <c r="P40" i="98"/>
  <c r="P39" i="98"/>
  <c r="Q39" i="98" s="1"/>
  <c r="Q38" i="98"/>
  <c r="P38" i="98"/>
  <c r="Q37" i="98"/>
  <c r="S37" i="98" s="1"/>
  <c r="P37" i="98"/>
  <c r="S36" i="98"/>
  <c r="P36" i="98"/>
  <c r="Q36" i="98" s="1"/>
  <c r="M36" i="98"/>
  <c r="Q35" i="98"/>
  <c r="S35" i="98" s="1"/>
  <c r="AB35" i="98" s="1"/>
  <c r="P35" i="98"/>
  <c r="P34" i="98"/>
  <c r="Q34" i="98" s="1"/>
  <c r="C22" i="98"/>
  <c r="D20" i="98"/>
  <c r="E20" i="98" s="1"/>
  <c r="D19" i="98"/>
  <c r="E19" i="98" s="1"/>
  <c r="D18" i="98"/>
  <c r="E18" i="98" s="1"/>
  <c r="B12" i="98"/>
  <c r="B8" i="98"/>
  <c r="V50" i="56"/>
  <c r="W50" i="56" s="1"/>
  <c r="W49" i="56"/>
  <c r="V49" i="56"/>
  <c r="W48" i="56"/>
  <c r="V48" i="56"/>
  <c r="V47" i="56"/>
  <c r="W47" i="56" s="1"/>
  <c r="T46" i="56"/>
  <c r="V46" i="56" s="1"/>
  <c r="W46" i="56" s="1"/>
  <c r="T45" i="56"/>
  <c r="V45" i="56" s="1"/>
  <c r="W45" i="56" s="1"/>
  <c r="W44" i="56"/>
  <c r="V44" i="56"/>
  <c r="W43" i="56"/>
  <c r="V43" i="56"/>
  <c r="V42" i="56"/>
  <c r="W42" i="56" s="1"/>
  <c r="V40" i="56"/>
  <c r="W40" i="56" s="1"/>
  <c r="V39" i="56"/>
  <c r="W39" i="56" s="1"/>
  <c r="V38" i="56"/>
  <c r="W38" i="56" s="1"/>
  <c r="W37" i="56"/>
  <c r="V37" i="56"/>
  <c r="W36" i="56"/>
  <c r="V36" i="56"/>
  <c r="V35" i="56"/>
  <c r="W35" i="56" s="1"/>
  <c r="V34" i="56"/>
  <c r="W34" i="56" s="1"/>
  <c r="T34" i="56"/>
  <c r="W33" i="56"/>
  <c r="T33" i="56"/>
  <c r="V33" i="56" s="1"/>
  <c r="W32" i="56"/>
  <c r="V32" i="56"/>
  <c r="W31" i="56"/>
  <c r="V31" i="56"/>
  <c r="V30" i="56"/>
  <c r="W30" i="56" s="1"/>
  <c r="V28" i="56"/>
  <c r="W28" i="56" s="1"/>
  <c r="W27" i="56"/>
  <c r="V27" i="56"/>
  <c r="V26" i="56"/>
  <c r="W26" i="56" s="1"/>
  <c r="T25" i="56"/>
  <c r="V25" i="56" s="1"/>
  <c r="W25" i="56" s="1"/>
  <c r="V24" i="56"/>
  <c r="W24" i="56" s="1"/>
  <c r="W23" i="56"/>
  <c r="V23" i="56"/>
  <c r="V22" i="56"/>
  <c r="W22" i="56" s="1"/>
  <c r="W20" i="56"/>
  <c r="V20" i="56"/>
  <c r="W19" i="56"/>
  <c r="V19" i="56"/>
  <c r="V18" i="56"/>
  <c r="W18" i="56" s="1"/>
  <c r="V17" i="56"/>
  <c r="W17" i="56" s="1"/>
  <c r="W16" i="56"/>
  <c r="V16" i="56"/>
  <c r="V15" i="56"/>
  <c r="W15" i="56" s="1"/>
  <c r="T14" i="56"/>
  <c r="V14" i="56" s="1"/>
  <c r="W14" i="56" s="1"/>
  <c r="T13" i="56"/>
  <c r="V13" i="56" s="1"/>
  <c r="W13" i="56" s="1"/>
  <c r="V12" i="56"/>
  <c r="W12" i="56" s="1"/>
  <c r="W11" i="56"/>
  <c r="V11" i="56"/>
  <c r="V10" i="56"/>
  <c r="W10" i="56" s="1"/>
  <c r="W8" i="56"/>
  <c r="V8" i="56"/>
  <c r="W7" i="56"/>
  <c r="V7" i="56"/>
  <c r="V6" i="56"/>
  <c r="W6" i="56" s="1"/>
  <c r="T5" i="56"/>
  <c r="V5" i="56" s="1"/>
  <c r="W5" i="56" s="1"/>
  <c r="V4" i="56"/>
  <c r="W4" i="56" s="1"/>
  <c r="V3" i="56"/>
  <c r="W3" i="56" s="1"/>
  <c r="V2" i="56"/>
  <c r="W2" i="56" s="1"/>
  <c r="AA174" i="97"/>
  <c r="Z174" i="97"/>
  <c r="L173" i="97"/>
  <c r="K173" i="97"/>
  <c r="J173" i="97"/>
  <c r="AH172" i="97"/>
  <c r="L172" i="97"/>
  <c r="K172" i="97"/>
  <c r="J172" i="97"/>
  <c r="T170" i="97"/>
  <c r="Y170" i="97" s="1"/>
  <c r="Y172" i="97" s="1"/>
  <c r="R178" i="97" s="1"/>
  <c r="T169" i="97"/>
  <c r="X169" i="97" s="1"/>
  <c r="X172" i="97" s="1"/>
  <c r="W167" i="97"/>
  <c r="R167" i="97"/>
  <c r="T167" i="97" s="1"/>
  <c r="Q167" i="97"/>
  <c r="T166" i="97"/>
  <c r="U166" i="97" s="1"/>
  <c r="R166" i="97"/>
  <c r="Q166" i="97"/>
  <c r="T165" i="97"/>
  <c r="R165" i="97"/>
  <c r="Q165" i="97"/>
  <c r="AC164" i="97"/>
  <c r="T164" i="97"/>
  <c r="W164" i="97" s="1"/>
  <c r="W172" i="97" s="1"/>
  <c r="R164" i="97"/>
  <c r="Q164" i="97"/>
  <c r="O163" i="97"/>
  <c r="Q163" i="97" s="1"/>
  <c r="R163" i="97" s="1"/>
  <c r="AF162" i="97"/>
  <c r="O162" i="97"/>
  <c r="Q162" i="97" s="1"/>
  <c r="R162" i="97" s="1"/>
  <c r="T162" i="97" s="1"/>
  <c r="V161" i="97"/>
  <c r="T161" i="97"/>
  <c r="Q161" i="97"/>
  <c r="R161" i="97" s="1"/>
  <c r="R160" i="97"/>
  <c r="Q160" i="97"/>
  <c r="R159" i="97"/>
  <c r="Q159" i="97"/>
  <c r="AA142" i="97"/>
  <c r="Z142" i="97"/>
  <c r="L141" i="97"/>
  <c r="K141" i="97"/>
  <c r="J141" i="97"/>
  <c r="Y140" i="97"/>
  <c r="R146" i="97" s="1"/>
  <c r="M140" i="97"/>
  <c r="L140" i="97"/>
  <c r="K140" i="97"/>
  <c r="J140" i="97"/>
  <c r="T138" i="97"/>
  <c r="Y138" i="97" s="1"/>
  <c r="T137" i="97"/>
  <c r="X137" i="97" s="1"/>
  <c r="X140" i="97" s="1"/>
  <c r="R145" i="97" s="1"/>
  <c r="R135" i="97"/>
  <c r="Q135" i="97"/>
  <c r="R134" i="97"/>
  <c r="T134" i="97" s="1"/>
  <c r="Q134" i="97"/>
  <c r="Q133" i="97"/>
  <c r="R133" i="97" s="1"/>
  <c r="T132" i="97"/>
  <c r="R132" i="97"/>
  <c r="Q132" i="97"/>
  <c r="Q131" i="97"/>
  <c r="R131" i="97" s="1"/>
  <c r="Q130" i="97"/>
  <c r="R130" i="97" s="1"/>
  <c r="Q129" i="97"/>
  <c r="R129" i="97" s="1"/>
  <c r="O129" i="97"/>
  <c r="Q128" i="97"/>
  <c r="R128" i="97" s="1"/>
  <c r="O128" i="97"/>
  <c r="AA127" i="97"/>
  <c r="V127" i="97"/>
  <c r="R127" i="97"/>
  <c r="T127" i="97" s="1"/>
  <c r="AD127" i="97" s="1"/>
  <c r="AD140" i="97" s="1"/>
  <c r="Q127" i="97"/>
  <c r="Q126" i="97"/>
  <c r="R126" i="97" s="1"/>
  <c r="R125" i="97"/>
  <c r="Q125" i="97"/>
  <c r="R112" i="97"/>
  <c r="R110" i="97"/>
  <c r="AA108" i="97"/>
  <c r="Z108" i="97"/>
  <c r="L107" i="97"/>
  <c r="K107" i="97"/>
  <c r="J107" i="97"/>
  <c r="W106" i="97"/>
  <c r="N106" i="97"/>
  <c r="J105" i="97" s="1"/>
  <c r="M106" i="97"/>
  <c r="L106" i="97"/>
  <c r="K106" i="97"/>
  <c r="J106" i="97"/>
  <c r="T104" i="97"/>
  <c r="Y104" i="97" s="1"/>
  <c r="Y106" i="97" s="1"/>
  <c r="X103" i="97"/>
  <c r="X106" i="97" s="1"/>
  <c r="T103" i="97"/>
  <c r="T101" i="97"/>
  <c r="Q101" i="97"/>
  <c r="R101" i="97" s="1"/>
  <c r="R100" i="97"/>
  <c r="T100" i="97" s="1"/>
  <c r="AA100" i="97" s="1"/>
  <c r="Q100" i="97"/>
  <c r="Z99" i="97"/>
  <c r="U99" i="97"/>
  <c r="R99" i="97"/>
  <c r="T99" i="97" s="1"/>
  <c r="AF99" i="97" s="1"/>
  <c r="Q99" i="97"/>
  <c r="O98" i="97"/>
  <c r="Q98" i="97" s="1"/>
  <c r="R98" i="97" s="1"/>
  <c r="Q97" i="97"/>
  <c r="R97" i="97" s="1"/>
  <c r="T97" i="97" s="1"/>
  <c r="AD97" i="97" s="1"/>
  <c r="AD106" i="97" s="1"/>
  <c r="Q96" i="97"/>
  <c r="R96" i="97" s="1"/>
  <c r="R95" i="97"/>
  <c r="Q95" i="97"/>
  <c r="AA74" i="97"/>
  <c r="AA75" i="97" s="1"/>
  <c r="Z74" i="97"/>
  <c r="M73" i="97"/>
  <c r="L73" i="97"/>
  <c r="K73" i="97"/>
  <c r="J73" i="97"/>
  <c r="N72" i="97"/>
  <c r="M72" i="97"/>
  <c r="L72" i="97"/>
  <c r="K72" i="97"/>
  <c r="J72" i="97"/>
  <c r="T70" i="97"/>
  <c r="Y70" i="97" s="1"/>
  <c r="Y72" i="97" s="1"/>
  <c r="X69" i="97"/>
  <c r="X72" i="97" s="1"/>
  <c r="T69" i="97"/>
  <c r="AH67" i="97"/>
  <c r="AH72" i="97" s="1"/>
  <c r="W67" i="97"/>
  <c r="R67" i="97"/>
  <c r="T67" i="97" s="1"/>
  <c r="Z67" i="97" s="1"/>
  <c r="Q67" i="97"/>
  <c r="AG66" i="97"/>
  <c r="R66" i="97"/>
  <c r="T66" i="97" s="1"/>
  <c r="Z66" i="97" s="1"/>
  <c r="Q66" i="97"/>
  <c r="Q65" i="97"/>
  <c r="R65" i="97" s="1"/>
  <c r="R64" i="97"/>
  <c r="Q64" i="97"/>
  <c r="R63" i="97"/>
  <c r="T63" i="97" s="1"/>
  <c r="Q63" i="97"/>
  <c r="Q62" i="97"/>
  <c r="R62" i="97" s="1"/>
  <c r="T61" i="97"/>
  <c r="Q61" i="97"/>
  <c r="R61" i="97" s="1"/>
  <c r="O61" i="97"/>
  <c r="O60" i="97"/>
  <c r="Q60" i="97" s="1"/>
  <c r="R60" i="97" s="1"/>
  <c r="Z59" i="97"/>
  <c r="V59" i="97"/>
  <c r="Q59" i="97"/>
  <c r="R59" i="97" s="1"/>
  <c r="T59" i="97" s="1"/>
  <c r="AD59" i="97" s="1"/>
  <c r="AD72" i="97" s="1"/>
  <c r="Q58" i="97"/>
  <c r="R58" i="97" s="1"/>
  <c r="T58" i="97" s="1"/>
  <c r="V57" i="97"/>
  <c r="R57" i="97"/>
  <c r="T57" i="97" s="1"/>
  <c r="Q57" i="97"/>
  <c r="R45" i="97"/>
  <c r="AA42" i="97"/>
  <c r="Z42" i="97"/>
  <c r="M41" i="97"/>
  <c r="L41" i="97"/>
  <c r="K41" i="97"/>
  <c r="J41" i="97"/>
  <c r="M40" i="97"/>
  <c r="L40" i="97"/>
  <c r="K40" i="97"/>
  <c r="J40" i="97"/>
  <c r="T38" i="97"/>
  <c r="Y38" i="97" s="1"/>
  <c r="Y40" i="97" s="1"/>
  <c r="T37" i="97"/>
  <c r="X37" i="97" s="1"/>
  <c r="X40" i="97" s="1"/>
  <c r="AF35" i="97"/>
  <c r="Z35" i="97"/>
  <c r="T35" i="97"/>
  <c r="U35" i="97" s="1"/>
  <c r="R35" i="97"/>
  <c r="Q35" i="97"/>
  <c r="R34" i="97"/>
  <c r="Q34" i="97"/>
  <c r="R33" i="97"/>
  <c r="Q33" i="97"/>
  <c r="Q32" i="97"/>
  <c r="R32" i="97" s="1"/>
  <c r="O32" i="97"/>
  <c r="AD31" i="97"/>
  <c r="AD40" i="97" s="1"/>
  <c r="V31" i="97"/>
  <c r="R31" i="97"/>
  <c r="T31" i="97" s="1"/>
  <c r="Z31" i="97" s="1"/>
  <c r="Q31" i="97"/>
  <c r="R30" i="97"/>
  <c r="T30" i="97" s="1"/>
  <c r="Q30" i="97"/>
  <c r="Q29" i="97"/>
  <c r="R29" i="97" s="1"/>
  <c r="W52" i="55"/>
  <c r="V52" i="55"/>
  <c r="V51" i="55"/>
  <c r="W51" i="55" s="1"/>
  <c r="V50" i="55"/>
  <c r="W50" i="55" s="1"/>
  <c r="V49" i="55"/>
  <c r="W49" i="55" s="1"/>
  <c r="V48" i="55"/>
  <c r="W48" i="55" s="1"/>
  <c r="W47" i="55"/>
  <c r="V47" i="55"/>
  <c r="W46" i="55"/>
  <c r="V46" i="55"/>
  <c r="W45" i="55"/>
  <c r="V45" i="55"/>
  <c r="V43" i="55"/>
  <c r="W43" i="55" s="1"/>
  <c r="V42" i="55"/>
  <c r="W42" i="55" s="1"/>
  <c r="V41" i="55"/>
  <c r="W41" i="55" s="1"/>
  <c r="V40" i="55"/>
  <c r="W40" i="55" s="1"/>
  <c r="W39" i="55"/>
  <c r="V39" i="55"/>
  <c r="W38" i="55"/>
  <c r="V38" i="55"/>
  <c r="V37" i="55"/>
  <c r="W37" i="55" s="1"/>
  <c r="V36" i="55"/>
  <c r="W36" i="55" s="1"/>
  <c r="W35" i="55"/>
  <c r="V35" i="55"/>
  <c r="V33" i="55"/>
  <c r="W33" i="55" s="1"/>
  <c r="W32" i="55"/>
  <c r="V32" i="55"/>
  <c r="V31" i="55"/>
  <c r="W31" i="55" s="1"/>
  <c r="W30" i="55"/>
  <c r="V30" i="55"/>
  <c r="V29" i="55"/>
  <c r="W29" i="55" s="1"/>
  <c r="V28" i="55"/>
  <c r="W28" i="55" s="1"/>
  <c r="V27" i="55"/>
  <c r="W27" i="55" s="1"/>
  <c r="W26" i="55"/>
  <c r="V26" i="55"/>
  <c r="V25" i="55"/>
  <c r="W25" i="55" s="1"/>
  <c r="W23" i="55"/>
  <c r="V23" i="55"/>
  <c r="V22" i="55"/>
  <c r="W22" i="55" s="1"/>
  <c r="V21" i="55"/>
  <c r="W21" i="55" s="1"/>
  <c r="W20" i="55"/>
  <c r="V20" i="55"/>
  <c r="W19" i="55"/>
  <c r="V19" i="55"/>
  <c r="W18" i="55"/>
  <c r="V18" i="55"/>
  <c r="V17" i="55"/>
  <c r="W17" i="55" s="1"/>
  <c r="V16" i="55"/>
  <c r="W16" i="55" s="1"/>
  <c r="V15" i="55"/>
  <c r="W15" i="55" s="1"/>
  <c r="V14" i="55"/>
  <c r="W14" i="55" s="1"/>
  <c r="W12" i="55"/>
  <c r="V12" i="55"/>
  <c r="V11" i="55"/>
  <c r="W11" i="55" s="1"/>
  <c r="V10" i="55"/>
  <c r="W10" i="55" s="1"/>
  <c r="V9" i="55"/>
  <c r="W9" i="55" s="1"/>
  <c r="W8" i="55"/>
  <c r="V8" i="55"/>
  <c r="V7" i="55"/>
  <c r="W7" i="55" s="1"/>
  <c r="W6" i="55"/>
  <c r="V6" i="55"/>
  <c r="V5" i="55"/>
  <c r="W5" i="55" s="1"/>
  <c r="W4" i="55"/>
  <c r="V4" i="55"/>
  <c r="V3" i="55"/>
  <c r="W3" i="55" s="1"/>
  <c r="W2" i="55"/>
  <c r="V2" i="55"/>
  <c r="Z191" i="96"/>
  <c r="Y191" i="96"/>
  <c r="K190" i="96"/>
  <c r="J190" i="96"/>
  <c r="M190" i="96" s="1"/>
  <c r="I190" i="96"/>
  <c r="W189" i="96"/>
  <c r="K189" i="96"/>
  <c r="I189" i="96"/>
  <c r="S187" i="96"/>
  <c r="X187" i="96" s="1"/>
  <c r="X189" i="96" s="1"/>
  <c r="W186" i="96"/>
  <c r="P181" i="96"/>
  <c r="Q181" i="96" s="1"/>
  <c r="S180" i="96"/>
  <c r="AD180" i="96" s="1"/>
  <c r="P180" i="96"/>
  <c r="Q180" i="96" s="1"/>
  <c r="P179" i="96"/>
  <c r="Q179" i="96" s="1"/>
  <c r="Q178" i="96"/>
  <c r="S178" i="96" s="1"/>
  <c r="AC178" i="96" s="1"/>
  <c r="P178" i="96"/>
  <c r="S177" i="96"/>
  <c r="P177" i="96"/>
  <c r="Q177" i="96" s="1"/>
  <c r="Q176" i="96"/>
  <c r="S176" i="96" s="1"/>
  <c r="P176" i="96"/>
  <c r="Q175" i="96"/>
  <c r="P175" i="96"/>
  <c r="P174" i="96"/>
  <c r="Q174" i="96" s="1"/>
  <c r="Z154" i="96"/>
  <c r="Y154" i="96"/>
  <c r="M153" i="96"/>
  <c r="K153" i="96"/>
  <c r="J153" i="96"/>
  <c r="I153" i="96"/>
  <c r="W152" i="96"/>
  <c r="Q158" i="96" s="1"/>
  <c r="K152" i="96"/>
  <c r="I152" i="96"/>
  <c r="X150" i="96"/>
  <c r="X152" i="96" s="1"/>
  <c r="S150" i="96"/>
  <c r="W149" i="96"/>
  <c r="Q144" i="96"/>
  <c r="P144" i="96"/>
  <c r="P143" i="96"/>
  <c r="Q143" i="96" s="1"/>
  <c r="P142" i="96"/>
  <c r="Q142" i="96" s="1"/>
  <c r="P141" i="96"/>
  <c r="Q141" i="96" s="1"/>
  <c r="P140" i="96"/>
  <c r="Q140" i="96" s="1"/>
  <c r="P139" i="96"/>
  <c r="Q139" i="96" s="1"/>
  <c r="P138" i="96"/>
  <c r="Q138" i="96" s="1"/>
  <c r="P137" i="96"/>
  <c r="Q137" i="96" s="1"/>
  <c r="S137" i="96" s="1"/>
  <c r="Q136" i="96"/>
  <c r="P136" i="96"/>
  <c r="Q125" i="96"/>
  <c r="Z122" i="96"/>
  <c r="Y122" i="96"/>
  <c r="K121" i="96"/>
  <c r="I121" i="96"/>
  <c r="J121" i="96" s="1"/>
  <c r="W120" i="96"/>
  <c r="K120" i="96"/>
  <c r="I120" i="96"/>
  <c r="X118" i="96"/>
  <c r="X120" i="96" s="1"/>
  <c r="S118" i="96"/>
  <c r="Q114" i="96"/>
  <c r="P114" i="96"/>
  <c r="P113" i="96"/>
  <c r="Q113" i="96" s="1"/>
  <c r="P112" i="96"/>
  <c r="Q112" i="96" s="1"/>
  <c r="Q111" i="96"/>
  <c r="P111" i="96"/>
  <c r="Q110" i="96"/>
  <c r="S110" i="96" s="1"/>
  <c r="AC110" i="96" s="1"/>
  <c r="P110" i="96"/>
  <c r="S109" i="96"/>
  <c r="P109" i="96"/>
  <c r="Q109" i="96" s="1"/>
  <c r="AC108" i="96"/>
  <c r="T108" i="96"/>
  <c r="S108" i="96"/>
  <c r="Z108" i="96" s="1"/>
  <c r="P108" i="96"/>
  <c r="Q108" i="96" s="1"/>
  <c r="Y107" i="96"/>
  <c r="Q107" i="96"/>
  <c r="S107" i="96" s="1"/>
  <c r="P107" i="96"/>
  <c r="P106" i="96"/>
  <c r="Q106" i="96" s="1"/>
  <c r="Q89" i="96"/>
  <c r="Q88" i="96"/>
  <c r="Z85" i="96"/>
  <c r="Y85" i="96"/>
  <c r="L84" i="96"/>
  <c r="K84" i="96"/>
  <c r="J84" i="96"/>
  <c r="I84" i="96"/>
  <c r="X83" i="96"/>
  <c r="K83" i="96"/>
  <c r="I83" i="96"/>
  <c r="S81" i="96"/>
  <c r="X81" i="96" s="1"/>
  <c r="S80" i="96"/>
  <c r="W80" i="96" s="1"/>
  <c r="W83" i="96" s="1"/>
  <c r="Q75" i="96"/>
  <c r="P75" i="96"/>
  <c r="P74" i="96"/>
  <c r="Q74" i="96" s="1"/>
  <c r="P73" i="96"/>
  <c r="Q73" i="96" s="1"/>
  <c r="Y72" i="96"/>
  <c r="Q72" i="96"/>
  <c r="S72" i="96" s="1"/>
  <c r="P72" i="96"/>
  <c r="P71" i="96"/>
  <c r="Q71" i="96" s="1"/>
  <c r="S70" i="96"/>
  <c r="Q70" i="96"/>
  <c r="P70" i="96"/>
  <c r="P69" i="96"/>
  <c r="Q69" i="96" s="1"/>
  <c r="S69" i="96" s="1"/>
  <c r="P68" i="96"/>
  <c r="Q68" i="96" s="1"/>
  <c r="Q67" i="96"/>
  <c r="P67" i="96"/>
  <c r="P66" i="96"/>
  <c r="Q66" i="96" s="1"/>
  <c r="Q56" i="96"/>
  <c r="Z52" i="96"/>
  <c r="Y52" i="96"/>
  <c r="K51" i="96"/>
  <c r="L51" i="96" s="1"/>
  <c r="J51" i="96"/>
  <c r="I51" i="96"/>
  <c r="X50" i="96"/>
  <c r="K50" i="96"/>
  <c r="I50" i="96"/>
  <c r="S48" i="96"/>
  <c r="X48" i="96" s="1"/>
  <c r="S47" i="96"/>
  <c r="W47" i="96" s="1"/>
  <c r="W50" i="96" s="1"/>
  <c r="Q44" i="96"/>
  <c r="P44" i="96"/>
  <c r="Q43" i="96"/>
  <c r="P43" i="96"/>
  <c r="S42" i="96"/>
  <c r="P42" i="96"/>
  <c r="Q42" i="96" s="1"/>
  <c r="P41" i="96"/>
  <c r="Q41" i="96" s="1"/>
  <c r="P40" i="96"/>
  <c r="Q40" i="96" s="1"/>
  <c r="Y39" i="96"/>
  <c r="S39" i="96"/>
  <c r="AC39" i="96" s="1"/>
  <c r="Q39" i="96"/>
  <c r="P39" i="96"/>
  <c r="P38" i="96"/>
  <c r="Q38" i="96" s="1"/>
  <c r="S37" i="96"/>
  <c r="P37" i="96"/>
  <c r="Q37" i="96" s="1"/>
  <c r="P36" i="96"/>
  <c r="Q36" i="96" s="1"/>
  <c r="Q35" i="96"/>
  <c r="P35" i="96"/>
  <c r="S34" i="96"/>
  <c r="Q34" i="96"/>
  <c r="P34" i="96"/>
  <c r="W39" i="54"/>
  <c r="V39" i="54"/>
  <c r="V38" i="54"/>
  <c r="W38" i="54" s="1"/>
  <c r="V37" i="54"/>
  <c r="W37" i="54" s="1"/>
  <c r="W35" i="54"/>
  <c r="V35" i="54"/>
  <c r="V34" i="54"/>
  <c r="W34" i="54" s="1"/>
  <c r="W33" i="54"/>
  <c r="V33" i="54"/>
  <c r="W32" i="54"/>
  <c r="V32" i="54"/>
  <c r="V31" i="54"/>
  <c r="W31" i="54" s="1"/>
  <c r="V30" i="54"/>
  <c r="W30" i="54" s="1"/>
  <c r="V29" i="54"/>
  <c r="W29" i="54" s="1"/>
  <c r="W27" i="54"/>
  <c r="V27" i="54"/>
  <c r="V26" i="54"/>
  <c r="W26" i="54" s="1"/>
  <c r="W25" i="54"/>
  <c r="V25" i="54"/>
  <c r="V24" i="54"/>
  <c r="W24" i="54" s="1"/>
  <c r="W23" i="54"/>
  <c r="V23" i="54"/>
  <c r="V22" i="54"/>
  <c r="W22" i="54" s="1"/>
  <c r="W21" i="54"/>
  <c r="V21" i="54"/>
  <c r="V20" i="54"/>
  <c r="W20" i="54" s="1"/>
  <c r="W18" i="54"/>
  <c r="V18" i="54"/>
  <c r="V17" i="54"/>
  <c r="W17" i="54" s="1"/>
  <c r="V16" i="54"/>
  <c r="W16" i="54" s="1"/>
  <c r="V15" i="54"/>
  <c r="W15" i="54" s="1"/>
  <c r="V14" i="54"/>
  <c r="W14" i="54" s="1"/>
  <c r="W13" i="54"/>
  <c r="V13" i="54"/>
  <c r="W12" i="54"/>
  <c r="V12" i="54"/>
  <c r="V11" i="54"/>
  <c r="W11" i="54" s="1"/>
  <c r="V9" i="54"/>
  <c r="W9" i="54" s="1"/>
  <c r="W8" i="54"/>
  <c r="V8" i="54"/>
  <c r="V7" i="54"/>
  <c r="W7" i="54" s="1"/>
  <c r="W6" i="54"/>
  <c r="V6" i="54"/>
  <c r="W5" i="54"/>
  <c r="V5" i="54"/>
  <c r="V4" i="54"/>
  <c r="W4" i="54" s="1"/>
  <c r="W3" i="54"/>
  <c r="V3" i="54"/>
  <c r="V2" i="54"/>
  <c r="W2" i="54" s="1"/>
  <c r="Z167" i="95"/>
  <c r="Z168" i="95" s="1"/>
  <c r="Y167" i="95"/>
  <c r="Y168" i="95" s="1"/>
  <c r="M166" i="95"/>
  <c r="K166" i="95"/>
  <c r="J166" i="95"/>
  <c r="I166" i="95"/>
  <c r="I167" i="95" s="1"/>
  <c r="W165" i="95"/>
  <c r="V165" i="95"/>
  <c r="Q169" i="95" s="1"/>
  <c r="U165" i="95"/>
  <c r="Q168" i="95" s="1"/>
  <c r="K165" i="95"/>
  <c r="I165" i="95"/>
  <c r="M165" i="95" s="1"/>
  <c r="K164" i="95"/>
  <c r="S163" i="95"/>
  <c r="X163" i="95" s="1"/>
  <c r="X165" i="95" s="1"/>
  <c r="W162" i="95"/>
  <c r="S162" i="95"/>
  <c r="P160" i="95"/>
  <c r="Q160" i="95" s="1"/>
  <c r="Q159" i="95"/>
  <c r="P159" i="95"/>
  <c r="P158" i="95"/>
  <c r="Q158" i="95" s="1"/>
  <c r="Q144" i="95"/>
  <c r="Q141" i="95"/>
  <c r="Z140" i="95"/>
  <c r="Y140" i="95"/>
  <c r="Y141" i="95" s="1"/>
  <c r="K139" i="95"/>
  <c r="K140" i="95" s="1"/>
  <c r="J139" i="95"/>
  <c r="J140" i="95" s="1"/>
  <c r="I139" i="95"/>
  <c r="M139" i="95" s="1"/>
  <c r="AE138" i="95"/>
  <c r="U138" i="95"/>
  <c r="M138" i="95"/>
  <c r="K137" i="95" s="1"/>
  <c r="K138" i="95"/>
  <c r="I138" i="95"/>
  <c r="S136" i="95"/>
  <c r="X136" i="95" s="1"/>
  <c r="X138" i="95" s="1"/>
  <c r="S135" i="95"/>
  <c r="W135" i="95" s="1"/>
  <c r="W138" i="95" s="1"/>
  <c r="AF133" i="95"/>
  <c r="AF138" i="95" s="1"/>
  <c r="Y133" i="95"/>
  <c r="S133" i="95"/>
  <c r="V133" i="95" s="1"/>
  <c r="V138" i="95" s="1"/>
  <c r="Q142" i="95" s="1"/>
  <c r="Q133" i="95"/>
  <c r="P133" i="95"/>
  <c r="P132" i="95"/>
  <c r="Q132" i="95" s="1"/>
  <c r="P131" i="95"/>
  <c r="Q131" i="95" s="1"/>
  <c r="S130" i="95"/>
  <c r="P130" i="95"/>
  <c r="Q130" i="95" s="1"/>
  <c r="P129" i="95"/>
  <c r="Q129" i="95" s="1"/>
  <c r="Q128" i="95"/>
  <c r="P128" i="95"/>
  <c r="P127" i="95"/>
  <c r="Q127" i="95" s="1"/>
  <c r="Q114" i="95"/>
  <c r="Z113" i="95"/>
  <c r="Y113" i="95"/>
  <c r="K112" i="95"/>
  <c r="K113" i="95" s="1"/>
  <c r="J112" i="95"/>
  <c r="J113" i="95" s="1"/>
  <c r="I112" i="95"/>
  <c r="M112" i="95" s="1"/>
  <c r="L113" i="95" s="1"/>
  <c r="AF111" i="95"/>
  <c r="AE111" i="95"/>
  <c r="V111" i="95"/>
  <c r="Q115" i="95" s="1"/>
  <c r="U111" i="95"/>
  <c r="K111" i="95"/>
  <c r="I111" i="95"/>
  <c r="S109" i="95"/>
  <c r="X109" i="95" s="1"/>
  <c r="X111" i="95" s="1"/>
  <c r="Q116" i="95" s="1"/>
  <c r="W108" i="95"/>
  <c r="W111" i="95" s="1"/>
  <c r="Q117" i="95" s="1"/>
  <c r="AD106" i="95"/>
  <c r="Y106" i="95"/>
  <c r="S106" i="95"/>
  <c r="T106" i="95" s="1"/>
  <c r="Q106" i="95"/>
  <c r="P106" i="95"/>
  <c r="Q105" i="95"/>
  <c r="P105" i="95"/>
  <c r="P104" i="95"/>
  <c r="Q104" i="95" s="1"/>
  <c r="P103" i="95"/>
  <c r="Q103" i="95" s="1"/>
  <c r="P102" i="95"/>
  <c r="Q102" i="95" s="1"/>
  <c r="Q101" i="95"/>
  <c r="P101" i="95"/>
  <c r="P100" i="95"/>
  <c r="Q100" i="95" s="1"/>
  <c r="S99" i="95"/>
  <c r="P99" i="95"/>
  <c r="Q99" i="95" s="1"/>
  <c r="Q82" i="95"/>
  <c r="Q80" i="95"/>
  <c r="Z79" i="95"/>
  <c r="Y79" i="95"/>
  <c r="M78" i="95"/>
  <c r="L78" i="95"/>
  <c r="K78" i="95"/>
  <c r="J78" i="95"/>
  <c r="I78" i="95"/>
  <c r="AB77" i="95"/>
  <c r="W77" i="95"/>
  <c r="U77" i="95"/>
  <c r="K77" i="95"/>
  <c r="I77" i="95"/>
  <c r="S75" i="95"/>
  <c r="X75" i="95" s="1"/>
  <c r="X77" i="95" s="1"/>
  <c r="W74" i="95"/>
  <c r="Q71" i="95"/>
  <c r="S71" i="95" s="1"/>
  <c r="P71" i="95"/>
  <c r="Q70" i="95"/>
  <c r="S70" i="95" s="1"/>
  <c r="P70" i="95"/>
  <c r="P69" i="95"/>
  <c r="Q69" i="95" s="1"/>
  <c r="P68" i="95"/>
  <c r="Q68" i="95" s="1"/>
  <c r="AD67" i="95"/>
  <c r="Z67" i="95"/>
  <c r="S67" i="95"/>
  <c r="T67" i="95" s="1"/>
  <c r="Q67" i="95"/>
  <c r="P67" i="95"/>
  <c r="P66" i="95"/>
  <c r="Q66" i="95" s="1"/>
  <c r="P65" i="95"/>
  <c r="Q65" i="95" s="1"/>
  <c r="S64" i="95"/>
  <c r="P64" i="95"/>
  <c r="Q64" i="95" s="1"/>
  <c r="Q51" i="95"/>
  <c r="Z50" i="95"/>
  <c r="Y50" i="95"/>
  <c r="K49" i="95"/>
  <c r="J49" i="95"/>
  <c r="I49" i="95"/>
  <c r="AF48" i="95"/>
  <c r="AE48" i="95"/>
  <c r="V48" i="95"/>
  <c r="U48" i="95"/>
  <c r="K48" i="95"/>
  <c r="M48" i="95" s="1"/>
  <c r="I48" i="95"/>
  <c r="S46" i="95"/>
  <c r="X46" i="95" s="1"/>
  <c r="X48" i="95" s="1"/>
  <c r="W45" i="95"/>
  <c r="W48" i="95" s="1"/>
  <c r="S45" i="95"/>
  <c r="P42" i="95"/>
  <c r="Q42" i="95" s="1"/>
  <c r="P41" i="95"/>
  <c r="Q41" i="95" s="1"/>
  <c r="Q40" i="95"/>
  <c r="P40" i="95"/>
  <c r="AC39" i="95"/>
  <c r="Z39" i="95"/>
  <c r="Q39" i="95"/>
  <c r="S39" i="95" s="1"/>
  <c r="T39" i="95" s="1"/>
  <c r="P39" i="95"/>
  <c r="Q38" i="95"/>
  <c r="P38" i="95"/>
  <c r="P37" i="95"/>
  <c r="Q37" i="95" s="1"/>
  <c r="Z36" i="95"/>
  <c r="S36" i="95"/>
  <c r="T36" i="95" s="1"/>
  <c r="Q36" i="95"/>
  <c r="P36" i="95"/>
  <c r="P35" i="95"/>
  <c r="Q35" i="95" s="1"/>
  <c r="D19" i="95"/>
  <c r="C19" i="95"/>
  <c r="E18" i="95"/>
  <c r="D18" i="95"/>
  <c r="D17" i="95"/>
  <c r="E17" i="95" s="1"/>
  <c r="E16" i="95"/>
  <c r="D16" i="95"/>
  <c r="W41" i="53"/>
  <c r="V41" i="53"/>
  <c r="V40" i="53"/>
  <c r="W40" i="53" s="1"/>
  <c r="W39" i="53"/>
  <c r="V39" i="53"/>
  <c r="V38" i="53"/>
  <c r="W38" i="53" s="1"/>
  <c r="V37" i="53"/>
  <c r="W37" i="53" s="1"/>
  <c r="W36" i="53"/>
  <c r="V36" i="53"/>
  <c r="W35" i="53"/>
  <c r="V35" i="53"/>
  <c r="V34" i="53"/>
  <c r="W34" i="53" s="1"/>
  <c r="W32" i="53"/>
  <c r="V32" i="53"/>
  <c r="V31" i="53"/>
  <c r="W31" i="53" s="1"/>
  <c r="V30" i="53"/>
  <c r="W30" i="53" s="1"/>
  <c r="W29" i="53"/>
  <c r="V29" i="53"/>
  <c r="W28" i="53"/>
  <c r="V28" i="53"/>
  <c r="V27" i="53"/>
  <c r="W27" i="53" s="1"/>
  <c r="W26" i="53"/>
  <c r="V26" i="53"/>
  <c r="V25" i="53"/>
  <c r="W25" i="53" s="1"/>
  <c r="V23" i="53"/>
  <c r="W23" i="53" s="1"/>
  <c r="V22" i="53"/>
  <c r="W22" i="53" s="1"/>
  <c r="W21" i="53"/>
  <c r="V21" i="53"/>
  <c r="W20" i="53"/>
  <c r="V20" i="53"/>
  <c r="W19" i="53"/>
  <c r="V19" i="53"/>
  <c r="V18" i="53"/>
  <c r="W18" i="53" s="1"/>
  <c r="V16" i="53"/>
  <c r="W16" i="53" s="1"/>
  <c r="V15" i="53"/>
  <c r="W15" i="53" s="1"/>
  <c r="W14" i="53"/>
  <c r="V14" i="53"/>
  <c r="W13" i="53"/>
  <c r="V13" i="53"/>
  <c r="W12" i="53"/>
  <c r="V12" i="53"/>
  <c r="V11" i="53"/>
  <c r="W11" i="53" s="1"/>
  <c r="V10" i="53"/>
  <c r="W10" i="53" s="1"/>
  <c r="V9" i="53"/>
  <c r="W9" i="53" s="1"/>
  <c r="W7" i="53"/>
  <c r="V7" i="53"/>
  <c r="V6" i="53"/>
  <c r="W6" i="53" s="1"/>
  <c r="W5" i="53"/>
  <c r="V5" i="53"/>
  <c r="V4" i="53"/>
  <c r="W4" i="53" s="1"/>
  <c r="V3" i="53"/>
  <c r="W3" i="53" s="1"/>
  <c r="V2" i="53"/>
  <c r="W2" i="53" s="1"/>
  <c r="Z175" i="94"/>
  <c r="Y175" i="94"/>
  <c r="K174" i="94"/>
  <c r="J174" i="94"/>
  <c r="I174" i="94"/>
  <c r="K173" i="94"/>
  <c r="I173" i="94"/>
  <c r="S171" i="94"/>
  <c r="X171" i="94" s="1"/>
  <c r="X173" i="94" s="1"/>
  <c r="S170" i="94"/>
  <c r="W170" i="94" s="1"/>
  <c r="W173" i="94" s="1"/>
  <c r="Q168" i="94"/>
  <c r="P168" i="94"/>
  <c r="P167" i="94"/>
  <c r="Q167" i="94" s="1"/>
  <c r="S167" i="94" s="1"/>
  <c r="Y166" i="94"/>
  <c r="T166" i="94"/>
  <c r="S166" i="94"/>
  <c r="AD166" i="94" s="1"/>
  <c r="AD173" i="94" s="1"/>
  <c r="Q166" i="94"/>
  <c r="P166" i="94"/>
  <c r="Q165" i="94"/>
  <c r="P165" i="94"/>
  <c r="S164" i="94"/>
  <c r="P164" i="94"/>
  <c r="Q164" i="94" s="1"/>
  <c r="P163" i="94"/>
  <c r="Q163" i="94" s="1"/>
  <c r="Q162" i="94"/>
  <c r="P162" i="94"/>
  <c r="Q161" i="94"/>
  <c r="P161" i="94"/>
  <c r="Z140" i="94"/>
  <c r="Y140" i="94"/>
  <c r="K139" i="94"/>
  <c r="J139" i="94"/>
  <c r="I139" i="94"/>
  <c r="M139" i="94" s="1"/>
  <c r="K138" i="94"/>
  <c r="I138" i="94"/>
  <c r="X136" i="94"/>
  <c r="X138" i="94" s="1"/>
  <c r="Q143" i="94" s="1"/>
  <c r="S136" i="94"/>
  <c r="W135" i="94"/>
  <c r="W138" i="94" s="1"/>
  <c r="Q133" i="94"/>
  <c r="P133" i="94"/>
  <c r="P132" i="94"/>
  <c r="Q132" i="94" s="1"/>
  <c r="Q131" i="94"/>
  <c r="P131" i="94"/>
  <c r="Q130" i="94"/>
  <c r="S130" i="94" s="1"/>
  <c r="P130" i="94"/>
  <c r="Q129" i="94"/>
  <c r="P129" i="94"/>
  <c r="S128" i="94"/>
  <c r="Q128" i="94"/>
  <c r="P128" i="94"/>
  <c r="Q127" i="94"/>
  <c r="P127" i="94"/>
  <c r="Y126" i="94"/>
  <c r="T126" i="94"/>
  <c r="Q126" i="94"/>
  <c r="S126" i="94" s="1"/>
  <c r="P126" i="94"/>
  <c r="Q114" i="94"/>
  <c r="Z112" i="94"/>
  <c r="Y112" i="94"/>
  <c r="K111" i="94"/>
  <c r="J111" i="94"/>
  <c r="I111" i="94"/>
  <c r="W110" i="94"/>
  <c r="V110" i="94"/>
  <c r="K110" i="94"/>
  <c r="I110" i="94"/>
  <c r="X108" i="94"/>
  <c r="X110" i="94" s="1"/>
  <c r="S108" i="94"/>
  <c r="P103" i="94"/>
  <c r="Q103" i="94" s="1"/>
  <c r="Q102" i="94"/>
  <c r="P102" i="94"/>
  <c r="Q101" i="94"/>
  <c r="P101" i="94"/>
  <c r="AA100" i="94"/>
  <c r="S100" i="94"/>
  <c r="Q100" i="94"/>
  <c r="P100" i="94"/>
  <c r="Q99" i="94"/>
  <c r="P99" i="94"/>
  <c r="Y98" i="94"/>
  <c r="T98" i="94"/>
  <c r="Q98" i="94"/>
  <c r="S98" i="94" s="1"/>
  <c r="AA98" i="94" s="1"/>
  <c r="P98" i="94"/>
  <c r="Z76" i="94"/>
  <c r="Y76" i="94"/>
  <c r="L75" i="94"/>
  <c r="K75" i="94"/>
  <c r="J75" i="94"/>
  <c r="I75" i="94"/>
  <c r="W74" i="94"/>
  <c r="K74" i="94"/>
  <c r="I74" i="94"/>
  <c r="S72" i="94"/>
  <c r="X72" i="94" s="1"/>
  <c r="X74" i="94" s="1"/>
  <c r="S69" i="94"/>
  <c r="Q69" i="94"/>
  <c r="P69" i="94"/>
  <c r="Y68" i="94"/>
  <c r="T68" i="94"/>
  <c r="Q68" i="94"/>
  <c r="S68" i="94" s="1"/>
  <c r="AE68" i="94" s="1"/>
  <c r="AE74" i="94" s="1"/>
  <c r="P68" i="94"/>
  <c r="P67" i="94"/>
  <c r="Q67" i="94" s="1"/>
  <c r="Q66" i="94"/>
  <c r="P66" i="94"/>
  <c r="Z65" i="94"/>
  <c r="Q65" i="94"/>
  <c r="S65" i="94" s="1"/>
  <c r="P65" i="94"/>
  <c r="P64" i="94"/>
  <c r="Q64" i="94" s="1"/>
  <c r="S64" i="94" s="1"/>
  <c r="S63" i="94"/>
  <c r="P63" i="94"/>
  <c r="Q63" i="94" s="1"/>
  <c r="Y62" i="94"/>
  <c r="T62" i="94"/>
  <c r="S62" i="94"/>
  <c r="Q62" i="94"/>
  <c r="P62" i="94"/>
  <c r="Q50" i="94"/>
  <c r="Y49" i="94"/>
  <c r="Z48" i="94"/>
  <c r="Z49" i="94" s="1"/>
  <c r="Y48" i="94"/>
  <c r="L47" i="94"/>
  <c r="K47" i="94"/>
  <c r="J47" i="94"/>
  <c r="I47" i="94"/>
  <c r="M47" i="94" s="1"/>
  <c r="AF46" i="94"/>
  <c r="AE46" i="94"/>
  <c r="W46" i="94"/>
  <c r="V46" i="94"/>
  <c r="M46" i="94"/>
  <c r="K46" i="94"/>
  <c r="I46" i="94"/>
  <c r="X44" i="94"/>
  <c r="X46" i="94" s="1"/>
  <c r="S44" i="94"/>
  <c r="AD39" i="94"/>
  <c r="AD46" i="94" s="1"/>
  <c r="S39" i="94"/>
  <c r="Q39" i="94"/>
  <c r="P39" i="94"/>
  <c r="Q38" i="94"/>
  <c r="P38" i="94"/>
  <c r="T37" i="94"/>
  <c r="Q37" i="94"/>
  <c r="S37" i="94" s="1"/>
  <c r="AB37" i="94" s="1"/>
  <c r="AB46" i="94" s="1"/>
  <c r="P37" i="94"/>
  <c r="S36" i="94"/>
  <c r="P36" i="94"/>
  <c r="Q36" i="94" s="1"/>
  <c r="P35" i="94"/>
  <c r="Q35" i="94" s="1"/>
  <c r="Q34" i="94"/>
  <c r="P34" i="94"/>
  <c r="W49" i="52"/>
  <c r="V49" i="52"/>
  <c r="V48" i="52"/>
  <c r="W48" i="52" s="1"/>
  <c r="W47" i="52"/>
  <c r="V47" i="52"/>
  <c r="W46" i="52"/>
  <c r="V46" i="52"/>
  <c r="W45" i="52"/>
  <c r="V45" i="52"/>
  <c r="W44" i="52"/>
  <c r="V44" i="52"/>
  <c r="W43" i="52"/>
  <c r="V43" i="52"/>
  <c r="V42" i="52"/>
  <c r="W42" i="52" s="1"/>
  <c r="W40" i="52"/>
  <c r="V40" i="52"/>
  <c r="V39" i="52"/>
  <c r="W39" i="52" s="1"/>
  <c r="W38" i="52"/>
  <c r="V38" i="52"/>
  <c r="W37" i="52"/>
  <c r="V37" i="52"/>
  <c r="W36" i="52"/>
  <c r="V36" i="52"/>
  <c r="V35" i="52"/>
  <c r="W35" i="52" s="1"/>
  <c r="W34" i="52"/>
  <c r="V34" i="52"/>
  <c r="V33" i="52"/>
  <c r="W33" i="52" s="1"/>
  <c r="W31" i="52"/>
  <c r="V31" i="52"/>
  <c r="W30" i="52"/>
  <c r="V30" i="52"/>
  <c r="V29" i="52"/>
  <c r="W29" i="52" s="1"/>
  <c r="V28" i="52"/>
  <c r="W28" i="52" s="1"/>
  <c r="W27" i="52"/>
  <c r="V27" i="52"/>
  <c r="V26" i="52"/>
  <c r="W26" i="52" s="1"/>
  <c r="W25" i="52"/>
  <c r="V25" i="52"/>
  <c r="W24" i="52"/>
  <c r="V24" i="52"/>
  <c r="V23" i="52"/>
  <c r="W23" i="52" s="1"/>
  <c r="V21" i="52"/>
  <c r="W21" i="52" s="1"/>
  <c r="W20" i="52"/>
  <c r="V20" i="52"/>
  <c r="V19" i="52"/>
  <c r="W19" i="52" s="1"/>
  <c r="W18" i="52"/>
  <c r="V18" i="52"/>
  <c r="W17" i="52"/>
  <c r="V17" i="52"/>
  <c r="W16" i="52"/>
  <c r="V16" i="52"/>
  <c r="V15" i="52"/>
  <c r="W15" i="52" s="1"/>
  <c r="W14" i="52"/>
  <c r="V14" i="52"/>
  <c r="W13" i="52"/>
  <c r="V13" i="52"/>
  <c r="W12" i="52"/>
  <c r="V12" i="52"/>
  <c r="W10" i="52"/>
  <c r="V10" i="52"/>
  <c r="V9" i="52"/>
  <c r="W9" i="52" s="1"/>
  <c r="V8" i="52"/>
  <c r="W8" i="52" s="1"/>
  <c r="W7" i="52"/>
  <c r="V7" i="52"/>
  <c r="W6" i="52"/>
  <c r="V6" i="52"/>
  <c r="W5" i="52"/>
  <c r="V5" i="52"/>
  <c r="W4" i="52"/>
  <c r="V4" i="52"/>
  <c r="W3" i="52"/>
  <c r="V3" i="52"/>
  <c r="V2" i="52"/>
  <c r="W2" i="52" s="1"/>
  <c r="Q177" i="93"/>
  <c r="Z174" i="93"/>
  <c r="Y174" i="93"/>
  <c r="L173" i="93"/>
  <c r="K173" i="93"/>
  <c r="J173" i="93"/>
  <c r="I173" i="93"/>
  <c r="W172" i="93"/>
  <c r="U172" i="93"/>
  <c r="Q175" i="93" s="1"/>
  <c r="K172" i="93"/>
  <c r="I172" i="93"/>
  <c r="M172" i="93" s="1"/>
  <c r="Z175" i="93" s="1"/>
  <c r="X170" i="93"/>
  <c r="X172" i="93" s="1"/>
  <c r="S170" i="93"/>
  <c r="W169" i="93"/>
  <c r="P167" i="93"/>
  <c r="Q167" i="93" s="1"/>
  <c r="P166" i="93"/>
  <c r="Q166" i="93" s="1"/>
  <c r="AD165" i="93"/>
  <c r="AD172" i="93" s="1"/>
  <c r="Q165" i="93"/>
  <c r="S165" i="93" s="1"/>
  <c r="Z165" i="93" s="1"/>
  <c r="P165" i="93"/>
  <c r="S164" i="93"/>
  <c r="Q164" i="93"/>
  <c r="P164" i="93"/>
  <c r="AB163" i="93"/>
  <c r="T163" i="93"/>
  <c r="S163" i="93"/>
  <c r="Y163" i="93" s="1"/>
  <c r="P163" i="93"/>
  <c r="Q163" i="93" s="1"/>
  <c r="Q162" i="93"/>
  <c r="P162" i="93"/>
  <c r="P161" i="93"/>
  <c r="Q161" i="93" s="1"/>
  <c r="P160" i="93"/>
  <c r="Q160" i="93" s="1"/>
  <c r="Q144" i="93"/>
  <c r="Z141" i="93"/>
  <c r="Y141" i="93"/>
  <c r="K140" i="93"/>
  <c r="J140" i="93"/>
  <c r="I140" i="93"/>
  <c r="U139" i="93"/>
  <c r="K139" i="93"/>
  <c r="I139" i="93"/>
  <c r="X137" i="93"/>
  <c r="X139" i="93" s="1"/>
  <c r="S137" i="93"/>
  <c r="W136" i="93"/>
  <c r="W139" i="93" s="1"/>
  <c r="Y134" i="93"/>
  <c r="S134" i="93"/>
  <c r="Q134" i="93"/>
  <c r="P134" i="93"/>
  <c r="P133" i="93"/>
  <c r="Q133" i="93" s="1"/>
  <c r="Q132" i="93"/>
  <c r="P132" i="93"/>
  <c r="Q131" i="93"/>
  <c r="P131" i="93"/>
  <c r="AB130" i="93"/>
  <c r="Q130" i="93"/>
  <c r="S130" i="93" s="1"/>
  <c r="P130" i="93"/>
  <c r="P129" i="93"/>
  <c r="Q129" i="93" s="1"/>
  <c r="S129" i="93" s="1"/>
  <c r="S128" i="93"/>
  <c r="Q128" i="93"/>
  <c r="P128" i="93"/>
  <c r="S127" i="93"/>
  <c r="P127" i="93"/>
  <c r="Q127" i="93" s="1"/>
  <c r="Z114" i="93"/>
  <c r="Z115" i="93" s="1"/>
  <c r="Y114" i="93"/>
  <c r="Y115" i="93" s="1"/>
  <c r="K113" i="93"/>
  <c r="J113" i="93"/>
  <c r="I113" i="93"/>
  <c r="W112" i="93"/>
  <c r="U112" i="93"/>
  <c r="K112" i="93"/>
  <c r="I112" i="93"/>
  <c r="M112" i="93" s="1"/>
  <c r="K111" i="93"/>
  <c r="I111" i="93"/>
  <c r="X110" i="93"/>
  <c r="S110" i="93"/>
  <c r="P107" i="93"/>
  <c r="Q107" i="93" s="1"/>
  <c r="P106" i="93"/>
  <c r="Q106" i="93" s="1"/>
  <c r="P105" i="93"/>
  <c r="Q105" i="93" s="1"/>
  <c r="Q104" i="93"/>
  <c r="P104" i="93"/>
  <c r="P103" i="93"/>
  <c r="Q103" i="93" s="1"/>
  <c r="Z102" i="93"/>
  <c r="P102" i="93"/>
  <c r="Q102" i="93" s="1"/>
  <c r="S102" i="93" s="1"/>
  <c r="Q101" i="93"/>
  <c r="P101" i="93"/>
  <c r="Q100" i="93"/>
  <c r="S100" i="93" s="1"/>
  <c r="P100" i="93"/>
  <c r="P99" i="93"/>
  <c r="Q99" i="93" s="1"/>
  <c r="Q82" i="93"/>
  <c r="Q80" i="93"/>
  <c r="Z79" i="93"/>
  <c r="Y79" i="93"/>
  <c r="L78" i="93"/>
  <c r="K78" i="93"/>
  <c r="J78" i="93"/>
  <c r="I78" i="93"/>
  <c r="X77" i="93"/>
  <c r="U77" i="93"/>
  <c r="K77" i="93"/>
  <c r="I77" i="93"/>
  <c r="M77" i="93" s="1"/>
  <c r="K76" i="93" s="1"/>
  <c r="S75" i="93"/>
  <c r="X75" i="93" s="1"/>
  <c r="W74" i="93"/>
  <c r="W77" i="93" s="1"/>
  <c r="Q72" i="93"/>
  <c r="P72" i="93"/>
  <c r="S71" i="93"/>
  <c r="Q71" i="93"/>
  <c r="P71" i="93"/>
  <c r="S70" i="93"/>
  <c r="Q70" i="93"/>
  <c r="P70" i="93"/>
  <c r="T69" i="93"/>
  <c r="Q69" i="93"/>
  <c r="S69" i="93" s="1"/>
  <c r="P69" i="93"/>
  <c r="S68" i="93"/>
  <c r="P68" i="93"/>
  <c r="Q68" i="93" s="1"/>
  <c r="P67" i="93"/>
  <c r="Q67" i="93" s="1"/>
  <c r="Z66" i="93"/>
  <c r="Q66" i="93"/>
  <c r="S66" i="93" s="1"/>
  <c r="P66" i="93"/>
  <c r="P65" i="93"/>
  <c r="Q65" i="93" s="1"/>
  <c r="S65" i="93" s="1"/>
  <c r="P64" i="93"/>
  <c r="Q64" i="93" s="1"/>
  <c r="P63" i="93"/>
  <c r="Q63" i="93" s="1"/>
  <c r="Q50" i="93"/>
  <c r="Z49" i="93"/>
  <c r="Y49" i="93"/>
  <c r="L48" i="93"/>
  <c r="K48" i="93"/>
  <c r="J48" i="93"/>
  <c r="I48" i="93"/>
  <c r="M48" i="93" s="1"/>
  <c r="U47" i="93"/>
  <c r="K47" i="93"/>
  <c r="I47" i="93"/>
  <c r="S45" i="93"/>
  <c r="X45" i="93" s="1"/>
  <c r="X47" i="93" s="1"/>
  <c r="Q52" i="93" s="1"/>
  <c r="W44" i="93"/>
  <c r="W47" i="93" s="1"/>
  <c r="P42" i="93"/>
  <c r="Q42" i="93" s="1"/>
  <c r="Q41" i="93"/>
  <c r="P41" i="93"/>
  <c r="S40" i="93"/>
  <c r="Q40" i="93"/>
  <c r="P40" i="93"/>
  <c r="Q39" i="93"/>
  <c r="P39" i="93"/>
  <c r="Q38" i="93"/>
  <c r="S38" i="93" s="1"/>
  <c r="P38" i="93"/>
  <c r="S37" i="93"/>
  <c r="P37" i="93"/>
  <c r="Q37" i="93" s="1"/>
  <c r="P36" i="93"/>
  <c r="Q36" i="93" s="1"/>
  <c r="Q35" i="93"/>
  <c r="S35" i="93" s="1"/>
  <c r="P35" i="93"/>
  <c r="P34" i="93"/>
  <c r="Q34" i="93" s="1"/>
  <c r="C18" i="93"/>
  <c r="D17" i="93"/>
  <c r="D18" i="93" s="1"/>
  <c r="E16" i="93"/>
  <c r="D16" i="93"/>
  <c r="E15" i="93"/>
  <c r="D15" i="93"/>
  <c r="W46" i="51"/>
  <c r="V46" i="51"/>
  <c r="V45" i="51"/>
  <c r="W45" i="51" s="1"/>
  <c r="W44" i="51"/>
  <c r="V44" i="51"/>
  <c r="V43" i="51"/>
  <c r="W43" i="51" s="1"/>
  <c r="V42" i="51"/>
  <c r="W42" i="51" s="1"/>
  <c r="W40" i="51"/>
  <c r="V40" i="51"/>
  <c r="W39" i="51"/>
  <c r="V39" i="51"/>
  <c r="V38" i="51"/>
  <c r="W38" i="51" s="1"/>
  <c r="W37" i="51"/>
  <c r="V37" i="51"/>
  <c r="V36" i="51"/>
  <c r="W36" i="51" s="1"/>
  <c r="V35" i="51"/>
  <c r="W35" i="51" s="1"/>
  <c r="W34" i="51"/>
  <c r="V34" i="51"/>
  <c r="W33" i="51"/>
  <c r="V33" i="51"/>
  <c r="V32" i="51"/>
  <c r="W32" i="51" s="1"/>
  <c r="W30" i="51"/>
  <c r="V30" i="51"/>
  <c r="V29" i="51"/>
  <c r="W29" i="51" s="1"/>
  <c r="V28" i="51"/>
  <c r="W28" i="51" s="1"/>
  <c r="W27" i="51"/>
  <c r="V27" i="51"/>
  <c r="W26" i="51"/>
  <c r="V26" i="51"/>
  <c r="V25" i="51"/>
  <c r="W25" i="51" s="1"/>
  <c r="W24" i="51"/>
  <c r="V24" i="51"/>
  <c r="V23" i="51"/>
  <c r="W23" i="51" s="1"/>
  <c r="V21" i="51"/>
  <c r="W21" i="51" s="1"/>
  <c r="W20" i="51"/>
  <c r="V20" i="51"/>
  <c r="W19" i="51"/>
  <c r="V19" i="51"/>
  <c r="V18" i="51"/>
  <c r="W18" i="51" s="1"/>
  <c r="W17" i="51"/>
  <c r="V17" i="51"/>
  <c r="V16" i="51"/>
  <c r="W16" i="51" s="1"/>
  <c r="V15" i="51"/>
  <c r="W15" i="51" s="1"/>
  <c r="W14" i="51"/>
  <c r="V14" i="51"/>
  <c r="W13" i="51"/>
  <c r="V13" i="51"/>
  <c r="V11" i="51"/>
  <c r="W11" i="51" s="1"/>
  <c r="W10" i="51"/>
  <c r="V10" i="51"/>
  <c r="V9" i="51"/>
  <c r="W9" i="51" s="1"/>
  <c r="V8" i="51"/>
  <c r="W8" i="51" s="1"/>
  <c r="W7" i="51"/>
  <c r="V7" i="51"/>
  <c r="W6" i="51"/>
  <c r="V6" i="51"/>
  <c r="V5" i="51"/>
  <c r="W5" i="51" s="1"/>
  <c r="W4" i="51"/>
  <c r="V4" i="51"/>
  <c r="V3" i="51"/>
  <c r="W3" i="51" s="1"/>
  <c r="V2" i="51"/>
  <c r="W2" i="51" s="1"/>
  <c r="Q176" i="92"/>
  <c r="Q175" i="92"/>
  <c r="Q174" i="92"/>
  <c r="Z173" i="92"/>
  <c r="Y173" i="92"/>
  <c r="K172" i="92"/>
  <c r="J172" i="92"/>
  <c r="I172" i="92"/>
  <c r="AE171" i="92"/>
  <c r="AD171" i="92"/>
  <c r="AC171" i="92"/>
  <c r="V171" i="92"/>
  <c r="U171" i="92"/>
  <c r="K171" i="92"/>
  <c r="I171" i="92"/>
  <c r="S169" i="92"/>
  <c r="X169" i="92" s="1"/>
  <c r="X171" i="92" s="1"/>
  <c r="W168" i="92"/>
  <c r="W171" i="92" s="1"/>
  <c r="AB166" i="92"/>
  <c r="S166" i="92"/>
  <c r="Q166" i="92"/>
  <c r="P166" i="92"/>
  <c r="Q165" i="92"/>
  <c r="P165" i="92"/>
  <c r="Q164" i="92"/>
  <c r="S164" i="92" s="1"/>
  <c r="P164" i="92"/>
  <c r="T163" i="92"/>
  <c r="S163" i="92"/>
  <c r="AA163" i="92" s="1"/>
  <c r="P163" i="92"/>
  <c r="Q163" i="92" s="1"/>
  <c r="P162" i="92"/>
  <c r="Q162" i="92" s="1"/>
  <c r="Q146" i="92"/>
  <c r="Z143" i="92"/>
  <c r="Y143" i="92"/>
  <c r="K142" i="92"/>
  <c r="J142" i="92"/>
  <c r="I142" i="92"/>
  <c r="AE141" i="92"/>
  <c r="X141" i="92"/>
  <c r="K141" i="92"/>
  <c r="J141" i="92"/>
  <c r="I141" i="92"/>
  <c r="S139" i="92"/>
  <c r="X139" i="92" s="1"/>
  <c r="W138" i="92"/>
  <c r="W141" i="92" s="1"/>
  <c r="P136" i="92"/>
  <c r="Q136" i="92" s="1"/>
  <c r="P135" i="92"/>
  <c r="Q135" i="92" s="1"/>
  <c r="S134" i="92"/>
  <c r="P134" i="92"/>
  <c r="Q134" i="92" s="1"/>
  <c r="P133" i="92"/>
  <c r="Q133" i="92" s="1"/>
  <c r="P132" i="92"/>
  <c r="Q132" i="92" s="1"/>
  <c r="Q131" i="92"/>
  <c r="P131" i="92"/>
  <c r="S130" i="92"/>
  <c r="Q130" i="92"/>
  <c r="P130" i="92"/>
  <c r="Q129" i="92"/>
  <c r="S129" i="92" s="1"/>
  <c r="P129" i="92"/>
  <c r="AA128" i="92"/>
  <c r="Y128" i="92"/>
  <c r="T128" i="92"/>
  <c r="S128" i="92"/>
  <c r="Q128" i="92"/>
  <c r="P128" i="92"/>
  <c r="Q117" i="92"/>
  <c r="Z114" i="92"/>
  <c r="Y114" i="92"/>
  <c r="K113" i="92"/>
  <c r="J113" i="92"/>
  <c r="I113" i="92"/>
  <c r="AE112" i="92"/>
  <c r="W112" i="92"/>
  <c r="I112" i="92"/>
  <c r="M112" i="92" s="1"/>
  <c r="S111" i="92"/>
  <c r="X111" i="92" s="1"/>
  <c r="I111" i="92"/>
  <c r="X110" i="92"/>
  <c r="X112" i="92" s="1"/>
  <c r="S110" i="92"/>
  <c r="Y106" i="92"/>
  <c r="V106" i="92"/>
  <c r="V112" i="92" s="1"/>
  <c r="Q106" i="92"/>
  <c r="S106" i="92" s="1"/>
  <c r="AE106" i="92" s="1"/>
  <c r="P106" i="92"/>
  <c r="P105" i="92"/>
  <c r="Q105" i="92" s="1"/>
  <c r="Q104" i="92"/>
  <c r="P104" i="92"/>
  <c r="Q103" i="92"/>
  <c r="S103" i="92" s="1"/>
  <c r="P103" i="92"/>
  <c r="P102" i="92"/>
  <c r="Q102" i="92" s="1"/>
  <c r="S101" i="92"/>
  <c r="P101" i="92"/>
  <c r="Q101" i="92" s="1"/>
  <c r="P100" i="92"/>
  <c r="Q100" i="92" s="1"/>
  <c r="S100" i="92" s="1"/>
  <c r="P99" i="92"/>
  <c r="Q99" i="92" s="1"/>
  <c r="Z81" i="92"/>
  <c r="Y81" i="92"/>
  <c r="L80" i="92"/>
  <c r="K80" i="92"/>
  <c r="J80" i="92"/>
  <c r="I80" i="92"/>
  <c r="AE79" i="92"/>
  <c r="Q79" i="92"/>
  <c r="K79" i="92"/>
  <c r="J79" i="92"/>
  <c r="I79" i="92"/>
  <c r="X77" i="92"/>
  <c r="X79" i="92" s="1"/>
  <c r="S77" i="92"/>
  <c r="W76" i="92"/>
  <c r="W79" i="92" s="1"/>
  <c r="S74" i="92"/>
  <c r="P74" i="92"/>
  <c r="Q74" i="92" s="1"/>
  <c r="AC73" i="92"/>
  <c r="AC79" i="92" s="1"/>
  <c r="Y73" i="92"/>
  <c r="P73" i="92"/>
  <c r="Q73" i="92" s="1"/>
  <c r="S73" i="92" s="1"/>
  <c r="V73" i="92" s="1"/>
  <c r="Q72" i="92"/>
  <c r="S72" i="92" s="1"/>
  <c r="P72" i="92"/>
  <c r="P71" i="92"/>
  <c r="Q71" i="92" s="1"/>
  <c r="Q70" i="92"/>
  <c r="P70" i="92"/>
  <c r="S69" i="92"/>
  <c r="P69" i="92"/>
  <c r="Q69" i="92" s="1"/>
  <c r="Q68" i="92"/>
  <c r="S68" i="92" s="1"/>
  <c r="P68" i="92"/>
  <c r="Q67" i="92"/>
  <c r="S67" i="92" s="1"/>
  <c r="P67" i="92"/>
  <c r="P66" i="92"/>
  <c r="Q66" i="92" s="1"/>
  <c r="Q55" i="92"/>
  <c r="Z52" i="92"/>
  <c r="Y52" i="92"/>
  <c r="L51" i="92"/>
  <c r="L52" i="92" s="1"/>
  <c r="K51" i="92"/>
  <c r="J51" i="92"/>
  <c r="I51" i="92"/>
  <c r="M51" i="92" s="1"/>
  <c r="W50" i="92"/>
  <c r="K50" i="92"/>
  <c r="J50" i="92"/>
  <c r="I50" i="92"/>
  <c r="S48" i="92"/>
  <c r="X48" i="92" s="1"/>
  <c r="X50" i="92" s="1"/>
  <c r="U45" i="92"/>
  <c r="Q45" i="92"/>
  <c r="S45" i="92" s="1"/>
  <c r="P45" i="92"/>
  <c r="S44" i="92"/>
  <c r="P44" i="92"/>
  <c r="Q44" i="92" s="1"/>
  <c r="P43" i="92"/>
  <c r="Q43" i="92" s="1"/>
  <c r="Q42" i="92"/>
  <c r="P42" i="92"/>
  <c r="P41" i="92"/>
  <c r="Q41" i="92" s="1"/>
  <c r="P40" i="92"/>
  <c r="Q40" i="92" s="1"/>
  <c r="S39" i="92"/>
  <c r="Q39" i="92"/>
  <c r="P39" i="92"/>
  <c r="Q38" i="92"/>
  <c r="S38" i="92" s="1"/>
  <c r="P38" i="92"/>
  <c r="S37" i="92"/>
  <c r="P37" i="92"/>
  <c r="Q37" i="92" s="1"/>
  <c r="P36" i="92"/>
  <c r="Q36" i="92" s="1"/>
  <c r="D19" i="92"/>
  <c r="C19" i="92"/>
  <c r="D18" i="92"/>
  <c r="E18" i="92" s="1"/>
  <c r="E17" i="92"/>
  <c r="D17" i="92"/>
  <c r="D16" i="92"/>
  <c r="E16" i="92" s="1"/>
  <c r="V35" i="50"/>
  <c r="W35" i="50" s="1"/>
  <c r="W34" i="50"/>
  <c r="V34" i="50"/>
  <c r="V33" i="50"/>
  <c r="W33" i="50" s="1"/>
  <c r="W32" i="50"/>
  <c r="V32" i="50"/>
  <c r="W30" i="50"/>
  <c r="V30" i="50"/>
  <c r="V29" i="50"/>
  <c r="W29" i="50" s="1"/>
  <c r="V28" i="50"/>
  <c r="W28" i="50" s="1"/>
  <c r="W27" i="50"/>
  <c r="V27" i="50"/>
  <c r="V26" i="50"/>
  <c r="W26" i="50" s="1"/>
  <c r="W25" i="50"/>
  <c r="V25" i="50"/>
  <c r="W23" i="50"/>
  <c r="V23" i="50"/>
  <c r="V22" i="50"/>
  <c r="W22" i="50" s="1"/>
  <c r="V21" i="50"/>
  <c r="W21" i="50" s="1"/>
  <c r="W20" i="50"/>
  <c r="V20" i="50"/>
  <c r="V19" i="50"/>
  <c r="W19" i="50" s="1"/>
  <c r="W18" i="50"/>
  <c r="V18" i="50"/>
  <c r="W16" i="50"/>
  <c r="V16" i="50"/>
  <c r="V15" i="50"/>
  <c r="W15" i="50" s="1"/>
  <c r="V14" i="50"/>
  <c r="W14" i="50" s="1"/>
  <c r="W13" i="50"/>
  <c r="V13" i="50"/>
  <c r="V12" i="50"/>
  <c r="W12" i="50" s="1"/>
  <c r="W11" i="50"/>
  <c r="V11" i="50"/>
  <c r="W10" i="50"/>
  <c r="V10" i="50"/>
  <c r="V8" i="50"/>
  <c r="W8" i="50" s="1"/>
  <c r="V7" i="50"/>
  <c r="W7" i="50" s="1"/>
  <c r="W6" i="50"/>
  <c r="V6" i="50"/>
  <c r="V5" i="50"/>
  <c r="W5" i="50" s="1"/>
  <c r="W4" i="50"/>
  <c r="V4" i="50"/>
  <c r="W3" i="50"/>
  <c r="V3" i="50"/>
  <c r="V2" i="50"/>
  <c r="W2" i="50" s="1"/>
  <c r="Q168" i="91"/>
  <c r="Z167" i="91"/>
  <c r="Y167" i="91"/>
  <c r="K166" i="91"/>
  <c r="I166" i="91"/>
  <c r="AC165" i="91"/>
  <c r="W165" i="91"/>
  <c r="Q165" i="91"/>
  <c r="M165" i="91"/>
  <c r="Z168" i="91" s="1"/>
  <c r="I165" i="91"/>
  <c r="S163" i="91"/>
  <c r="X163" i="91" s="1"/>
  <c r="X165" i="91" s="1"/>
  <c r="AB161" i="91"/>
  <c r="Y161" i="91"/>
  <c r="V161" i="91"/>
  <c r="AC160" i="91"/>
  <c r="Y160" i="91"/>
  <c r="U160" i="91"/>
  <c r="U165" i="91" s="1"/>
  <c r="P159" i="91"/>
  <c r="Q159" i="91" s="1"/>
  <c r="Q158" i="91"/>
  <c r="P158" i="91"/>
  <c r="Q157" i="91"/>
  <c r="S157" i="91" s="1"/>
  <c r="P157" i="91"/>
  <c r="P156" i="91"/>
  <c r="Q156" i="91" s="1"/>
  <c r="Z137" i="91"/>
  <c r="Z136" i="91"/>
  <c r="Y136" i="91"/>
  <c r="K135" i="91"/>
  <c r="I135" i="91"/>
  <c r="W134" i="91"/>
  <c r="I134" i="91"/>
  <c r="M134" i="91" s="1"/>
  <c r="X132" i="91"/>
  <c r="X134" i="91" s="1"/>
  <c r="Q139" i="91" s="1"/>
  <c r="S132" i="91"/>
  <c r="S131" i="91"/>
  <c r="S128" i="91"/>
  <c r="P128" i="91"/>
  <c r="Q128" i="91" s="1"/>
  <c r="P127" i="91"/>
  <c r="Q127" i="91" s="1"/>
  <c r="Q126" i="91"/>
  <c r="P126" i="91"/>
  <c r="P125" i="91"/>
  <c r="Q125" i="91" s="1"/>
  <c r="P124" i="91"/>
  <c r="Q124" i="91" s="1"/>
  <c r="S123" i="91"/>
  <c r="Q123" i="91"/>
  <c r="P123" i="91"/>
  <c r="Q112" i="91"/>
  <c r="Z110" i="91"/>
  <c r="Y110" i="91"/>
  <c r="K109" i="91"/>
  <c r="I109" i="91"/>
  <c r="J109" i="91" s="1"/>
  <c r="W108" i="91"/>
  <c r="V108" i="91"/>
  <c r="I108" i="91"/>
  <c r="M108" i="91" s="1"/>
  <c r="Y111" i="91" s="1"/>
  <c r="X106" i="91"/>
  <c r="X108" i="91" s="1"/>
  <c r="S106" i="91"/>
  <c r="S105" i="91"/>
  <c r="P103" i="91"/>
  <c r="Q103" i="91" s="1"/>
  <c r="P102" i="91"/>
  <c r="Q102" i="91" s="1"/>
  <c r="S101" i="91"/>
  <c r="Q101" i="91"/>
  <c r="P101" i="91"/>
  <c r="Q100" i="91"/>
  <c r="S100" i="91" s="1"/>
  <c r="P100" i="91"/>
  <c r="P99" i="91"/>
  <c r="Q99" i="91" s="1"/>
  <c r="P98" i="91"/>
  <c r="Q98" i="91" s="1"/>
  <c r="Z77" i="91"/>
  <c r="Y77" i="91"/>
  <c r="M76" i="91"/>
  <c r="J77" i="91" s="1"/>
  <c r="L76" i="91"/>
  <c r="K76" i="91"/>
  <c r="J76" i="91"/>
  <c r="I76" i="91"/>
  <c r="AD75" i="91"/>
  <c r="W75" i="91"/>
  <c r="I75" i="91"/>
  <c r="S73" i="91"/>
  <c r="X73" i="91" s="1"/>
  <c r="X75" i="91" s="1"/>
  <c r="Q80" i="91" s="1"/>
  <c r="S72" i="91"/>
  <c r="P69" i="91"/>
  <c r="Q69" i="91" s="1"/>
  <c r="Q68" i="91"/>
  <c r="P68" i="91"/>
  <c r="P67" i="91"/>
  <c r="Q67" i="91" s="1"/>
  <c r="S67" i="91" s="1"/>
  <c r="S66" i="91"/>
  <c r="T66" i="91" s="1"/>
  <c r="P66" i="91"/>
  <c r="Q66" i="91" s="1"/>
  <c r="Y65" i="91"/>
  <c r="Q65" i="91"/>
  <c r="P65" i="91"/>
  <c r="P64" i="91"/>
  <c r="Q64" i="91" s="1"/>
  <c r="P63" i="91"/>
  <c r="Q63" i="91" s="1"/>
  <c r="Z50" i="91"/>
  <c r="Z49" i="91"/>
  <c r="Y49" i="91"/>
  <c r="Y50" i="91" s="1"/>
  <c r="L48" i="91"/>
  <c r="K48" i="91"/>
  <c r="I48" i="91"/>
  <c r="J48" i="91" s="1"/>
  <c r="AD47" i="91"/>
  <c r="AB47" i="91"/>
  <c r="W47" i="91"/>
  <c r="Q53" i="91" s="1"/>
  <c r="V47" i="91"/>
  <c r="M47" i="91"/>
  <c r="I47" i="91"/>
  <c r="S45" i="91"/>
  <c r="X45" i="91" s="1"/>
  <c r="X47" i="91" s="1"/>
  <c r="S44" i="91"/>
  <c r="Q42" i="91"/>
  <c r="S42" i="91" s="1"/>
  <c r="P42" i="91"/>
  <c r="P41" i="91"/>
  <c r="Q41" i="91" s="1"/>
  <c r="P40" i="91"/>
  <c r="Q40" i="91" s="1"/>
  <c r="AB39" i="91"/>
  <c r="Z39" i="91"/>
  <c r="S39" i="91"/>
  <c r="T39" i="91" s="1"/>
  <c r="Q39" i="91"/>
  <c r="P39" i="91"/>
  <c r="P38" i="91"/>
  <c r="Q38" i="91" s="1"/>
  <c r="Q37" i="91"/>
  <c r="P37" i="91"/>
  <c r="P36" i="91"/>
  <c r="Q36" i="91" s="1"/>
  <c r="W50" i="61"/>
  <c r="V50" i="61"/>
  <c r="V49" i="61"/>
  <c r="W49" i="61" s="1"/>
  <c r="V48" i="61"/>
  <c r="W48" i="61" s="1"/>
  <c r="W47" i="61"/>
  <c r="V47" i="61"/>
  <c r="V46" i="61"/>
  <c r="W46" i="61" s="1"/>
  <c r="W45" i="61"/>
  <c r="V45" i="61"/>
  <c r="W43" i="61"/>
  <c r="V43" i="61"/>
  <c r="V42" i="61"/>
  <c r="W42" i="61" s="1"/>
  <c r="V41" i="61"/>
  <c r="W41" i="61" s="1"/>
  <c r="W40" i="61"/>
  <c r="V40" i="61"/>
  <c r="V39" i="61"/>
  <c r="W39" i="61" s="1"/>
  <c r="W38" i="61"/>
  <c r="V38" i="61"/>
  <c r="W36" i="61"/>
  <c r="V36" i="61"/>
  <c r="V35" i="61"/>
  <c r="W35" i="61" s="1"/>
  <c r="V34" i="61"/>
  <c r="W34" i="61" s="1"/>
  <c r="W33" i="61"/>
  <c r="V33" i="61"/>
  <c r="V32" i="61"/>
  <c r="W32" i="61" s="1"/>
  <c r="W31" i="61"/>
  <c r="V31" i="61"/>
  <c r="W30" i="61"/>
  <c r="V30" i="61"/>
  <c r="V29" i="61"/>
  <c r="W29" i="61" s="1"/>
  <c r="V28" i="61"/>
  <c r="W28" i="61" s="1"/>
  <c r="W26" i="61"/>
  <c r="V26" i="61"/>
  <c r="V25" i="61"/>
  <c r="W25" i="61" s="1"/>
  <c r="W24" i="61"/>
  <c r="V24" i="61"/>
  <c r="W23" i="61"/>
  <c r="V23" i="61"/>
  <c r="V22" i="61"/>
  <c r="W22" i="61" s="1"/>
  <c r="W21" i="61"/>
  <c r="V21" i="61"/>
  <c r="W20" i="61"/>
  <c r="V20" i="61"/>
  <c r="V19" i="61"/>
  <c r="W19" i="61" s="1"/>
  <c r="W18" i="61"/>
  <c r="V18" i="61"/>
  <c r="W17" i="61"/>
  <c r="V17" i="61"/>
  <c r="V16" i="61"/>
  <c r="W16" i="61" s="1"/>
  <c r="V15" i="61"/>
  <c r="W15" i="61" s="1"/>
  <c r="V13" i="61"/>
  <c r="W13" i="61" s="1"/>
  <c r="V12" i="61"/>
  <c r="W12" i="61" s="1"/>
  <c r="W11" i="61"/>
  <c r="V11" i="61"/>
  <c r="W10" i="61"/>
  <c r="V10" i="61"/>
  <c r="V9" i="61"/>
  <c r="W9" i="61" s="1"/>
  <c r="V8" i="61"/>
  <c r="W8" i="61" s="1"/>
  <c r="W7" i="61"/>
  <c r="V7" i="61"/>
  <c r="W6" i="61"/>
  <c r="V6" i="61"/>
  <c r="W5" i="61"/>
  <c r="V5" i="61"/>
  <c r="W4" i="61"/>
  <c r="V4" i="61"/>
  <c r="V3" i="61"/>
  <c r="W3" i="61" s="1"/>
  <c r="W2" i="61"/>
  <c r="V2" i="61"/>
  <c r="AH194" i="90"/>
  <c r="AA186" i="90"/>
  <c r="Z186" i="90"/>
  <c r="Z187" i="90" s="1"/>
  <c r="I186" i="90"/>
  <c r="K185" i="90"/>
  <c r="J185" i="90"/>
  <c r="I185" i="90"/>
  <c r="M185" i="90" s="1"/>
  <c r="K186" i="90" s="1"/>
  <c r="K184" i="90"/>
  <c r="M184" i="90" s="1"/>
  <c r="J183" i="90" s="1"/>
  <c r="J184" i="90"/>
  <c r="I184" i="90"/>
  <c r="I183" i="90"/>
  <c r="T182" i="90"/>
  <c r="Y182" i="90" s="1"/>
  <c r="Y184" i="90" s="1"/>
  <c r="Q178" i="90"/>
  <c r="R178" i="90" s="1"/>
  <c r="O178" i="90"/>
  <c r="Q177" i="90"/>
  <c r="R177" i="90" s="1"/>
  <c r="O177" i="90"/>
  <c r="Q176" i="90"/>
  <c r="R176" i="90" s="1"/>
  <c r="T176" i="90" s="1"/>
  <c r="O176" i="90"/>
  <c r="R175" i="90"/>
  <c r="Q175" i="90"/>
  <c r="O175" i="90"/>
  <c r="Z174" i="90"/>
  <c r="Q174" i="90"/>
  <c r="R174" i="90" s="1"/>
  <c r="T174" i="90" s="1"/>
  <c r="O174" i="90"/>
  <c r="Q173" i="90"/>
  <c r="R173" i="90" s="1"/>
  <c r="O173" i="90"/>
  <c r="AA150" i="90"/>
  <c r="Z150" i="90"/>
  <c r="K149" i="90"/>
  <c r="J149" i="90"/>
  <c r="M149" i="90" s="1"/>
  <c r="I150" i="90" s="1"/>
  <c r="I149" i="90"/>
  <c r="M148" i="90"/>
  <c r="J147" i="90" s="1"/>
  <c r="K148" i="90"/>
  <c r="K147" i="90" s="1"/>
  <c r="J148" i="90"/>
  <c r="I148" i="90"/>
  <c r="T146" i="90"/>
  <c r="Y146" i="90" s="1"/>
  <c r="Y148" i="90" s="1"/>
  <c r="Q142" i="90"/>
  <c r="R142" i="90" s="1"/>
  <c r="O142" i="90"/>
  <c r="Q141" i="90"/>
  <c r="R141" i="90" s="1"/>
  <c r="O141" i="90"/>
  <c r="Q140" i="90"/>
  <c r="R140" i="90" s="1"/>
  <c r="O140" i="90"/>
  <c r="Q139" i="90"/>
  <c r="R139" i="90" s="1"/>
  <c r="T139" i="90" s="1"/>
  <c r="O139" i="90"/>
  <c r="Q138" i="90"/>
  <c r="R138" i="90" s="1"/>
  <c r="O138" i="90"/>
  <c r="Q137" i="90"/>
  <c r="R137" i="90" s="1"/>
  <c r="O137" i="90"/>
  <c r="AA123" i="90"/>
  <c r="AA122" i="90"/>
  <c r="Z122" i="90"/>
  <c r="K121" i="90"/>
  <c r="J121" i="90"/>
  <c r="I121" i="90"/>
  <c r="AE120" i="90"/>
  <c r="W120" i="90"/>
  <c r="R124" i="90" s="1"/>
  <c r="K120" i="90"/>
  <c r="J120" i="90"/>
  <c r="J119" i="90" s="1"/>
  <c r="I120" i="90"/>
  <c r="M120" i="90" s="1"/>
  <c r="T118" i="90"/>
  <c r="Y118" i="90" s="1"/>
  <c r="Y120" i="90" s="1"/>
  <c r="AG115" i="90"/>
  <c r="AG120" i="90" s="1"/>
  <c r="AF114" i="90"/>
  <c r="T114" i="90"/>
  <c r="Z114" i="90" s="1"/>
  <c r="R114" i="90"/>
  <c r="Q114" i="90"/>
  <c r="O114" i="90"/>
  <c r="Z113" i="90"/>
  <c r="Q113" i="90"/>
  <c r="R113" i="90" s="1"/>
  <c r="T113" i="90" s="1"/>
  <c r="O113" i="90"/>
  <c r="R112" i="90"/>
  <c r="Q112" i="90"/>
  <c r="O112" i="90"/>
  <c r="AE111" i="90"/>
  <c r="T111" i="90"/>
  <c r="AA111" i="90" s="1"/>
  <c r="R111" i="90"/>
  <c r="Q111" i="90"/>
  <c r="O111" i="90"/>
  <c r="Z110" i="90"/>
  <c r="Q110" i="90"/>
  <c r="R110" i="90" s="1"/>
  <c r="T110" i="90" s="1"/>
  <c r="O110" i="90"/>
  <c r="R109" i="90"/>
  <c r="Q109" i="90"/>
  <c r="O109" i="90"/>
  <c r="AC108" i="90"/>
  <c r="T108" i="90"/>
  <c r="AA108" i="90" s="1"/>
  <c r="R108" i="90"/>
  <c r="Q108" i="90"/>
  <c r="O108" i="90"/>
  <c r="AA107" i="90"/>
  <c r="Q107" i="90"/>
  <c r="R107" i="90" s="1"/>
  <c r="T107" i="90" s="1"/>
  <c r="O107" i="90"/>
  <c r="R106" i="90"/>
  <c r="Q106" i="90"/>
  <c r="O106" i="90"/>
  <c r="R89" i="90"/>
  <c r="AA86" i="90"/>
  <c r="Z86" i="90"/>
  <c r="M85" i="90"/>
  <c r="L86" i="90" s="1"/>
  <c r="L85" i="90"/>
  <c r="K85" i="90"/>
  <c r="K86" i="90" s="1"/>
  <c r="J85" i="90"/>
  <c r="I85" i="90"/>
  <c r="L84" i="90"/>
  <c r="K84" i="90"/>
  <c r="J84" i="90"/>
  <c r="I84" i="90"/>
  <c r="T82" i="90"/>
  <c r="Y82" i="90" s="1"/>
  <c r="Y84" i="90" s="1"/>
  <c r="Q78" i="90"/>
  <c r="R78" i="90" s="1"/>
  <c r="O78" i="90"/>
  <c r="R77" i="90"/>
  <c r="Q77" i="90"/>
  <c r="O77" i="90"/>
  <c r="Q76" i="90"/>
  <c r="R76" i="90" s="1"/>
  <c r="O76" i="90"/>
  <c r="Q75" i="90"/>
  <c r="R75" i="90" s="1"/>
  <c r="O75" i="90"/>
  <c r="R74" i="90"/>
  <c r="Q74" i="90"/>
  <c r="O74" i="90"/>
  <c r="Q73" i="90"/>
  <c r="R73" i="90" s="1"/>
  <c r="O73" i="90"/>
  <c r="Q72" i="90"/>
  <c r="R72" i="90" s="1"/>
  <c r="O72" i="90"/>
  <c r="R71" i="90"/>
  <c r="Q71" i="90"/>
  <c r="O71" i="90"/>
  <c r="Q70" i="90"/>
  <c r="R70" i="90" s="1"/>
  <c r="O70" i="90"/>
  <c r="Q69" i="90"/>
  <c r="R69" i="90" s="1"/>
  <c r="O69" i="90"/>
  <c r="R58" i="90"/>
  <c r="R57" i="90"/>
  <c r="AA55" i="90"/>
  <c r="AA56" i="90" s="1"/>
  <c r="Z55" i="90"/>
  <c r="Z56" i="90" s="1"/>
  <c r="L54" i="90"/>
  <c r="K54" i="90"/>
  <c r="J54" i="90"/>
  <c r="I54" i="90"/>
  <c r="M53" i="90"/>
  <c r="J52" i="90" s="1"/>
  <c r="L53" i="90"/>
  <c r="K53" i="90"/>
  <c r="J53" i="90"/>
  <c r="I53" i="90"/>
  <c r="I52" i="90" s="1"/>
  <c r="L52" i="90"/>
  <c r="K52" i="90"/>
  <c r="Y51" i="90"/>
  <c r="Y53" i="90" s="1"/>
  <c r="T51" i="90"/>
  <c r="Q47" i="90"/>
  <c r="R47" i="90" s="1"/>
  <c r="O47" i="90"/>
  <c r="Q46" i="90"/>
  <c r="R46" i="90" s="1"/>
  <c r="O46" i="90"/>
  <c r="R45" i="90"/>
  <c r="Q45" i="90"/>
  <c r="O45" i="90"/>
  <c r="Q44" i="90"/>
  <c r="R44" i="90" s="1"/>
  <c r="O44" i="90"/>
  <c r="Q43" i="90"/>
  <c r="R43" i="90" s="1"/>
  <c r="O43" i="90"/>
  <c r="R42" i="90"/>
  <c r="Q42" i="90"/>
  <c r="O42" i="90"/>
  <c r="Q41" i="90"/>
  <c r="R41" i="90" s="1"/>
  <c r="O41" i="90"/>
  <c r="Q40" i="90"/>
  <c r="R40" i="90" s="1"/>
  <c r="O40" i="90"/>
  <c r="R39" i="90"/>
  <c r="Q39" i="90"/>
  <c r="O39" i="90"/>
  <c r="Q38" i="90"/>
  <c r="R38" i="90" s="1"/>
  <c r="O38" i="90"/>
  <c r="Q37" i="90"/>
  <c r="R37" i="90" s="1"/>
  <c r="O37" i="90"/>
  <c r="R36" i="90"/>
  <c r="Q36" i="90"/>
  <c r="O36" i="90"/>
  <c r="O53" i="90" s="1"/>
  <c r="F36" i="60"/>
  <c r="D36" i="60"/>
  <c r="F35" i="60"/>
  <c r="D35" i="60"/>
  <c r="V24" i="60"/>
  <c r="W24" i="60" s="1"/>
  <c r="V23" i="60"/>
  <c r="W23" i="60" s="1"/>
  <c r="V22" i="60"/>
  <c r="W22" i="60" s="1"/>
  <c r="T21" i="60"/>
  <c r="V21" i="60" s="1"/>
  <c r="W21" i="60" s="1"/>
  <c r="V20" i="60"/>
  <c r="W20" i="60" s="1"/>
  <c r="W18" i="60"/>
  <c r="V18" i="60"/>
  <c r="W17" i="60"/>
  <c r="V17" i="60"/>
  <c r="V16" i="60"/>
  <c r="W16" i="60" s="1"/>
  <c r="T15" i="60"/>
  <c r="V15" i="60" s="1"/>
  <c r="W15" i="60" s="1"/>
  <c r="W14" i="60"/>
  <c r="V14" i="60"/>
  <c r="V13" i="60"/>
  <c r="W13" i="60" s="1"/>
  <c r="T13" i="60"/>
  <c r="W12" i="60"/>
  <c r="V12" i="60"/>
  <c r="V10" i="60"/>
  <c r="W10" i="60" s="1"/>
  <c r="W9" i="60"/>
  <c r="V9" i="60"/>
  <c r="V8" i="60"/>
  <c r="W8" i="60" s="1"/>
  <c r="V7" i="60"/>
  <c r="W7" i="60" s="1"/>
  <c r="W6" i="60"/>
  <c r="V6" i="60"/>
  <c r="T5" i="60"/>
  <c r="V5" i="60" s="1"/>
  <c r="W5" i="60" s="1"/>
  <c r="V4" i="60"/>
  <c r="W4" i="60" s="1"/>
  <c r="V3" i="60"/>
  <c r="W3" i="60" s="1"/>
  <c r="W2" i="60"/>
  <c r="V2" i="60"/>
  <c r="Q121" i="89"/>
  <c r="Q120" i="89"/>
  <c r="Z118" i="89"/>
  <c r="Y118" i="89"/>
  <c r="K117" i="89"/>
  <c r="J117" i="89"/>
  <c r="I117" i="89"/>
  <c r="AC116" i="89"/>
  <c r="W116" i="89"/>
  <c r="V116" i="89"/>
  <c r="K116" i="89"/>
  <c r="J116" i="89"/>
  <c r="I116" i="89"/>
  <c r="M116" i="89" s="1"/>
  <c r="K115" i="89" s="1"/>
  <c r="X114" i="89"/>
  <c r="X116" i="89" s="1"/>
  <c r="S114" i="89"/>
  <c r="P111" i="89"/>
  <c r="Q111" i="89" s="1"/>
  <c r="Q110" i="89"/>
  <c r="S110" i="89" s="1"/>
  <c r="P110" i="89"/>
  <c r="P109" i="89"/>
  <c r="Q109" i="89" s="1"/>
  <c r="N108" i="89"/>
  <c r="P108" i="89" s="1"/>
  <c r="Q108" i="89" s="1"/>
  <c r="P107" i="89"/>
  <c r="Q107" i="89" s="1"/>
  <c r="Q90" i="89"/>
  <c r="Q89" i="89"/>
  <c r="Z87" i="89"/>
  <c r="Y87" i="89"/>
  <c r="Y88" i="89" s="1"/>
  <c r="M86" i="89"/>
  <c r="J87" i="89" s="1"/>
  <c r="K86" i="89"/>
  <c r="K87" i="89" s="1"/>
  <c r="J86" i="89"/>
  <c r="I86" i="89"/>
  <c r="W85" i="89"/>
  <c r="V85" i="89"/>
  <c r="K85" i="89"/>
  <c r="K84" i="89" s="1"/>
  <c r="J85" i="89"/>
  <c r="M85" i="89" s="1"/>
  <c r="I84" i="89" s="1"/>
  <c r="I85" i="89"/>
  <c r="J84" i="89"/>
  <c r="X83" i="89"/>
  <c r="X85" i="89" s="1"/>
  <c r="S83" i="89"/>
  <c r="P79" i="89"/>
  <c r="Q79" i="89" s="1"/>
  <c r="S79" i="89" s="1"/>
  <c r="T79" i="89" s="1"/>
  <c r="P78" i="89"/>
  <c r="Q78" i="89" s="1"/>
  <c r="Q77" i="89"/>
  <c r="P77" i="89"/>
  <c r="N76" i="89"/>
  <c r="P76" i="89" s="1"/>
  <c r="Q76" i="89" s="1"/>
  <c r="S76" i="89" s="1"/>
  <c r="P75" i="89"/>
  <c r="Q75" i="89" s="1"/>
  <c r="N74" i="89"/>
  <c r="P74" i="89" s="1"/>
  <c r="Q74" i="89" s="1"/>
  <c r="Q73" i="89"/>
  <c r="S73" i="89" s="1"/>
  <c r="P73" i="89"/>
  <c r="Q56" i="89"/>
  <c r="Q55" i="89"/>
  <c r="Z53" i="89"/>
  <c r="Z54" i="89" s="1"/>
  <c r="Y53" i="89"/>
  <c r="Y54" i="89" s="1"/>
  <c r="K53" i="89"/>
  <c r="L52" i="89"/>
  <c r="L53" i="89" s="1"/>
  <c r="K52" i="89"/>
  <c r="J52" i="89"/>
  <c r="J53" i="89" s="1"/>
  <c r="I52" i="89"/>
  <c r="I53" i="89" s="1"/>
  <c r="W51" i="89"/>
  <c r="V51" i="89"/>
  <c r="K51" i="89"/>
  <c r="J51" i="89"/>
  <c r="J50" i="89" s="1"/>
  <c r="I51" i="89"/>
  <c r="I50" i="89" s="1"/>
  <c r="K50" i="89"/>
  <c r="X49" i="89"/>
  <c r="X51" i="89" s="1"/>
  <c r="Q57" i="89" s="1"/>
  <c r="S49" i="89"/>
  <c r="Y45" i="89"/>
  <c r="P45" i="89"/>
  <c r="Q45" i="89" s="1"/>
  <c r="S45" i="89" s="1"/>
  <c r="AE44" i="89"/>
  <c r="Z44" i="89"/>
  <c r="Q44" i="89"/>
  <c r="S44" i="89" s="1"/>
  <c r="T44" i="89" s="1"/>
  <c r="P44" i="89"/>
  <c r="Y43" i="89"/>
  <c r="P43" i="89"/>
  <c r="Q43" i="89" s="1"/>
  <c r="S43" i="89" s="1"/>
  <c r="AC42" i="89"/>
  <c r="AC51" i="89" s="1"/>
  <c r="Z42" i="89"/>
  <c r="Q42" i="89"/>
  <c r="S42" i="89" s="1"/>
  <c r="T42" i="89" s="1"/>
  <c r="P42" i="89"/>
  <c r="Z41" i="89"/>
  <c r="P41" i="89"/>
  <c r="Q41" i="89" s="1"/>
  <c r="S41" i="89" s="1"/>
  <c r="Z40" i="89"/>
  <c r="N40" i="89"/>
  <c r="P40" i="89" s="1"/>
  <c r="Q40" i="89" s="1"/>
  <c r="S40" i="89" s="1"/>
  <c r="P39" i="89"/>
  <c r="Q39" i="89" s="1"/>
  <c r="S39" i="89" s="1"/>
  <c r="P38" i="89"/>
  <c r="Q38" i="89" s="1"/>
  <c r="S38" i="89" s="1"/>
  <c r="P37" i="89"/>
  <c r="Q37" i="89" s="1"/>
  <c r="W41" i="59"/>
  <c r="V41" i="59"/>
  <c r="V40" i="59"/>
  <c r="W40" i="59" s="1"/>
  <c r="V39" i="59"/>
  <c r="W39" i="59" s="1"/>
  <c r="V38" i="59"/>
  <c r="W38" i="59" s="1"/>
  <c r="V37" i="59"/>
  <c r="W37" i="59" s="1"/>
  <c r="V35" i="59"/>
  <c r="W35" i="59" s="1"/>
  <c r="W34" i="59"/>
  <c r="V34" i="59"/>
  <c r="V33" i="59"/>
  <c r="W33" i="59" s="1"/>
  <c r="V32" i="59"/>
  <c r="W32" i="59" s="1"/>
  <c r="V31" i="59"/>
  <c r="W31" i="59" s="1"/>
  <c r="V30" i="59"/>
  <c r="W30" i="59" s="1"/>
  <c r="V29" i="59"/>
  <c r="W29" i="59" s="1"/>
  <c r="W28" i="59"/>
  <c r="V28" i="59"/>
  <c r="V26" i="59"/>
  <c r="W26" i="59" s="1"/>
  <c r="V25" i="59"/>
  <c r="W25" i="59" s="1"/>
  <c r="V24" i="59"/>
  <c r="W24" i="59" s="1"/>
  <c r="W23" i="59"/>
  <c r="V23" i="59"/>
  <c r="V22" i="59"/>
  <c r="W22" i="59" s="1"/>
  <c r="W21" i="59"/>
  <c r="V21" i="59"/>
  <c r="V20" i="59"/>
  <c r="W20" i="59" s="1"/>
  <c r="V18" i="59"/>
  <c r="W18" i="59" s="1"/>
  <c r="V17" i="59"/>
  <c r="W17" i="59" s="1"/>
  <c r="V16" i="59"/>
  <c r="W16" i="59" s="1"/>
  <c r="V15" i="59"/>
  <c r="W15" i="59" s="1"/>
  <c r="W14" i="59"/>
  <c r="V14" i="59"/>
  <c r="V13" i="59"/>
  <c r="W13" i="59" s="1"/>
  <c r="V12" i="59"/>
  <c r="W12" i="59" s="1"/>
  <c r="V11" i="59"/>
  <c r="W11" i="59" s="1"/>
  <c r="V9" i="59"/>
  <c r="W9" i="59" s="1"/>
  <c r="V8" i="59"/>
  <c r="W8" i="59" s="1"/>
  <c r="W7" i="59"/>
  <c r="V7" i="59"/>
  <c r="V6" i="59"/>
  <c r="W6" i="59" s="1"/>
  <c r="V5" i="59"/>
  <c r="W5" i="59" s="1"/>
  <c r="V4" i="59"/>
  <c r="W4" i="59" s="1"/>
  <c r="W3" i="59"/>
  <c r="V3" i="59"/>
  <c r="V2" i="59"/>
  <c r="W2" i="59" s="1"/>
  <c r="Q170" i="88"/>
  <c r="Z166" i="88"/>
  <c r="Y166" i="88"/>
  <c r="K165" i="88"/>
  <c r="J165" i="88"/>
  <c r="I165" i="88"/>
  <c r="W164" i="88"/>
  <c r="V164" i="88"/>
  <c r="K164" i="88"/>
  <c r="J164" i="88"/>
  <c r="I164" i="88"/>
  <c r="X162" i="88"/>
  <c r="X164" i="88" s="1"/>
  <c r="S162" i="88"/>
  <c r="W161" i="88"/>
  <c r="P159" i="88"/>
  <c r="Q159" i="88" s="1"/>
  <c r="Z158" i="88"/>
  <c r="P158" i="88"/>
  <c r="Q158" i="88" s="1"/>
  <c r="S158" i="88" s="1"/>
  <c r="P157" i="88"/>
  <c r="Q157" i="88" s="1"/>
  <c r="Q156" i="88"/>
  <c r="P156" i="88"/>
  <c r="P155" i="88"/>
  <c r="Q155" i="88" s="1"/>
  <c r="Q138" i="88"/>
  <c r="Z136" i="88"/>
  <c r="Y136" i="88"/>
  <c r="K135" i="88"/>
  <c r="J135" i="88"/>
  <c r="I135" i="88"/>
  <c r="V134" i="88"/>
  <c r="M134" i="88"/>
  <c r="K134" i="88"/>
  <c r="J134" i="88"/>
  <c r="J133" i="88" s="1"/>
  <c r="I134" i="88"/>
  <c r="K133" i="88"/>
  <c r="I133" i="88"/>
  <c r="S132" i="88"/>
  <c r="W132" i="88" s="1"/>
  <c r="W134" i="88" s="1"/>
  <c r="V131" i="88"/>
  <c r="P129" i="88"/>
  <c r="Q129" i="88" s="1"/>
  <c r="S128" i="88"/>
  <c r="P128" i="88"/>
  <c r="Q128" i="88" s="1"/>
  <c r="Q127" i="88"/>
  <c r="P127" i="88"/>
  <c r="Y126" i="88"/>
  <c r="P126" i="88"/>
  <c r="Q126" i="88" s="1"/>
  <c r="S126" i="88" s="1"/>
  <c r="U126" i="88" s="1"/>
  <c r="Q125" i="88"/>
  <c r="P125" i="88"/>
  <c r="P124" i="88"/>
  <c r="Q124" i="88" s="1"/>
  <c r="S124" i="88" s="1"/>
  <c r="S123" i="88"/>
  <c r="P123" i="88"/>
  <c r="Q123" i="88" s="1"/>
  <c r="Q122" i="88"/>
  <c r="P122" i="88"/>
  <c r="Q111" i="88"/>
  <c r="Z109" i="88"/>
  <c r="Z110" i="88" s="1"/>
  <c r="Y109" i="88"/>
  <c r="K108" i="88"/>
  <c r="J108" i="88"/>
  <c r="I108" i="88"/>
  <c r="X107" i="88"/>
  <c r="Q112" i="88" s="1"/>
  <c r="V107" i="88"/>
  <c r="M107" i="88"/>
  <c r="K107" i="88"/>
  <c r="J107" i="88"/>
  <c r="I107" i="88"/>
  <c r="J106" i="88"/>
  <c r="X105" i="88"/>
  <c r="S105" i="88"/>
  <c r="W104" i="88"/>
  <c r="W107" i="88" s="1"/>
  <c r="S102" i="88"/>
  <c r="Q102" i="88"/>
  <c r="P102" i="88"/>
  <c r="P101" i="88"/>
  <c r="Q101" i="88" s="1"/>
  <c r="S101" i="88" s="1"/>
  <c r="P100" i="88"/>
  <c r="Q100" i="88" s="1"/>
  <c r="S100" i="88" s="1"/>
  <c r="P99" i="88"/>
  <c r="Q99" i="88" s="1"/>
  <c r="S99" i="88" s="1"/>
  <c r="AB99" i="88" s="1"/>
  <c r="P98" i="88"/>
  <c r="Q98" i="88" s="1"/>
  <c r="P97" i="88"/>
  <c r="Q97" i="88" s="1"/>
  <c r="Q96" i="88"/>
  <c r="P96" i="88"/>
  <c r="Q81" i="88"/>
  <c r="Q80" i="88"/>
  <c r="Z79" i="88"/>
  <c r="Z78" i="88"/>
  <c r="Y78" i="88"/>
  <c r="L77" i="88"/>
  <c r="K77" i="88"/>
  <c r="J77" i="88"/>
  <c r="I77" i="88"/>
  <c r="W76" i="88"/>
  <c r="V76" i="88"/>
  <c r="M76" i="88"/>
  <c r="Y79" i="88" s="1"/>
  <c r="L76" i="88"/>
  <c r="L75" i="88" s="1"/>
  <c r="K76" i="88"/>
  <c r="J76" i="88"/>
  <c r="I76" i="88"/>
  <c r="I75" i="88" s="1"/>
  <c r="J75" i="88"/>
  <c r="X74" i="88"/>
  <c r="X76" i="88" s="1"/>
  <c r="P70" i="88"/>
  <c r="Q70" i="88" s="1"/>
  <c r="P69" i="88"/>
  <c r="Q69" i="88" s="1"/>
  <c r="P68" i="88"/>
  <c r="Q68" i="88" s="1"/>
  <c r="P67" i="88"/>
  <c r="Q67" i="88" s="1"/>
  <c r="S67" i="88" s="1"/>
  <c r="P66" i="88"/>
  <c r="Q66" i="88" s="1"/>
  <c r="S65" i="88"/>
  <c r="AB65" i="88" s="1"/>
  <c r="P65" i="88"/>
  <c r="Q65" i="88" s="1"/>
  <c r="Z64" i="88"/>
  <c r="S64" i="88"/>
  <c r="T64" i="88" s="1"/>
  <c r="P64" i="88"/>
  <c r="Q64" i="88" s="1"/>
  <c r="Q63" i="88"/>
  <c r="P63" i="88"/>
  <c r="Q52" i="88"/>
  <c r="Q51" i="88"/>
  <c r="Z49" i="88"/>
  <c r="Y49" i="88"/>
  <c r="M48" i="88"/>
  <c r="L48" i="88"/>
  <c r="K48" i="88"/>
  <c r="J48" i="88"/>
  <c r="J49" i="88" s="1"/>
  <c r="I48" i="88"/>
  <c r="I49" i="88" s="1"/>
  <c r="W47" i="88"/>
  <c r="V47" i="88"/>
  <c r="L47" i="88"/>
  <c r="K47" i="88"/>
  <c r="I47" i="88"/>
  <c r="X45" i="88"/>
  <c r="X47" i="88" s="1"/>
  <c r="S45" i="88"/>
  <c r="P40" i="88"/>
  <c r="Q40" i="88" s="1"/>
  <c r="S40" i="88" s="1"/>
  <c r="Q39" i="88"/>
  <c r="P39" i="88"/>
  <c r="Q38" i="88"/>
  <c r="P38" i="88"/>
  <c r="P37" i="88"/>
  <c r="Q37" i="88" s="1"/>
  <c r="AB36" i="88"/>
  <c r="S36" i="88"/>
  <c r="Q36" i="88"/>
  <c r="P36" i="88"/>
  <c r="Q35" i="88"/>
  <c r="P35" i="88"/>
  <c r="P34" i="88"/>
  <c r="Q34" i="88" s="1"/>
  <c r="S33" i="88"/>
  <c r="P33" i="88"/>
  <c r="Q33" i="88" s="1"/>
  <c r="V63" i="69"/>
  <c r="W63" i="69" s="1"/>
  <c r="W62" i="69"/>
  <c r="V62" i="69"/>
  <c r="V61" i="69"/>
  <c r="W61" i="69" s="1"/>
  <c r="V60" i="69"/>
  <c r="W60" i="69" s="1"/>
  <c r="W59" i="69"/>
  <c r="V59" i="69"/>
  <c r="W58" i="69"/>
  <c r="V58" i="69"/>
  <c r="V57" i="69"/>
  <c r="W57" i="69" s="1"/>
  <c r="W56" i="69"/>
  <c r="V56" i="69"/>
  <c r="V55" i="69"/>
  <c r="W55" i="69" s="1"/>
  <c r="V54" i="69"/>
  <c r="W54" i="69" s="1"/>
  <c r="W52" i="69"/>
  <c r="V52" i="69"/>
  <c r="W51" i="69"/>
  <c r="V51" i="69"/>
  <c r="V50" i="69"/>
  <c r="W50" i="69" s="1"/>
  <c r="W49" i="69"/>
  <c r="V49" i="69"/>
  <c r="V48" i="69"/>
  <c r="W48" i="69" s="1"/>
  <c r="V47" i="69"/>
  <c r="W47" i="69" s="1"/>
  <c r="W46" i="69"/>
  <c r="V46" i="69"/>
  <c r="W45" i="69"/>
  <c r="V45" i="69"/>
  <c r="V44" i="69"/>
  <c r="W44" i="69" s="1"/>
  <c r="W43" i="69"/>
  <c r="V43" i="69"/>
  <c r="V42" i="69"/>
  <c r="W42" i="69" s="1"/>
  <c r="V40" i="69"/>
  <c r="W40" i="69" s="1"/>
  <c r="W39" i="69"/>
  <c r="V39" i="69"/>
  <c r="W38" i="69"/>
  <c r="V38" i="69"/>
  <c r="V37" i="69"/>
  <c r="W37" i="69" s="1"/>
  <c r="W36" i="69"/>
  <c r="V36" i="69"/>
  <c r="V35" i="69"/>
  <c r="W35" i="69" s="1"/>
  <c r="V34" i="69"/>
  <c r="W34" i="69" s="1"/>
  <c r="W33" i="69"/>
  <c r="V33" i="69"/>
  <c r="W32" i="69"/>
  <c r="V32" i="69"/>
  <c r="V31" i="69"/>
  <c r="W31" i="69" s="1"/>
  <c r="W30" i="69"/>
  <c r="V30" i="69"/>
  <c r="V29" i="69"/>
  <c r="W29" i="69" s="1"/>
  <c r="V28" i="69"/>
  <c r="W28" i="69" s="1"/>
  <c r="W26" i="69"/>
  <c r="V26" i="69"/>
  <c r="W25" i="69"/>
  <c r="V25" i="69"/>
  <c r="V24" i="69"/>
  <c r="W24" i="69" s="1"/>
  <c r="W23" i="69"/>
  <c r="V23" i="69"/>
  <c r="V22" i="69"/>
  <c r="W22" i="69" s="1"/>
  <c r="V21" i="69"/>
  <c r="W21" i="69" s="1"/>
  <c r="W20" i="69"/>
  <c r="V20" i="69"/>
  <c r="W19" i="69"/>
  <c r="V19" i="69"/>
  <c r="V18" i="69"/>
  <c r="W18" i="69" s="1"/>
  <c r="W17" i="69"/>
  <c r="V17" i="69"/>
  <c r="V16" i="69"/>
  <c r="W16" i="69" s="1"/>
  <c r="V14" i="69"/>
  <c r="W14" i="69" s="1"/>
  <c r="W13" i="69"/>
  <c r="V13" i="69"/>
  <c r="W12" i="69"/>
  <c r="V12" i="69"/>
  <c r="V11" i="69"/>
  <c r="W11" i="69" s="1"/>
  <c r="W10" i="69"/>
  <c r="V10" i="69"/>
  <c r="V9" i="69"/>
  <c r="W9" i="69" s="1"/>
  <c r="V8" i="69"/>
  <c r="W8" i="69" s="1"/>
  <c r="W7" i="69"/>
  <c r="V7" i="69"/>
  <c r="W6" i="69"/>
  <c r="V6" i="69"/>
  <c r="V5" i="69"/>
  <c r="W5" i="69" s="1"/>
  <c r="W4" i="69"/>
  <c r="V4" i="69"/>
  <c r="V3" i="69"/>
  <c r="W3" i="69" s="1"/>
  <c r="V2" i="69"/>
  <c r="W2" i="69" s="1"/>
  <c r="AA207" i="87"/>
  <c r="Z207" i="87"/>
  <c r="K206" i="87"/>
  <c r="J206" i="87"/>
  <c r="I206" i="87"/>
  <c r="AG205" i="87"/>
  <c r="X205" i="87"/>
  <c r="V205" i="87"/>
  <c r="Q208" i="87" s="1"/>
  <c r="K205" i="87"/>
  <c r="I205" i="87"/>
  <c r="Y203" i="87"/>
  <c r="Y205" i="87" s="1"/>
  <c r="T203" i="87"/>
  <c r="T202" i="87"/>
  <c r="Q199" i="87"/>
  <c r="P199" i="87"/>
  <c r="P198" i="87"/>
  <c r="Q198" i="87" s="1"/>
  <c r="P197" i="87"/>
  <c r="Q197" i="87" s="1"/>
  <c r="Q196" i="87"/>
  <c r="T196" i="87" s="1"/>
  <c r="P196" i="87"/>
  <c r="AA195" i="87"/>
  <c r="P195" i="87"/>
  <c r="Q195" i="87" s="1"/>
  <c r="T195" i="87" s="1"/>
  <c r="P194" i="87"/>
  <c r="Q194" i="87" s="1"/>
  <c r="U193" i="87"/>
  <c r="Q193" i="87"/>
  <c r="T193" i="87" s="1"/>
  <c r="P193" i="87"/>
  <c r="P192" i="87"/>
  <c r="Q192" i="87" s="1"/>
  <c r="T192" i="87" s="1"/>
  <c r="AB191" i="87"/>
  <c r="U191" i="87"/>
  <c r="R191" i="87"/>
  <c r="Q191" i="87"/>
  <c r="T191" i="87" s="1"/>
  <c r="Z191" i="87" s="1"/>
  <c r="P191" i="87"/>
  <c r="Q190" i="87"/>
  <c r="P190" i="87"/>
  <c r="AA170" i="87"/>
  <c r="Z170" i="87"/>
  <c r="K169" i="87"/>
  <c r="J169" i="87"/>
  <c r="I169" i="87"/>
  <c r="M169" i="87" s="1"/>
  <c r="X168" i="87"/>
  <c r="V168" i="87"/>
  <c r="Q171" i="87" s="1"/>
  <c r="K168" i="87"/>
  <c r="I168" i="87"/>
  <c r="T166" i="87"/>
  <c r="Y166" i="87" s="1"/>
  <c r="Y168" i="87" s="1"/>
  <c r="Q173" i="87" s="1"/>
  <c r="AA162" i="87"/>
  <c r="T162" i="87"/>
  <c r="P162" i="87"/>
  <c r="Q162" i="87" s="1"/>
  <c r="AA161" i="87"/>
  <c r="P161" i="87"/>
  <c r="Q161" i="87" s="1"/>
  <c r="Q160" i="87"/>
  <c r="U160" i="87" s="1"/>
  <c r="AA160" i="87" s="1"/>
  <c r="P160" i="87"/>
  <c r="P159" i="87"/>
  <c r="Q159" i="87" s="1"/>
  <c r="U158" i="87"/>
  <c r="AA158" i="87" s="1"/>
  <c r="P158" i="87"/>
  <c r="Q158" i="87" s="1"/>
  <c r="U157" i="87"/>
  <c r="AA157" i="87" s="1"/>
  <c r="Q157" i="87"/>
  <c r="T157" i="87" s="1"/>
  <c r="AE157" i="87" s="1"/>
  <c r="P157" i="87"/>
  <c r="P156" i="87"/>
  <c r="Q156" i="87" s="1"/>
  <c r="Q155" i="87"/>
  <c r="P155" i="87"/>
  <c r="U154" i="87"/>
  <c r="AA154" i="87" s="1"/>
  <c r="Q154" i="87"/>
  <c r="P154" i="87"/>
  <c r="P153" i="87"/>
  <c r="Q153" i="87" s="1"/>
  <c r="U152" i="87"/>
  <c r="P152" i="87"/>
  <c r="Q152" i="87" s="1"/>
  <c r="AA138" i="87"/>
  <c r="Q138" i="87"/>
  <c r="AA137" i="87"/>
  <c r="Z137" i="87"/>
  <c r="Z138" i="87" s="1"/>
  <c r="K136" i="87"/>
  <c r="J136" i="87"/>
  <c r="I136" i="87"/>
  <c r="AG135" i="87"/>
  <c r="AF135" i="87"/>
  <c r="W135" i="87"/>
  <c r="V135" i="87"/>
  <c r="K135" i="87"/>
  <c r="I135" i="87"/>
  <c r="M135" i="87" s="1"/>
  <c r="K134" i="87"/>
  <c r="Y133" i="87"/>
  <c r="Y135" i="87" s="1"/>
  <c r="Q140" i="87" s="1"/>
  <c r="T133" i="87"/>
  <c r="X132" i="87"/>
  <c r="X135" i="87" s="1"/>
  <c r="T132" i="87"/>
  <c r="Q126" i="87"/>
  <c r="P126" i="87"/>
  <c r="Q125" i="87"/>
  <c r="T125" i="87" s="1"/>
  <c r="AE125" i="87" s="1"/>
  <c r="P125" i="87"/>
  <c r="Q124" i="87"/>
  <c r="P124" i="87"/>
  <c r="P123" i="87"/>
  <c r="Q123" i="87" s="1"/>
  <c r="P122" i="87"/>
  <c r="Q122" i="87" s="1"/>
  <c r="Q121" i="87"/>
  <c r="T121" i="87" s="1"/>
  <c r="P121" i="87"/>
  <c r="T120" i="87"/>
  <c r="P120" i="87"/>
  <c r="Q120" i="87" s="1"/>
  <c r="T119" i="87"/>
  <c r="P119" i="87"/>
  <c r="Q119" i="87" s="1"/>
  <c r="P118" i="87"/>
  <c r="Q118" i="87" s="1"/>
  <c r="P117" i="87"/>
  <c r="Q117" i="87" s="1"/>
  <c r="AA116" i="87"/>
  <c r="U116" i="87"/>
  <c r="Q116" i="87"/>
  <c r="T116" i="87" s="1"/>
  <c r="AB116" i="87" s="1"/>
  <c r="P116" i="87"/>
  <c r="P115" i="87"/>
  <c r="Q115" i="87" s="1"/>
  <c r="P114" i="87"/>
  <c r="Q114" i="87" s="1"/>
  <c r="Q95" i="87"/>
  <c r="Q92" i="87"/>
  <c r="AA91" i="87"/>
  <c r="Z91" i="87"/>
  <c r="L90" i="87"/>
  <c r="K90" i="87"/>
  <c r="J90" i="87"/>
  <c r="I90" i="87"/>
  <c r="K89" i="87"/>
  <c r="I89" i="87"/>
  <c r="T87" i="87"/>
  <c r="Y87" i="87" s="1"/>
  <c r="Y89" i="87" s="1"/>
  <c r="Q94" i="87" s="1"/>
  <c r="Z86" i="87"/>
  <c r="Z85" i="87"/>
  <c r="AA84" i="87"/>
  <c r="T83" i="87"/>
  <c r="P83" i="87"/>
  <c r="Q83" i="87" s="1"/>
  <c r="AG82" i="87"/>
  <c r="Q82" i="87"/>
  <c r="T82" i="87" s="1"/>
  <c r="AF82" i="87" s="1"/>
  <c r="AF89" i="87" s="1"/>
  <c r="P82" i="87"/>
  <c r="AE81" i="87"/>
  <c r="P81" i="87"/>
  <c r="Q81" i="87" s="1"/>
  <c r="T81" i="87" s="1"/>
  <c r="Q80" i="87"/>
  <c r="P80" i="87"/>
  <c r="Q79" i="87"/>
  <c r="P79" i="87"/>
  <c r="P78" i="87"/>
  <c r="Q78" i="87" s="1"/>
  <c r="T77" i="87"/>
  <c r="AA77" i="87" s="1"/>
  <c r="Q77" i="87"/>
  <c r="P77" i="87"/>
  <c r="Q76" i="87"/>
  <c r="P76" i="87"/>
  <c r="T75" i="87"/>
  <c r="P75" i="87"/>
  <c r="Q75" i="87" s="1"/>
  <c r="T74" i="87"/>
  <c r="Q74" i="87"/>
  <c r="P74" i="87"/>
  <c r="T73" i="87"/>
  <c r="Q73" i="87"/>
  <c r="P73" i="87"/>
  <c r="AA58" i="87"/>
  <c r="Z58" i="87"/>
  <c r="L57" i="87"/>
  <c r="M57" i="87" s="1"/>
  <c r="I58" i="87" s="1"/>
  <c r="K57" i="87"/>
  <c r="J57" i="87"/>
  <c r="I57" i="87"/>
  <c r="AF56" i="87"/>
  <c r="X56" i="87"/>
  <c r="Q60" i="87" s="1"/>
  <c r="W56" i="87"/>
  <c r="Q59" i="87" s="1"/>
  <c r="V56" i="87"/>
  <c r="K56" i="87"/>
  <c r="I56" i="87"/>
  <c r="T54" i="87"/>
  <c r="Y54" i="87" s="1"/>
  <c r="U53" i="87"/>
  <c r="Y53" i="87" s="1"/>
  <c r="Y56" i="87" s="1"/>
  <c r="Q62" i="87" s="1"/>
  <c r="T53" i="87"/>
  <c r="AG47" i="87"/>
  <c r="Q47" i="87"/>
  <c r="P47" i="87"/>
  <c r="AG46" i="87"/>
  <c r="P46" i="87"/>
  <c r="Q46" i="87" s="1"/>
  <c r="T46" i="87" s="1"/>
  <c r="AG45" i="87"/>
  <c r="Q45" i="87"/>
  <c r="T45" i="87" s="1"/>
  <c r="P45" i="87"/>
  <c r="AG44" i="87"/>
  <c r="P44" i="87"/>
  <c r="Q44" i="87" s="1"/>
  <c r="AG43" i="87"/>
  <c r="T43" i="87"/>
  <c r="P43" i="87"/>
  <c r="Q43" i="87" s="1"/>
  <c r="P42" i="87"/>
  <c r="Q42" i="87" s="1"/>
  <c r="Q41" i="87"/>
  <c r="P41" i="87"/>
  <c r="P40" i="87"/>
  <c r="Q40" i="87" s="1"/>
  <c r="T40" i="87" s="1"/>
  <c r="P39" i="87"/>
  <c r="Q39" i="87" s="1"/>
  <c r="Q38" i="87"/>
  <c r="T38" i="87" s="1"/>
  <c r="AC38" i="87" s="1"/>
  <c r="AC56" i="87" s="1"/>
  <c r="P38" i="87"/>
  <c r="P37" i="87"/>
  <c r="Q37" i="87" s="1"/>
  <c r="T37" i="87" s="1"/>
  <c r="P36" i="87"/>
  <c r="Q36" i="87" s="1"/>
  <c r="P35" i="87"/>
  <c r="Q35" i="87" s="1"/>
  <c r="W60" i="68"/>
  <c r="V60" i="68"/>
  <c r="V59" i="68"/>
  <c r="W59" i="68" s="1"/>
  <c r="V58" i="68"/>
  <c r="W58" i="68" s="1"/>
  <c r="V57" i="68"/>
  <c r="W57" i="68" s="1"/>
  <c r="W56" i="68"/>
  <c r="V56" i="68"/>
  <c r="V55" i="68"/>
  <c r="W55" i="68" s="1"/>
  <c r="W54" i="68"/>
  <c r="V54" i="68"/>
  <c r="V53" i="68"/>
  <c r="W53" i="68" s="1"/>
  <c r="V52" i="68"/>
  <c r="W52" i="68" s="1"/>
  <c r="V51" i="68"/>
  <c r="W51" i="68" s="1"/>
  <c r="W49" i="68"/>
  <c r="V49" i="68"/>
  <c r="V48" i="68"/>
  <c r="W48" i="68" s="1"/>
  <c r="W47" i="68"/>
  <c r="V47" i="68"/>
  <c r="V46" i="68"/>
  <c r="W46" i="68" s="1"/>
  <c r="V45" i="68"/>
  <c r="W45" i="68" s="1"/>
  <c r="V44" i="68"/>
  <c r="W44" i="68" s="1"/>
  <c r="W43" i="68"/>
  <c r="V43" i="68"/>
  <c r="V42" i="68"/>
  <c r="W42" i="68" s="1"/>
  <c r="W41" i="68"/>
  <c r="V41" i="68"/>
  <c r="V40" i="68"/>
  <c r="W40" i="68" s="1"/>
  <c r="V39" i="68"/>
  <c r="W39" i="68" s="1"/>
  <c r="V37" i="68"/>
  <c r="W37" i="68" s="1"/>
  <c r="W36" i="68"/>
  <c r="V36" i="68"/>
  <c r="V35" i="68"/>
  <c r="W35" i="68" s="1"/>
  <c r="W34" i="68"/>
  <c r="V34" i="68"/>
  <c r="V33" i="68"/>
  <c r="W33" i="68" s="1"/>
  <c r="V32" i="68"/>
  <c r="W32" i="68" s="1"/>
  <c r="V31" i="68"/>
  <c r="W31" i="68" s="1"/>
  <c r="W30" i="68"/>
  <c r="V30" i="68"/>
  <c r="V29" i="68"/>
  <c r="W29" i="68" s="1"/>
  <c r="W28" i="68"/>
  <c r="V28" i="68"/>
  <c r="V27" i="68"/>
  <c r="W27" i="68" s="1"/>
  <c r="V25" i="68"/>
  <c r="W25" i="68" s="1"/>
  <c r="V24" i="68"/>
  <c r="W24" i="68" s="1"/>
  <c r="W23" i="68"/>
  <c r="V23" i="68"/>
  <c r="V22" i="68"/>
  <c r="W22" i="68" s="1"/>
  <c r="W21" i="68"/>
  <c r="V21" i="68"/>
  <c r="V20" i="68"/>
  <c r="W20" i="68" s="1"/>
  <c r="V19" i="68"/>
  <c r="W19" i="68" s="1"/>
  <c r="V18" i="68"/>
  <c r="W18" i="68" s="1"/>
  <c r="W17" i="68"/>
  <c r="V17" i="68"/>
  <c r="V16" i="68"/>
  <c r="W16" i="68" s="1"/>
  <c r="W15" i="68"/>
  <c r="V15" i="68"/>
  <c r="V13" i="68"/>
  <c r="W13" i="68" s="1"/>
  <c r="V12" i="68"/>
  <c r="W12" i="68" s="1"/>
  <c r="V11" i="68"/>
  <c r="W11" i="68" s="1"/>
  <c r="W10" i="68"/>
  <c r="V10" i="68"/>
  <c r="V9" i="68"/>
  <c r="W9" i="68" s="1"/>
  <c r="W8" i="68"/>
  <c r="V8" i="68"/>
  <c r="V7" i="68"/>
  <c r="W7" i="68" s="1"/>
  <c r="V6" i="68"/>
  <c r="W6" i="68" s="1"/>
  <c r="V5" i="68"/>
  <c r="W5" i="68" s="1"/>
  <c r="W4" i="68"/>
  <c r="V4" i="68"/>
  <c r="V3" i="68"/>
  <c r="W3" i="68" s="1"/>
  <c r="W2" i="68"/>
  <c r="V2" i="68"/>
  <c r="Z198" i="86"/>
  <c r="Z199" i="86" s="1"/>
  <c r="Y198" i="86"/>
  <c r="K197" i="86"/>
  <c r="J197" i="86"/>
  <c r="I197" i="86"/>
  <c r="AE196" i="86"/>
  <c r="AB196" i="86"/>
  <c r="K196" i="86"/>
  <c r="K195" i="86" s="1"/>
  <c r="J196" i="86"/>
  <c r="I196" i="86"/>
  <c r="M196" i="86" s="1"/>
  <c r="Y199" i="86" s="1"/>
  <c r="I195" i="86"/>
  <c r="S194" i="86"/>
  <c r="X194" i="86" s="1"/>
  <c r="X196" i="86" s="1"/>
  <c r="S193" i="86"/>
  <c r="W193" i="86" s="1"/>
  <c r="W196" i="86" s="1"/>
  <c r="Q191" i="86"/>
  <c r="P191" i="86"/>
  <c r="P190" i="86"/>
  <c r="Q190" i="86" s="1"/>
  <c r="P189" i="86"/>
  <c r="Q189" i="86" s="1"/>
  <c r="Q188" i="86"/>
  <c r="S188" i="86" s="1"/>
  <c r="P188" i="86"/>
  <c r="P187" i="86"/>
  <c r="Q187" i="86" s="1"/>
  <c r="P186" i="86"/>
  <c r="Q186" i="86" s="1"/>
  <c r="P185" i="86"/>
  <c r="Q185" i="86" s="1"/>
  <c r="AC184" i="86"/>
  <c r="P184" i="86"/>
  <c r="Q184" i="86" s="1"/>
  <c r="S184" i="86" s="1"/>
  <c r="Q183" i="86"/>
  <c r="P183" i="86"/>
  <c r="Q182" i="86"/>
  <c r="S182" i="86" s="1"/>
  <c r="P182" i="86"/>
  <c r="Z162" i="86"/>
  <c r="Y162" i="86"/>
  <c r="M161" i="86"/>
  <c r="J162" i="86" s="1"/>
  <c r="K161" i="86"/>
  <c r="K162" i="86" s="1"/>
  <c r="J161" i="86"/>
  <c r="I161" i="86"/>
  <c r="AI160" i="86"/>
  <c r="AH160" i="86"/>
  <c r="AB160" i="86"/>
  <c r="W160" i="86"/>
  <c r="K160" i="86"/>
  <c r="J160" i="86"/>
  <c r="M160" i="86" s="1"/>
  <c r="J159" i="86" s="1"/>
  <c r="I160" i="86"/>
  <c r="S158" i="86"/>
  <c r="X158" i="86" s="1"/>
  <c r="X160" i="86" s="1"/>
  <c r="S157" i="86"/>
  <c r="W157" i="86" s="1"/>
  <c r="P155" i="86"/>
  <c r="Q155" i="86" s="1"/>
  <c r="S155" i="86" s="1"/>
  <c r="Q154" i="86"/>
  <c r="P154" i="86"/>
  <c r="Q153" i="86"/>
  <c r="S153" i="86" s="1"/>
  <c r="P153" i="86"/>
  <c r="P152" i="86"/>
  <c r="Q152" i="86" s="1"/>
  <c r="P151" i="86"/>
  <c r="Q151" i="86" s="1"/>
  <c r="Q150" i="86"/>
  <c r="P150" i="86"/>
  <c r="P149" i="86"/>
  <c r="Q149" i="86" s="1"/>
  <c r="P148" i="86"/>
  <c r="Q148" i="86" s="1"/>
  <c r="Q147" i="86"/>
  <c r="S147" i="86" s="1"/>
  <c r="P147" i="86"/>
  <c r="P146" i="86"/>
  <c r="Q146" i="86" s="1"/>
  <c r="P145" i="86"/>
  <c r="Q145" i="86" s="1"/>
  <c r="Q128" i="86"/>
  <c r="Z126" i="86"/>
  <c r="Y126" i="86"/>
  <c r="K125" i="86"/>
  <c r="J125" i="86"/>
  <c r="I125" i="86"/>
  <c r="M125" i="86" s="1"/>
  <c r="AI124" i="86"/>
  <c r="AH124" i="86"/>
  <c r="AB124" i="86"/>
  <c r="W124" i="86"/>
  <c r="Q130" i="86" s="1"/>
  <c r="V124" i="86"/>
  <c r="K124" i="86"/>
  <c r="J124" i="86"/>
  <c r="I124" i="86"/>
  <c r="M124" i="86" s="1"/>
  <c r="J123" i="86"/>
  <c r="S122" i="86"/>
  <c r="X122" i="86" s="1"/>
  <c r="X124" i="86" s="1"/>
  <c r="S121" i="86"/>
  <c r="W121" i="86" s="1"/>
  <c r="Q118" i="86"/>
  <c r="S118" i="86" s="1"/>
  <c r="P118" i="86"/>
  <c r="P117" i="86"/>
  <c r="Q117" i="86" s="1"/>
  <c r="P116" i="86"/>
  <c r="Q116" i="86" s="1"/>
  <c r="P115" i="86"/>
  <c r="Q115" i="86" s="1"/>
  <c r="P114" i="86"/>
  <c r="Q114" i="86" s="1"/>
  <c r="S114" i="86" s="1"/>
  <c r="Q113" i="86"/>
  <c r="P113" i="86"/>
  <c r="Q112" i="86"/>
  <c r="S112" i="86" s="1"/>
  <c r="P112" i="86"/>
  <c r="P111" i="86"/>
  <c r="Q111" i="86" s="1"/>
  <c r="P110" i="86"/>
  <c r="Q110" i="86" s="1"/>
  <c r="Q109" i="86"/>
  <c r="S109" i="86" s="1"/>
  <c r="P109" i="86"/>
  <c r="P108" i="86"/>
  <c r="Q108" i="86" s="1"/>
  <c r="Q89" i="86"/>
  <c r="Z85" i="86"/>
  <c r="Z86" i="86" s="1"/>
  <c r="Y85" i="86"/>
  <c r="Y86" i="86" s="1"/>
  <c r="L84" i="86"/>
  <c r="K84" i="86"/>
  <c r="J84" i="86"/>
  <c r="I84" i="86"/>
  <c r="M84" i="86" s="1"/>
  <c r="AE83" i="86"/>
  <c r="W83" i="86"/>
  <c r="U83" i="86"/>
  <c r="Q86" i="86" s="1"/>
  <c r="K83" i="86"/>
  <c r="J83" i="86"/>
  <c r="I83" i="86"/>
  <c r="M83" i="86" s="1"/>
  <c r="X81" i="86"/>
  <c r="X83" i="86" s="1"/>
  <c r="Q88" i="86" s="1"/>
  <c r="S81" i="86"/>
  <c r="AI80" i="86"/>
  <c r="AH80" i="86"/>
  <c r="Y80" i="86"/>
  <c r="U80" i="86"/>
  <c r="Y79" i="86"/>
  <c r="T79" i="86"/>
  <c r="Q78" i="86"/>
  <c r="P78" i="86"/>
  <c r="P77" i="86"/>
  <c r="Q77" i="86" s="1"/>
  <c r="S76" i="86"/>
  <c r="P76" i="86"/>
  <c r="Q76" i="86" s="1"/>
  <c r="Q75" i="86"/>
  <c r="P75" i="86"/>
  <c r="Q74" i="86"/>
  <c r="S74" i="86" s="1"/>
  <c r="AF74" i="86" s="1"/>
  <c r="P74" i="86"/>
  <c r="P73" i="86"/>
  <c r="Q73" i="86" s="1"/>
  <c r="P72" i="86"/>
  <c r="Q72" i="86" s="1"/>
  <c r="Q71" i="86"/>
  <c r="S71" i="86" s="1"/>
  <c r="P71" i="86"/>
  <c r="P70" i="86"/>
  <c r="Q70" i="86" s="1"/>
  <c r="S69" i="86"/>
  <c r="P69" i="86"/>
  <c r="Q69" i="86" s="1"/>
  <c r="Q68" i="86"/>
  <c r="P68" i="86"/>
  <c r="Z53" i="86"/>
  <c r="Z54" i="86" s="1"/>
  <c r="Y53" i="86"/>
  <c r="Y54" i="86" s="1"/>
  <c r="L52" i="86"/>
  <c r="L53" i="86" s="1"/>
  <c r="K52" i="86"/>
  <c r="J52" i="86"/>
  <c r="I52" i="86"/>
  <c r="M52" i="86" s="1"/>
  <c r="V51" i="86"/>
  <c r="Q55" i="86" s="1"/>
  <c r="M51" i="86"/>
  <c r="K51" i="86"/>
  <c r="J51" i="86"/>
  <c r="I51" i="86"/>
  <c r="S49" i="86"/>
  <c r="X49" i="86" s="1"/>
  <c r="X51" i="86" s="1"/>
  <c r="S48" i="86"/>
  <c r="W48" i="86" s="1"/>
  <c r="W51" i="86" s="1"/>
  <c r="P45" i="86"/>
  <c r="Q45" i="86" s="1"/>
  <c r="S44" i="86"/>
  <c r="P44" i="86"/>
  <c r="Q44" i="86" s="1"/>
  <c r="Q43" i="86"/>
  <c r="P43" i="86"/>
  <c r="Z42" i="86"/>
  <c r="T42" i="86"/>
  <c r="Q42" i="86"/>
  <c r="S42" i="86" s="1"/>
  <c r="AF42" i="86" s="1"/>
  <c r="P42" i="86"/>
  <c r="P41" i="86"/>
  <c r="Q41" i="86" s="1"/>
  <c r="P40" i="86"/>
  <c r="Q40" i="86" s="1"/>
  <c r="Y39" i="86"/>
  <c r="Q39" i="86"/>
  <c r="S39" i="86" s="1"/>
  <c r="T39" i="86" s="1"/>
  <c r="AC39" i="86" s="1"/>
  <c r="P39" i="86"/>
  <c r="P38" i="86"/>
  <c r="Q38" i="86" s="1"/>
  <c r="P37" i="86"/>
  <c r="Q37" i="86" s="1"/>
  <c r="Q36" i="86"/>
  <c r="S36" i="86" s="1"/>
  <c r="P36" i="86"/>
  <c r="P35" i="86"/>
  <c r="Q35" i="86" s="1"/>
  <c r="P34" i="86"/>
  <c r="Q34" i="86" s="1"/>
  <c r="V56" i="67"/>
  <c r="W56" i="67" s="1"/>
  <c r="V55" i="67"/>
  <c r="W55" i="67" s="1"/>
  <c r="V54" i="67"/>
  <c r="W54" i="67" s="1"/>
  <c r="W53" i="67"/>
  <c r="V53" i="67"/>
  <c r="V52" i="67"/>
  <c r="W52" i="67" s="1"/>
  <c r="W51" i="67"/>
  <c r="V51" i="67"/>
  <c r="V50" i="67"/>
  <c r="W50" i="67" s="1"/>
  <c r="V49" i="67"/>
  <c r="W49" i="67" s="1"/>
  <c r="V48" i="67"/>
  <c r="W48" i="67" s="1"/>
  <c r="W46" i="67"/>
  <c r="V46" i="67"/>
  <c r="V45" i="67"/>
  <c r="W45" i="67" s="1"/>
  <c r="W44" i="67"/>
  <c r="V44" i="67"/>
  <c r="V43" i="67"/>
  <c r="W43" i="67" s="1"/>
  <c r="V42" i="67"/>
  <c r="W42" i="67" s="1"/>
  <c r="V41" i="67"/>
  <c r="W41" i="67" s="1"/>
  <c r="W40" i="67"/>
  <c r="V40" i="67"/>
  <c r="V39" i="67"/>
  <c r="W39" i="67" s="1"/>
  <c r="W38" i="67"/>
  <c r="V38" i="67"/>
  <c r="V37" i="67"/>
  <c r="W37" i="67" s="1"/>
  <c r="V36" i="67"/>
  <c r="W36" i="67" s="1"/>
  <c r="V34" i="67"/>
  <c r="W34" i="67" s="1"/>
  <c r="W33" i="67"/>
  <c r="V33" i="67"/>
  <c r="V32" i="67"/>
  <c r="W32" i="67" s="1"/>
  <c r="W31" i="67"/>
  <c r="V31" i="67"/>
  <c r="V30" i="67"/>
  <c r="W30" i="67" s="1"/>
  <c r="V29" i="67"/>
  <c r="W29" i="67" s="1"/>
  <c r="V28" i="67"/>
  <c r="W28" i="67" s="1"/>
  <c r="W27" i="67"/>
  <c r="V27" i="67"/>
  <c r="V26" i="67"/>
  <c r="W26" i="67" s="1"/>
  <c r="W25" i="67"/>
  <c r="V25" i="67"/>
  <c r="V23" i="67"/>
  <c r="W23" i="67" s="1"/>
  <c r="V22" i="67"/>
  <c r="W22" i="67" s="1"/>
  <c r="V21" i="67"/>
  <c r="W21" i="67" s="1"/>
  <c r="W20" i="67"/>
  <c r="V20" i="67"/>
  <c r="V19" i="67"/>
  <c r="W19" i="67" s="1"/>
  <c r="W18" i="67"/>
  <c r="V18" i="67"/>
  <c r="V17" i="67"/>
  <c r="W17" i="67" s="1"/>
  <c r="V16" i="67"/>
  <c r="W16" i="67" s="1"/>
  <c r="V15" i="67"/>
  <c r="W15" i="67" s="1"/>
  <c r="W14" i="67"/>
  <c r="V14" i="67"/>
  <c r="V13" i="67"/>
  <c r="W13" i="67" s="1"/>
  <c r="W11" i="67"/>
  <c r="V11" i="67"/>
  <c r="V10" i="67"/>
  <c r="W10" i="67" s="1"/>
  <c r="V9" i="67"/>
  <c r="W9" i="67" s="1"/>
  <c r="V8" i="67"/>
  <c r="W8" i="67" s="1"/>
  <c r="W7" i="67"/>
  <c r="V7" i="67"/>
  <c r="V6" i="67"/>
  <c r="W6" i="67" s="1"/>
  <c r="W5" i="67"/>
  <c r="V5" i="67"/>
  <c r="V4" i="67"/>
  <c r="W4" i="67" s="1"/>
  <c r="V3" i="67"/>
  <c r="W3" i="67" s="1"/>
  <c r="V2" i="67"/>
  <c r="W2" i="67" s="1"/>
  <c r="Q191" i="85"/>
  <c r="AA189" i="85"/>
  <c r="AA190" i="85" s="1"/>
  <c r="Z189" i="85"/>
  <c r="Z190" i="85" s="1"/>
  <c r="K188" i="85"/>
  <c r="J188" i="85"/>
  <c r="I188" i="85"/>
  <c r="W187" i="85"/>
  <c r="M187" i="85"/>
  <c r="J187" i="85"/>
  <c r="I187" i="85"/>
  <c r="J186" i="85"/>
  <c r="I186" i="85"/>
  <c r="Y185" i="85"/>
  <c r="Y187" i="85" s="1"/>
  <c r="T185" i="85"/>
  <c r="X184" i="85"/>
  <c r="X187" i="85" s="1"/>
  <c r="T184" i="85"/>
  <c r="P182" i="85"/>
  <c r="Q182" i="85" s="1"/>
  <c r="T181" i="85"/>
  <c r="P181" i="85"/>
  <c r="Q181" i="85" s="1"/>
  <c r="Q180" i="85"/>
  <c r="T180" i="85" s="1"/>
  <c r="P180" i="85"/>
  <c r="P179" i="85"/>
  <c r="Q179" i="85" s="1"/>
  <c r="P178" i="85"/>
  <c r="Q178" i="85" s="1"/>
  <c r="P177" i="85"/>
  <c r="Q177" i="85" s="1"/>
  <c r="AB176" i="85"/>
  <c r="P176" i="85"/>
  <c r="Q176" i="85" s="1"/>
  <c r="T176" i="85" s="1"/>
  <c r="Q175" i="85"/>
  <c r="T175" i="85" s="1"/>
  <c r="P175" i="85"/>
  <c r="P174" i="85"/>
  <c r="Q174" i="85" s="1"/>
  <c r="Q155" i="85"/>
  <c r="AA152" i="85"/>
  <c r="Z152" i="85"/>
  <c r="K151" i="85"/>
  <c r="J151" i="85"/>
  <c r="I151" i="85"/>
  <c r="X150" i="85"/>
  <c r="J150" i="85"/>
  <c r="I150" i="85"/>
  <c r="T148" i="85"/>
  <c r="Y148" i="85" s="1"/>
  <c r="Y150" i="85" s="1"/>
  <c r="T147" i="85"/>
  <c r="X147" i="85" s="1"/>
  <c r="P145" i="85"/>
  <c r="Q145" i="85" s="1"/>
  <c r="P144" i="85"/>
  <c r="Q144" i="85" s="1"/>
  <c r="Q143" i="85"/>
  <c r="T143" i="85" s="1"/>
  <c r="P143" i="85"/>
  <c r="P142" i="85"/>
  <c r="Q142" i="85" s="1"/>
  <c r="T141" i="85"/>
  <c r="P141" i="85"/>
  <c r="Q141" i="85" s="1"/>
  <c r="Q140" i="85"/>
  <c r="T140" i="85" s="1"/>
  <c r="P140" i="85"/>
  <c r="P139" i="85"/>
  <c r="Q139" i="85" s="1"/>
  <c r="Q138" i="85"/>
  <c r="P138" i="85"/>
  <c r="P137" i="85"/>
  <c r="Q137" i="85" s="1"/>
  <c r="AB136" i="85"/>
  <c r="T136" i="85"/>
  <c r="P136" i="85"/>
  <c r="Q136" i="85" s="1"/>
  <c r="P135" i="85"/>
  <c r="Q135" i="85" s="1"/>
  <c r="AA119" i="85"/>
  <c r="Z119" i="85"/>
  <c r="K118" i="85"/>
  <c r="J118" i="85"/>
  <c r="I118" i="85"/>
  <c r="M118" i="85" s="1"/>
  <c r="AF117" i="85"/>
  <c r="J117" i="85"/>
  <c r="I117" i="85"/>
  <c r="T115" i="85"/>
  <c r="Y115" i="85" s="1"/>
  <c r="Y117" i="85" s="1"/>
  <c r="X114" i="85"/>
  <c r="X117" i="85" s="1"/>
  <c r="Q123" i="85" s="1"/>
  <c r="AG112" i="85"/>
  <c r="AG117" i="85" s="1"/>
  <c r="W112" i="85"/>
  <c r="P111" i="85"/>
  <c r="Q111" i="85" s="1"/>
  <c r="P110" i="85"/>
  <c r="Q110" i="85" s="1"/>
  <c r="P109" i="85"/>
  <c r="Q109" i="85" s="1"/>
  <c r="P108" i="85"/>
  <c r="Q108" i="85" s="1"/>
  <c r="T108" i="85" s="1"/>
  <c r="Q107" i="85"/>
  <c r="P107" i="85"/>
  <c r="P106" i="85"/>
  <c r="Q106" i="85" s="1"/>
  <c r="P105" i="85"/>
  <c r="Q105" i="85" s="1"/>
  <c r="P104" i="85"/>
  <c r="Q104" i="85" s="1"/>
  <c r="P103" i="85"/>
  <c r="Q103" i="85" s="1"/>
  <c r="P102" i="85"/>
  <c r="Q102" i="85" s="1"/>
  <c r="AA84" i="85"/>
  <c r="AA83" i="85"/>
  <c r="Z83" i="85"/>
  <c r="L82" i="85"/>
  <c r="K82" i="85"/>
  <c r="J82" i="85"/>
  <c r="J83" i="85" s="1"/>
  <c r="I82" i="85"/>
  <c r="M82" i="85" s="1"/>
  <c r="J81" i="85"/>
  <c r="I81" i="85"/>
  <c r="M81" i="85" s="1"/>
  <c r="T79" i="85"/>
  <c r="Y79" i="85" s="1"/>
  <c r="Y81" i="85" s="1"/>
  <c r="Q86" i="85" s="1"/>
  <c r="T78" i="85"/>
  <c r="X78" i="85" s="1"/>
  <c r="X81" i="85" s="1"/>
  <c r="P76" i="85"/>
  <c r="Q76" i="85" s="1"/>
  <c r="T75" i="85"/>
  <c r="P75" i="85"/>
  <c r="Q75" i="85" s="1"/>
  <c r="Q74" i="85"/>
  <c r="P74" i="85"/>
  <c r="Q73" i="85"/>
  <c r="T73" i="85" s="1"/>
  <c r="AE73" i="85" s="1"/>
  <c r="P73" i="85"/>
  <c r="P72" i="85"/>
  <c r="Q72" i="85" s="1"/>
  <c r="P71" i="85"/>
  <c r="Q71" i="85" s="1"/>
  <c r="Q70" i="85"/>
  <c r="T70" i="85" s="1"/>
  <c r="P70" i="85"/>
  <c r="P69" i="85"/>
  <c r="Q69" i="85" s="1"/>
  <c r="T68" i="85"/>
  <c r="P68" i="85"/>
  <c r="Q68" i="85" s="1"/>
  <c r="P67" i="85"/>
  <c r="Q67" i="85" s="1"/>
  <c r="P66" i="85"/>
  <c r="Q66" i="85" s="1"/>
  <c r="Q56" i="85"/>
  <c r="Q54" i="85"/>
  <c r="AA52" i="85"/>
  <c r="Z52" i="85"/>
  <c r="M51" i="85"/>
  <c r="L51" i="85"/>
  <c r="K51" i="85"/>
  <c r="J51" i="85"/>
  <c r="I51" i="85"/>
  <c r="X50" i="85"/>
  <c r="W50" i="85"/>
  <c r="J50" i="85"/>
  <c r="I50" i="85"/>
  <c r="M50" i="85" s="1"/>
  <c r="Z53" i="85" s="1"/>
  <c r="I49" i="85"/>
  <c r="Y48" i="85"/>
  <c r="Y50" i="85" s="1"/>
  <c r="T48" i="85"/>
  <c r="X47" i="85"/>
  <c r="T47" i="85"/>
  <c r="P44" i="85"/>
  <c r="Q44" i="85" s="1"/>
  <c r="P43" i="85"/>
  <c r="Q43" i="85" s="1"/>
  <c r="T42" i="85"/>
  <c r="U42" i="85" s="1"/>
  <c r="P42" i="85"/>
  <c r="Q42" i="85" s="1"/>
  <c r="P41" i="85"/>
  <c r="Q41" i="85" s="1"/>
  <c r="AA40" i="85"/>
  <c r="Q40" i="85"/>
  <c r="T40" i="85" s="1"/>
  <c r="AC40" i="85" s="1"/>
  <c r="P40" i="85"/>
  <c r="P39" i="85"/>
  <c r="Q39" i="85" s="1"/>
  <c r="P38" i="85"/>
  <c r="Q38" i="85" s="1"/>
  <c r="T37" i="85"/>
  <c r="U37" i="85" s="1"/>
  <c r="P37" i="85"/>
  <c r="Q37" i="85" s="1"/>
  <c r="Q36" i="85"/>
  <c r="P36" i="85"/>
  <c r="P35" i="85"/>
  <c r="Q35" i="85" s="1"/>
  <c r="C19" i="85"/>
  <c r="E18" i="85"/>
  <c r="D18" i="85"/>
  <c r="E17" i="85"/>
  <c r="D17" i="85"/>
  <c r="D19" i="85" s="1"/>
  <c r="D16" i="85"/>
  <c r="E16" i="85" s="1"/>
  <c r="V38" i="66"/>
  <c r="W38" i="66" s="1"/>
  <c r="V37" i="66"/>
  <c r="W37" i="66" s="1"/>
  <c r="W36" i="66"/>
  <c r="V36" i="66"/>
  <c r="V35" i="66"/>
  <c r="W35" i="66" s="1"/>
  <c r="W33" i="66"/>
  <c r="V33" i="66"/>
  <c r="V32" i="66"/>
  <c r="W32" i="66" s="1"/>
  <c r="V31" i="66"/>
  <c r="W31" i="66" s="1"/>
  <c r="V30" i="66"/>
  <c r="W30" i="66" s="1"/>
  <c r="W29" i="66"/>
  <c r="V29" i="66"/>
  <c r="V28" i="66"/>
  <c r="W28" i="66" s="1"/>
  <c r="W27" i="66"/>
  <c r="V27" i="66"/>
  <c r="V25" i="66"/>
  <c r="W25" i="66" s="1"/>
  <c r="V24" i="66"/>
  <c r="W24" i="66" s="1"/>
  <c r="W23" i="66"/>
  <c r="V23" i="66"/>
  <c r="V22" i="66"/>
  <c r="W22" i="66" s="1"/>
  <c r="V21" i="66"/>
  <c r="W21" i="66" s="1"/>
  <c r="W20" i="66"/>
  <c r="V20" i="66"/>
  <c r="V18" i="66"/>
  <c r="W18" i="66" s="1"/>
  <c r="V17" i="66"/>
  <c r="W17" i="66" s="1"/>
  <c r="W16" i="66"/>
  <c r="V16" i="66"/>
  <c r="V15" i="66"/>
  <c r="W15" i="66" s="1"/>
  <c r="V14" i="66"/>
  <c r="W14" i="66" s="1"/>
  <c r="W13" i="66"/>
  <c r="V13" i="66"/>
  <c r="V12" i="66"/>
  <c r="W12" i="66" s="1"/>
  <c r="V11" i="66"/>
  <c r="W11" i="66" s="1"/>
  <c r="V10" i="66"/>
  <c r="W10" i="66" s="1"/>
  <c r="V8" i="66"/>
  <c r="W8" i="66" s="1"/>
  <c r="V7" i="66"/>
  <c r="W7" i="66" s="1"/>
  <c r="W6" i="66"/>
  <c r="V6" i="66"/>
  <c r="V5" i="66"/>
  <c r="W5" i="66" s="1"/>
  <c r="V4" i="66"/>
  <c r="W4" i="66" s="1"/>
  <c r="V3" i="66"/>
  <c r="W3" i="66" s="1"/>
  <c r="W2" i="66"/>
  <c r="V2" i="66"/>
  <c r="R167" i="84"/>
  <c r="Z163" i="84"/>
  <c r="Y163" i="84"/>
  <c r="R163" i="84"/>
  <c r="K162" i="84"/>
  <c r="J162" i="84"/>
  <c r="I162" i="84"/>
  <c r="AD161" i="84"/>
  <c r="AA161" i="84"/>
  <c r="M161" i="84"/>
  <c r="Z164" i="84" s="1"/>
  <c r="K161" i="84"/>
  <c r="J161" i="84"/>
  <c r="I161" i="84"/>
  <c r="S159" i="84"/>
  <c r="X159" i="84" s="1"/>
  <c r="X161" i="84" s="1"/>
  <c r="R166" i="84" s="1"/>
  <c r="S158" i="84"/>
  <c r="S157" i="84"/>
  <c r="V157" i="84" s="1"/>
  <c r="Q156" i="84"/>
  <c r="P156" i="84"/>
  <c r="P155" i="84"/>
  <c r="Q155" i="84" s="1"/>
  <c r="S154" i="84"/>
  <c r="AC154" i="84" s="1"/>
  <c r="P154" i="84"/>
  <c r="Q154" i="84" s="1"/>
  <c r="P153" i="84"/>
  <c r="Q153" i="84" s="1"/>
  <c r="R137" i="84"/>
  <c r="Z133" i="84"/>
  <c r="Y133" i="84"/>
  <c r="K132" i="84"/>
  <c r="J132" i="84"/>
  <c r="I132" i="84"/>
  <c r="AD131" i="84"/>
  <c r="W131" i="84"/>
  <c r="K131" i="84"/>
  <c r="J131" i="84"/>
  <c r="I131" i="84"/>
  <c r="X129" i="84"/>
  <c r="X131" i="84" s="1"/>
  <c r="R136" i="84" s="1"/>
  <c r="S129" i="84"/>
  <c r="W128" i="84"/>
  <c r="S128" i="84"/>
  <c r="P126" i="84"/>
  <c r="Q126" i="84" s="1"/>
  <c r="Q125" i="84"/>
  <c r="P125" i="84"/>
  <c r="P124" i="84"/>
  <c r="Q124" i="84" s="1"/>
  <c r="S124" i="84" s="1"/>
  <c r="P123" i="84"/>
  <c r="Q123" i="84" s="1"/>
  <c r="S123" i="84" s="1"/>
  <c r="P122" i="84"/>
  <c r="Q122" i="84" s="1"/>
  <c r="P121" i="84"/>
  <c r="Q121" i="84" s="1"/>
  <c r="P120" i="84"/>
  <c r="Q120" i="84" s="1"/>
  <c r="Z106" i="84"/>
  <c r="Y106" i="84"/>
  <c r="K105" i="84"/>
  <c r="M105" i="84" s="1"/>
  <c r="J105" i="84"/>
  <c r="I105" i="84"/>
  <c r="AE104" i="84"/>
  <c r="AD104" i="84"/>
  <c r="V104" i="84"/>
  <c r="K104" i="84"/>
  <c r="J104" i="84"/>
  <c r="I104" i="84"/>
  <c r="S102" i="84"/>
  <c r="X102" i="84" s="1"/>
  <c r="X104" i="84" s="1"/>
  <c r="R109" i="84" s="1"/>
  <c r="S101" i="84"/>
  <c r="W101" i="84" s="1"/>
  <c r="W104" i="84" s="1"/>
  <c r="R110" i="84" s="1"/>
  <c r="S98" i="84"/>
  <c r="AC98" i="84" s="1"/>
  <c r="P98" i="84"/>
  <c r="Q98" i="84" s="1"/>
  <c r="Q97" i="84"/>
  <c r="S97" i="84" s="1"/>
  <c r="P97" i="84"/>
  <c r="Q96" i="84"/>
  <c r="P96" i="84"/>
  <c r="Q95" i="84"/>
  <c r="S95" i="84" s="1"/>
  <c r="P95" i="84"/>
  <c r="P94" i="84"/>
  <c r="Q94" i="84" s="1"/>
  <c r="Q93" i="84"/>
  <c r="S93" i="84" s="1"/>
  <c r="P93" i="84"/>
  <c r="R76" i="84"/>
  <c r="Z73" i="84"/>
  <c r="Y73" i="84"/>
  <c r="L72" i="84"/>
  <c r="K72" i="84"/>
  <c r="J72" i="84"/>
  <c r="I72" i="84"/>
  <c r="X71" i="84"/>
  <c r="V71" i="84"/>
  <c r="L71" i="84"/>
  <c r="K71" i="84"/>
  <c r="J71" i="84"/>
  <c r="I71" i="84"/>
  <c r="X69" i="84"/>
  <c r="S69" i="84"/>
  <c r="S68" i="84"/>
  <c r="W68" i="84" s="1"/>
  <c r="W71" i="84" s="1"/>
  <c r="R77" i="84" s="1"/>
  <c r="P66" i="84"/>
  <c r="Q66" i="84" s="1"/>
  <c r="Q65" i="84"/>
  <c r="P65" i="84"/>
  <c r="Q64" i="84"/>
  <c r="S64" i="84" s="1"/>
  <c r="P64" i="84"/>
  <c r="P63" i="84"/>
  <c r="Q63" i="84" s="1"/>
  <c r="P62" i="84"/>
  <c r="Q62" i="84" s="1"/>
  <c r="AB61" i="84"/>
  <c r="Z61" i="84"/>
  <c r="S61" i="84"/>
  <c r="U61" i="84" s="1"/>
  <c r="Q61" i="84"/>
  <c r="P61" i="84"/>
  <c r="P60" i="84"/>
  <c r="Q60" i="84" s="1"/>
  <c r="P59" i="84"/>
  <c r="Q59" i="84" s="1"/>
  <c r="P58" i="84"/>
  <c r="Q58" i="84" s="1"/>
  <c r="Z43" i="84"/>
  <c r="Y43" i="84"/>
  <c r="L42" i="84"/>
  <c r="K42" i="84"/>
  <c r="J42" i="84"/>
  <c r="I42" i="84"/>
  <c r="V41" i="84"/>
  <c r="Q41" i="84"/>
  <c r="R31" i="84" s="1"/>
  <c r="L41" i="84"/>
  <c r="K41" i="84"/>
  <c r="J41" i="84"/>
  <c r="I41" i="84"/>
  <c r="S39" i="84"/>
  <c r="X39" i="84" s="1"/>
  <c r="X41" i="84" s="1"/>
  <c r="R46" i="84" s="1"/>
  <c r="S38" i="84"/>
  <c r="W38" i="84" s="1"/>
  <c r="W41" i="84" s="1"/>
  <c r="R47" i="84" s="1"/>
  <c r="P35" i="84"/>
  <c r="Q35" i="84" s="1"/>
  <c r="AC34" i="84"/>
  <c r="Y34" i="84"/>
  <c r="S34" i="84"/>
  <c r="U34" i="84" s="1"/>
  <c r="Q34" i="84"/>
  <c r="P34" i="84"/>
  <c r="P33" i="84"/>
  <c r="Q33" i="84" s="1"/>
  <c r="P32" i="84"/>
  <c r="Q32" i="84" s="1"/>
  <c r="P31" i="84"/>
  <c r="Q31" i="84" s="1"/>
  <c r="S31" i="84" s="1"/>
  <c r="Q30" i="84"/>
  <c r="S30" i="84" s="1"/>
  <c r="P30" i="84"/>
  <c r="Q29" i="84"/>
  <c r="S29" i="84" s="1"/>
  <c r="P29" i="84"/>
  <c r="AA170" i="83"/>
  <c r="Z170" i="83"/>
  <c r="Z171" i="83" s="1"/>
  <c r="L169" i="83"/>
  <c r="K169" i="83"/>
  <c r="J169" i="83"/>
  <c r="I169" i="83"/>
  <c r="M169" i="83" s="1"/>
  <c r="AG168" i="83"/>
  <c r="X168" i="83"/>
  <c r="K168" i="83"/>
  <c r="J168" i="83"/>
  <c r="I168" i="83"/>
  <c r="M168" i="83" s="1"/>
  <c r="AA171" i="83" s="1"/>
  <c r="T166" i="83"/>
  <c r="Y166" i="83" s="1"/>
  <c r="Y168" i="83" s="1"/>
  <c r="X165" i="83"/>
  <c r="T165" i="83"/>
  <c r="Q163" i="83"/>
  <c r="R163" i="83" s="1"/>
  <c r="O163" i="83"/>
  <c r="Q162" i="83"/>
  <c r="R162" i="83" s="1"/>
  <c r="O162" i="83"/>
  <c r="Q161" i="83"/>
  <c r="R161" i="83" s="1"/>
  <c r="O161" i="83"/>
  <c r="Q160" i="83"/>
  <c r="R160" i="83" s="1"/>
  <c r="O160" i="83"/>
  <c r="Q159" i="83"/>
  <c r="R159" i="83" s="1"/>
  <c r="O159" i="83"/>
  <c r="Q158" i="83"/>
  <c r="R158" i="83" s="1"/>
  <c r="O158" i="83"/>
  <c r="Q157" i="83"/>
  <c r="R157" i="83" s="1"/>
  <c r="O157" i="83"/>
  <c r="Q156" i="83"/>
  <c r="R156" i="83" s="1"/>
  <c r="O156" i="83"/>
  <c r="Q155" i="83"/>
  <c r="R155" i="83" s="1"/>
  <c r="O155" i="83"/>
  <c r="Q154" i="83"/>
  <c r="R154" i="83" s="1"/>
  <c r="O154" i="83"/>
  <c r="Q153" i="83"/>
  <c r="R153" i="83" s="1"/>
  <c r="O153" i="83"/>
  <c r="Q152" i="83"/>
  <c r="R152" i="83" s="1"/>
  <c r="O152" i="83"/>
  <c r="Q151" i="83"/>
  <c r="R151" i="83" s="1"/>
  <c r="O151" i="83"/>
  <c r="AA137" i="83"/>
  <c r="Z137" i="83"/>
  <c r="Z138" i="83" s="1"/>
  <c r="L136" i="83"/>
  <c r="K136" i="83"/>
  <c r="M136" i="83" s="1"/>
  <c r="J136" i="83"/>
  <c r="I136" i="83"/>
  <c r="W135" i="83"/>
  <c r="K135" i="83"/>
  <c r="M135" i="83" s="1"/>
  <c r="J135" i="83"/>
  <c r="I135" i="83"/>
  <c r="T133" i="83"/>
  <c r="Y133" i="83" s="1"/>
  <c r="Y135" i="83" s="1"/>
  <c r="T132" i="83"/>
  <c r="X132" i="83" s="1"/>
  <c r="X135" i="83" s="1"/>
  <c r="Q128" i="83"/>
  <c r="R128" i="83" s="1"/>
  <c r="O128" i="83"/>
  <c r="Q127" i="83"/>
  <c r="R127" i="83" s="1"/>
  <c r="T127" i="83" s="1"/>
  <c r="O127" i="83"/>
  <c r="Q126" i="83"/>
  <c r="R126" i="83" s="1"/>
  <c r="O126" i="83"/>
  <c r="Q125" i="83"/>
  <c r="R125" i="83" s="1"/>
  <c r="O125" i="83"/>
  <c r="Q124" i="83"/>
  <c r="R124" i="83" s="1"/>
  <c r="T124" i="83" s="1"/>
  <c r="O124" i="83"/>
  <c r="Q123" i="83"/>
  <c r="R123" i="83" s="1"/>
  <c r="O123" i="83"/>
  <c r="Q122" i="83"/>
  <c r="R122" i="83" s="1"/>
  <c r="O122" i="83"/>
  <c r="Q121" i="83"/>
  <c r="R121" i="83" s="1"/>
  <c r="T121" i="83" s="1"/>
  <c r="O121" i="83"/>
  <c r="Q120" i="83"/>
  <c r="R120" i="83" s="1"/>
  <c r="O120" i="83"/>
  <c r="Q119" i="83"/>
  <c r="R119" i="83" s="1"/>
  <c r="O119" i="83"/>
  <c r="Q118" i="83"/>
  <c r="R118" i="83" s="1"/>
  <c r="T118" i="83" s="1"/>
  <c r="O118" i="83"/>
  <c r="Q117" i="83"/>
  <c r="R117" i="83" s="1"/>
  <c r="O117" i="83"/>
  <c r="O135" i="83" s="1"/>
  <c r="AA97" i="83"/>
  <c r="AA98" i="83" s="1"/>
  <c r="Z97" i="83"/>
  <c r="Z98" i="83" s="1"/>
  <c r="M96" i="83"/>
  <c r="L96" i="83"/>
  <c r="K96" i="83"/>
  <c r="J96" i="83"/>
  <c r="I96" i="83"/>
  <c r="AG95" i="83"/>
  <c r="L95" i="83"/>
  <c r="M95" i="83" s="1"/>
  <c r="K95" i="83"/>
  <c r="J95" i="83"/>
  <c r="I95" i="83"/>
  <c r="Y93" i="83"/>
  <c r="Y95" i="83" s="1"/>
  <c r="T93" i="83"/>
  <c r="T92" i="83"/>
  <c r="X92" i="83" s="1"/>
  <c r="X95" i="83" s="1"/>
  <c r="Q88" i="83"/>
  <c r="R88" i="83" s="1"/>
  <c r="O88" i="83"/>
  <c r="R87" i="83"/>
  <c r="Q87" i="83"/>
  <c r="O87" i="83"/>
  <c r="R86" i="83"/>
  <c r="T86" i="83" s="1"/>
  <c r="Q86" i="83"/>
  <c r="O86" i="83"/>
  <c r="AI85" i="83"/>
  <c r="AA85" i="83"/>
  <c r="T85" i="83"/>
  <c r="U85" i="83" s="1"/>
  <c r="R85" i="83"/>
  <c r="Q85" i="83"/>
  <c r="O85" i="83"/>
  <c r="R84" i="83"/>
  <c r="Q84" i="83"/>
  <c r="O84" i="83"/>
  <c r="R83" i="83"/>
  <c r="T83" i="83" s="1"/>
  <c r="Q83" i="83"/>
  <c r="O83" i="83"/>
  <c r="AE82" i="83"/>
  <c r="Z82" i="83"/>
  <c r="T82" i="83"/>
  <c r="U82" i="83" s="1"/>
  <c r="R82" i="83"/>
  <c r="Q82" i="83"/>
  <c r="O82" i="83"/>
  <c r="R81" i="83"/>
  <c r="Q81" i="83"/>
  <c r="O81" i="83"/>
  <c r="R80" i="83"/>
  <c r="T80" i="83" s="1"/>
  <c r="Q80" i="83"/>
  <c r="O80" i="83"/>
  <c r="AD79" i="83"/>
  <c r="Z79" i="83"/>
  <c r="T79" i="83"/>
  <c r="V79" i="83" s="1"/>
  <c r="R79" i="83"/>
  <c r="Q79" i="83"/>
  <c r="O79" i="83"/>
  <c r="R78" i="83"/>
  <c r="T78" i="83" s="1"/>
  <c r="Q78" i="83"/>
  <c r="O78" i="83"/>
  <c r="R77" i="83"/>
  <c r="T77" i="83" s="1"/>
  <c r="Q77" i="83"/>
  <c r="O77" i="83"/>
  <c r="AC76" i="83"/>
  <c r="AC95" i="83" s="1"/>
  <c r="AA76" i="83"/>
  <c r="T76" i="83"/>
  <c r="V76" i="83" s="1"/>
  <c r="R76" i="83"/>
  <c r="Q76" i="83"/>
  <c r="O76" i="83"/>
  <c r="R75" i="83"/>
  <c r="Q75" i="83"/>
  <c r="O75" i="83"/>
  <c r="O95" i="83" s="1"/>
  <c r="Z61" i="83"/>
  <c r="AA60" i="83"/>
  <c r="AA61" i="83" s="1"/>
  <c r="Z60" i="83"/>
  <c r="L59" i="83"/>
  <c r="M59" i="83" s="1"/>
  <c r="K59" i="83"/>
  <c r="J59" i="83"/>
  <c r="I59" i="83"/>
  <c r="W58" i="83"/>
  <c r="O58" i="83"/>
  <c r="M58" i="83"/>
  <c r="L58" i="83"/>
  <c r="K58" i="83"/>
  <c r="J58" i="83"/>
  <c r="I58" i="83"/>
  <c r="Y56" i="83"/>
  <c r="Y58" i="83" s="1"/>
  <c r="T56" i="83"/>
  <c r="T55" i="83"/>
  <c r="X55" i="83" s="1"/>
  <c r="X58" i="83" s="1"/>
  <c r="R50" i="83"/>
  <c r="T50" i="83" s="1"/>
  <c r="Q50" i="83"/>
  <c r="O50" i="83"/>
  <c r="U49" i="83"/>
  <c r="R49" i="83"/>
  <c r="T49" i="83" s="1"/>
  <c r="AI49" i="83" s="1"/>
  <c r="Q49" i="83"/>
  <c r="O49" i="83"/>
  <c r="Q48" i="83"/>
  <c r="R48" i="83" s="1"/>
  <c r="O48" i="83"/>
  <c r="R47" i="83"/>
  <c r="T47" i="83" s="1"/>
  <c r="Q47" i="83"/>
  <c r="O47" i="83"/>
  <c r="R46" i="83"/>
  <c r="T46" i="83" s="1"/>
  <c r="AF46" i="83" s="1"/>
  <c r="AF58" i="83" s="1"/>
  <c r="Q46" i="83"/>
  <c r="O46" i="83"/>
  <c r="R45" i="83"/>
  <c r="Q45" i="83"/>
  <c r="O45" i="83"/>
  <c r="R44" i="83"/>
  <c r="T44" i="83" s="1"/>
  <c r="Q44" i="83"/>
  <c r="O44" i="83"/>
  <c r="Z43" i="83"/>
  <c r="V43" i="83"/>
  <c r="R43" i="83"/>
  <c r="T43" i="83" s="1"/>
  <c r="AD43" i="83" s="1"/>
  <c r="Q43" i="83"/>
  <c r="O43" i="83"/>
  <c r="Q42" i="83"/>
  <c r="R42" i="83" s="1"/>
  <c r="O42" i="83"/>
  <c r="R41" i="83"/>
  <c r="T41" i="83" s="1"/>
  <c r="Q41" i="83"/>
  <c r="O41" i="83"/>
  <c r="R40" i="83"/>
  <c r="T40" i="83" s="1"/>
  <c r="AD40" i="83" s="1"/>
  <c r="Q40" i="83"/>
  <c r="O40" i="83"/>
  <c r="R39" i="83"/>
  <c r="Q39" i="83"/>
  <c r="O39" i="83"/>
  <c r="R38" i="83"/>
  <c r="T38" i="83" s="1"/>
  <c r="Q38" i="83"/>
  <c r="O38" i="83"/>
  <c r="AA37" i="83"/>
  <c r="R37" i="83"/>
  <c r="T37" i="83" s="1"/>
  <c r="AC37" i="83" s="1"/>
  <c r="Q37" i="83"/>
  <c r="O37" i="83"/>
  <c r="R36" i="83"/>
  <c r="Q36" i="83"/>
  <c r="O36" i="83"/>
  <c r="D21" i="83"/>
  <c r="C20" i="83"/>
  <c r="W58" i="70"/>
  <c r="V58" i="70"/>
  <c r="V57" i="70"/>
  <c r="W57" i="70" s="1"/>
  <c r="W56" i="70"/>
  <c r="V56" i="70"/>
  <c r="V55" i="70"/>
  <c r="W55" i="70" s="1"/>
  <c r="W54" i="70"/>
  <c r="V54" i="70"/>
  <c r="W53" i="70"/>
  <c r="V53" i="70"/>
  <c r="W52" i="70"/>
  <c r="V52" i="70"/>
  <c r="V51" i="70"/>
  <c r="W51" i="70" s="1"/>
  <c r="V50" i="70"/>
  <c r="W50" i="70" s="1"/>
  <c r="V49" i="70"/>
  <c r="W49" i="70" s="1"/>
  <c r="W48" i="70"/>
  <c r="V48" i="70"/>
  <c r="W46" i="70"/>
  <c r="V46" i="70"/>
  <c r="W44" i="70"/>
  <c r="V44" i="70"/>
  <c r="V43" i="70"/>
  <c r="W43" i="70" s="1"/>
  <c r="V42" i="70"/>
  <c r="W42" i="70" s="1"/>
  <c r="V41" i="70"/>
  <c r="W41" i="70" s="1"/>
  <c r="W40" i="70"/>
  <c r="V40" i="70"/>
  <c r="W39" i="70"/>
  <c r="V39" i="70"/>
  <c r="W38" i="70"/>
  <c r="V38" i="70"/>
  <c r="V37" i="70"/>
  <c r="W37" i="70" s="1"/>
  <c r="V36" i="70"/>
  <c r="W36" i="70" s="1"/>
  <c r="V35" i="70"/>
  <c r="W35" i="70" s="1"/>
  <c r="W34" i="70"/>
  <c r="V34" i="70"/>
  <c r="W33" i="70"/>
  <c r="V33" i="70"/>
  <c r="W31" i="70"/>
  <c r="V31" i="70"/>
  <c r="V30" i="70"/>
  <c r="W30" i="70" s="1"/>
  <c r="V29" i="70"/>
  <c r="W29" i="70" s="1"/>
  <c r="V28" i="70"/>
  <c r="W28" i="70" s="1"/>
  <c r="W27" i="70"/>
  <c r="V27" i="70"/>
  <c r="W26" i="70"/>
  <c r="V26" i="70"/>
  <c r="W25" i="70"/>
  <c r="V25" i="70"/>
  <c r="V24" i="70"/>
  <c r="W24" i="70" s="1"/>
  <c r="W23" i="70"/>
  <c r="V23" i="70"/>
  <c r="V22" i="70"/>
  <c r="W22" i="70" s="1"/>
  <c r="W21" i="70"/>
  <c r="V21" i="70"/>
  <c r="W20" i="70"/>
  <c r="V20" i="70"/>
  <c r="W19" i="70"/>
  <c r="V19" i="70"/>
  <c r="V18" i="70"/>
  <c r="W18" i="70" s="1"/>
  <c r="W16" i="70"/>
  <c r="V16" i="70"/>
  <c r="V15" i="70"/>
  <c r="W15" i="70" s="1"/>
  <c r="W14" i="70"/>
  <c r="V14" i="70"/>
  <c r="V13" i="70"/>
  <c r="W13" i="70" s="1"/>
  <c r="W12" i="70"/>
  <c r="V12" i="70"/>
  <c r="V11" i="70"/>
  <c r="W11" i="70" s="1"/>
  <c r="W10" i="70"/>
  <c r="V10" i="70"/>
  <c r="V9" i="70"/>
  <c r="W9" i="70" s="1"/>
  <c r="W8" i="70"/>
  <c r="V8" i="70"/>
  <c r="V7" i="70"/>
  <c r="W7" i="70" s="1"/>
  <c r="W6" i="70"/>
  <c r="V6" i="70"/>
  <c r="V5" i="70"/>
  <c r="W5" i="70" s="1"/>
  <c r="V4" i="70"/>
  <c r="W4" i="70" s="1"/>
  <c r="V3" i="70"/>
  <c r="W3" i="70" s="1"/>
  <c r="W2" i="70"/>
  <c r="V2" i="70"/>
  <c r="R208" i="82"/>
  <c r="AA206" i="82"/>
  <c r="Z206" i="82"/>
  <c r="K205" i="82"/>
  <c r="J205" i="82"/>
  <c r="I205" i="82"/>
  <c r="AH204" i="82"/>
  <c r="AG204" i="82"/>
  <c r="Y204" i="82"/>
  <c r="X204" i="82"/>
  <c r="W204" i="82"/>
  <c r="K204" i="82"/>
  <c r="J204" i="82"/>
  <c r="I204" i="82"/>
  <c r="T202" i="82"/>
  <c r="Y202" i="82" s="1"/>
  <c r="X201" i="82"/>
  <c r="T201" i="82"/>
  <c r="U199" i="82"/>
  <c r="T199" i="82"/>
  <c r="Q199" i="82"/>
  <c r="R199" i="82" s="1"/>
  <c r="O199" i="82"/>
  <c r="Q198" i="82"/>
  <c r="R198" i="82" s="1"/>
  <c r="O198" i="82"/>
  <c r="Q197" i="82"/>
  <c r="R197" i="82" s="1"/>
  <c r="O197" i="82"/>
  <c r="T196" i="82"/>
  <c r="AE196" i="82" s="1"/>
  <c r="Q196" i="82"/>
  <c r="R196" i="82" s="1"/>
  <c r="O196" i="82"/>
  <c r="R195" i="82"/>
  <c r="Q195" i="82"/>
  <c r="O195" i="82"/>
  <c r="Q194" i="82"/>
  <c r="R194" i="82" s="1"/>
  <c r="O194" i="82"/>
  <c r="Q193" i="82"/>
  <c r="R193" i="82" s="1"/>
  <c r="O193" i="82"/>
  <c r="Q192" i="82"/>
  <c r="R192" i="82" s="1"/>
  <c r="O192" i="82"/>
  <c r="Z172" i="82"/>
  <c r="AA171" i="82"/>
  <c r="AA172" i="82" s="1"/>
  <c r="Z171" i="82"/>
  <c r="K170" i="82"/>
  <c r="J170" i="82"/>
  <c r="I170" i="82"/>
  <c r="M170" i="82" s="1"/>
  <c r="AG169" i="82"/>
  <c r="K169" i="82"/>
  <c r="J169" i="82"/>
  <c r="I169" i="82"/>
  <c r="M169" i="82" s="1"/>
  <c r="K168" i="82"/>
  <c r="J168" i="82"/>
  <c r="I168" i="82"/>
  <c r="T167" i="82"/>
  <c r="Y167" i="82" s="1"/>
  <c r="Y169" i="82" s="1"/>
  <c r="R174" i="82" s="1"/>
  <c r="X166" i="82"/>
  <c r="X169" i="82" s="1"/>
  <c r="T166" i="82"/>
  <c r="Q164" i="82"/>
  <c r="R164" i="82" s="1"/>
  <c r="O164" i="82"/>
  <c r="Q163" i="82"/>
  <c r="R163" i="82" s="1"/>
  <c r="O163" i="82"/>
  <c r="T162" i="82"/>
  <c r="Q162" i="82"/>
  <c r="R162" i="82" s="1"/>
  <c r="O162" i="82"/>
  <c r="R161" i="82"/>
  <c r="Q161" i="82"/>
  <c r="O161" i="82"/>
  <c r="Q160" i="82"/>
  <c r="R160" i="82" s="1"/>
  <c r="O160" i="82"/>
  <c r="Q159" i="82"/>
  <c r="R159" i="82" s="1"/>
  <c r="O159" i="82"/>
  <c r="Q158" i="82"/>
  <c r="R158" i="82" s="1"/>
  <c r="O158" i="82"/>
  <c r="Q157" i="82"/>
  <c r="R157" i="82" s="1"/>
  <c r="O157" i="82"/>
  <c r="Q156" i="82"/>
  <c r="R156" i="82" s="1"/>
  <c r="O156" i="82"/>
  <c r="Q155" i="82"/>
  <c r="R155" i="82" s="1"/>
  <c r="O155" i="82"/>
  <c r="Q154" i="82"/>
  <c r="R154" i="82" s="1"/>
  <c r="O154" i="82"/>
  <c r="R153" i="82"/>
  <c r="Q153" i="82"/>
  <c r="O153" i="82"/>
  <c r="Q152" i="82"/>
  <c r="R152" i="82" s="1"/>
  <c r="O152" i="82"/>
  <c r="Q151" i="82"/>
  <c r="R151" i="82" s="1"/>
  <c r="O151" i="82"/>
  <c r="AA137" i="82"/>
  <c r="Z137" i="82"/>
  <c r="K136" i="82"/>
  <c r="J136" i="82"/>
  <c r="I136" i="82"/>
  <c r="M136" i="82" s="1"/>
  <c r="Y135" i="82"/>
  <c r="R140" i="82" s="1"/>
  <c r="W135" i="82"/>
  <c r="O135" i="82"/>
  <c r="K135" i="82"/>
  <c r="J135" i="82"/>
  <c r="I135" i="82"/>
  <c r="M135" i="82" s="1"/>
  <c r="Y133" i="82"/>
  <c r="T133" i="82"/>
  <c r="X132" i="82"/>
  <c r="X135" i="82" s="1"/>
  <c r="T132" i="82"/>
  <c r="R128" i="82"/>
  <c r="Q128" i="82"/>
  <c r="O128" i="82"/>
  <c r="R127" i="82"/>
  <c r="T127" i="82" s="1"/>
  <c r="AI127" i="82" s="1"/>
  <c r="Q127" i="82"/>
  <c r="O127" i="82"/>
  <c r="Q126" i="82"/>
  <c r="R126" i="82" s="1"/>
  <c r="O126" i="82"/>
  <c r="R125" i="82"/>
  <c r="Q125" i="82"/>
  <c r="O125" i="82"/>
  <c r="AF124" i="82"/>
  <c r="AF135" i="82" s="1"/>
  <c r="Z124" i="82"/>
  <c r="U124" i="82"/>
  <c r="R124" i="82"/>
  <c r="T124" i="82" s="1"/>
  <c r="Q124" i="82"/>
  <c r="O124" i="82"/>
  <c r="Q123" i="82"/>
  <c r="R123" i="82" s="1"/>
  <c r="O123" i="82"/>
  <c r="R122" i="82"/>
  <c r="Q122" i="82"/>
  <c r="O122" i="82"/>
  <c r="AD121" i="82"/>
  <c r="Z121" i="82"/>
  <c r="V121" i="82"/>
  <c r="R121" i="82"/>
  <c r="T121" i="82" s="1"/>
  <c r="Q121" i="82"/>
  <c r="O121" i="82"/>
  <c r="Q120" i="82"/>
  <c r="R120" i="82" s="1"/>
  <c r="O120" i="82"/>
  <c r="R119" i="82"/>
  <c r="Q119" i="82"/>
  <c r="O119" i="82"/>
  <c r="AC118" i="82"/>
  <c r="AA118" i="82"/>
  <c r="U118" i="82"/>
  <c r="R118" i="82"/>
  <c r="T118" i="82" s="1"/>
  <c r="Q118" i="82"/>
  <c r="O118" i="82"/>
  <c r="Q117" i="82"/>
  <c r="R117" i="82" s="1"/>
  <c r="O117" i="82"/>
  <c r="R98" i="82"/>
  <c r="AA95" i="82"/>
  <c r="Z95" i="82"/>
  <c r="L94" i="82"/>
  <c r="K94" i="82"/>
  <c r="J94" i="82"/>
  <c r="I94" i="82"/>
  <c r="AG93" i="82"/>
  <c r="X93" i="82"/>
  <c r="R99" i="82" s="1"/>
  <c r="L93" i="82"/>
  <c r="K93" i="82"/>
  <c r="J93" i="82"/>
  <c r="I93" i="82"/>
  <c r="T91" i="82"/>
  <c r="Y91" i="82" s="1"/>
  <c r="Y93" i="82" s="1"/>
  <c r="X90" i="82"/>
  <c r="T90" i="82"/>
  <c r="T86" i="82"/>
  <c r="W86" i="82" s="1"/>
  <c r="R86" i="82"/>
  <c r="Q86" i="82"/>
  <c r="O86" i="82"/>
  <c r="T85" i="82"/>
  <c r="R85" i="82"/>
  <c r="Q85" i="82"/>
  <c r="O85" i="82"/>
  <c r="R84" i="82"/>
  <c r="T84" i="82" s="1"/>
  <c r="Q84" i="82"/>
  <c r="O84" i="82"/>
  <c r="T83" i="82"/>
  <c r="U83" i="82" s="1"/>
  <c r="R83" i="82"/>
  <c r="Q83" i="82"/>
  <c r="O83" i="82"/>
  <c r="T82" i="82"/>
  <c r="R82" i="82"/>
  <c r="Q82" i="82"/>
  <c r="O82" i="82"/>
  <c r="R81" i="82"/>
  <c r="T81" i="82" s="1"/>
  <c r="Q81" i="82"/>
  <c r="O81" i="82"/>
  <c r="T80" i="82"/>
  <c r="U80" i="82" s="1"/>
  <c r="R80" i="82"/>
  <c r="Q80" i="82"/>
  <c r="O80" i="82"/>
  <c r="T79" i="82"/>
  <c r="R79" i="82"/>
  <c r="Q79" i="82"/>
  <c r="O79" i="82"/>
  <c r="AD78" i="82"/>
  <c r="R78" i="82"/>
  <c r="T78" i="82" s="1"/>
  <c r="Q78" i="82"/>
  <c r="O78" i="82"/>
  <c r="AD77" i="82"/>
  <c r="T77" i="82"/>
  <c r="R77" i="82"/>
  <c r="Q77" i="82"/>
  <c r="O77" i="82"/>
  <c r="Q76" i="82"/>
  <c r="R76" i="82" s="1"/>
  <c r="O76" i="82"/>
  <c r="O93" i="82" s="1"/>
  <c r="AD75" i="82"/>
  <c r="R75" i="82"/>
  <c r="T75" i="82" s="1"/>
  <c r="Q75" i="82"/>
  <c r="O75" i="82"/>
  <c r="AC74" i="82"/>
  <c r="AC93" i="82" s="1"/>
  <c r="AA74" i="82"/>
  <c r="T74" i="82"/>
  <c r="V74" i="82" s="1"/>
  <c r="R74" i="82"/>
  <c r="Q74" i="82"/>
  <c r="O74" i="82"/>
  <c r="R73" i="82"/>
  <c r="T73" i="82" s="1"/>
  <c r="Q73" i="82"/>
  <c r="O73" i="82"/>
  <c r="R62" i="82"/>
  <c r="AA59" i="82"/>
  <c r="Z59" i="82"/>
  <c r="L58" i="82"/>
  <c r="K58" i="82"/>
  <c r="J58" i="82"/>
  <c r="I58" i="82"/>
  <c r="AJ57" i="82"/>
  <c r="Y57" i="82"/>
  <c r="W57" i="82"/>
  <c r="M57" i="82"/>
  <c r="L57" i="82"/>
  <c r="K57" i="82"/>
  <c r="J57" i="82"/>
  <c r="J56" i="82" s="1"/>
  <c r="I57" i="82"/>
  <c r="T55" i="82"/>
  <c r="Y55" i="82" s="1"/>
  <c r="T54" i="82"/>
  <c r="X54" i="82" s="1"/>
  <c r="X57" i="82" s="1"/>
  <c r="R63" i="82" s="1"/>
  <c r="T49" i="82"/>
  <c r="U49" i="82" s="1"/>
  <c r="R49" i="82"/>
  <c r="Q49" i="82"/>
  <c r="O49" i="82"/>
  <c r="R48" i="82"/>
  <c r="T48" i="82" s="1"/>
  <c r="Q48" i="82"/>
  <c r="O48" i="82"/>
  <c r="Q47" i="82"/>
  <c r="R47" i="82" s="1"/>
  <c r="O47" i="82"/>
  <c r="R46" i="82"/>
  <c r="Q46" i="82"/>
  <c r="O46" i="82"/>
  <c r="Q45" i="82"/>
  <c r="R45" i="82" s="1"/>
  <c r="T45" i="82" s="1"/>
  <c r="O45" i="82"/>
  <c r="Q44" i="82"/>
  <c r="R44" i="82" s="1"/>
  <c r="O44" i="82"/>
  <c r="R43" i="82"/>
  <c r="Q43" i="82"/>
  <c r="O43" i="82"/>
  <c r="Q42" i="82"/>
  <c r="R42" i="82" s="1"/>
  <c r="T42" i="82" s="1"/>
  <c r="O42" i="82"/>
  <c r="Q41" i="82"/>
  <c r="R41" i="82" s="1"/>
  <c r="O41" i="82"/>
  <c r="R40" i="82"/>
  <c r="Q40" i="82"/>
  <c r="O40" i="82"/>
  <c r="Q39" i="82"/>
  <c r="R39" i="82" s="1"/>
  <c r="T39" i="82" s="1"/>
  <c r="O39" i="82"/>
  <c r="Q38" i="82"/>
  <c r="R38" i="82" s="1"/>
  <c r="O38" i="82"/>
  <c r="AC37" i="82"/>
  <c r="R37" i="82"/>
  <c r="Q37" i="82"/>
  <c r="O37" i="82"/>
  <c r="Q36" i="82"/>
  <c r="R36" i="82" s="1"/>
  <c r="O36" i="82"/>
  <c r="Q35" i="82"/>
  <c r="R35" i="82" s="1"/>
  <c r="O35" i="82"/>
  <c r="O57" i="82" s="1"/>
  <c r="W53" i="65"/>
  <c r="V53" i="65"/>
  <c r="W52" i="65"/>
  <c r="V52" i="65"/>
  <c r="V51" i="65"/>
  <c r="W51" i="65" s="1"/>
  <c r="T51" i="65"/>
  <c r="V50" i="65"/>
  <c r="W50" i="65" s="1"/>
  <c r="T49" i="65"/>
  <c r="V49" i="65" s="1"/>
  <c r="W49" i="65" s="1"/>
  <c r="W48" i="65"/>
  <c r="V48" i="65"/>
  <c r="W46" i="65"/>
  <c r="V46" i="65"/>
  <c r="V45" i="65"/>
  <c r="W45" i="65" s="1"/>
  <c r="V44" i="65"/>
  <c r="W44" i="65" s="1"/>
  <c r="V43" i="65"/>
  <c r="W43" i="65" s="1"/>
  <c r="V42" i="65"/>
  <c r="W42" i="65" s="1"/>
  <c r="W41" i="65"/>
  <c r="V41" i="65"/>
  <c r="W40" i="65"/>
  <c r="V40" i="65"/>
  <c r="T40" i="65"/>
  <c r="W39" i="65"/>
  <c r="V39" i="65"/>
  <c r="T38" i="65"/>
  <c r="V38" i="65" s="1"/>
  <c r="W38" i="65" s="1"/>
  <c r="V37" i="65"/>
  <c r="W37" i="65" s="1"/>
  <c r="W35" i="65"/>
  <c r="V35" i="65"/>
  <c r="W34" i="65"/>
  <c r="V34" i="65"/>
  <c r="V33" i="65"/>
  <c r="W33" i="65" s="1"/>
  <c r="V32" i="65"/>
  <c r="W32" i="65" s="1"/>
  <c r="V31" i="65"/>
  <c r="W31" i="65" s="1"/>
  <c r="T30" i="65"/>
  <c r="V30" i="65" s="1"/>
  <c r="W30" i="65" s="1"/>
  <c r="V29" i="65"/>
  <c r="W29" i="65" s="1"/>
  <c r="W28" i="65"/>
  <c r="V28" i="65"/>
  <c r="T27" i="65"/>
  <c r="V27" i="65" s="1"/>
  <c r="W27" i="65" s="1"/>
  <c r="V26" i="65"/>
  <c r="W26" i="65" s="1"/>
  <c r="V24" i="65"/>
  <c r="W24" i="65" s="1"/>
  <c r="W23" i="65"/>
  <c r="V23" i="65"/>
  <c r="W22" i="65"/>
  <c r="V22" i="65"/>
  <c r="V21" i="65"/>
  <c r="W21" i="65" s="1"/>
  <c r="V20" i="65"/>
  <c r="W20" i="65" s="1"/>
  <c r="V19" i="65"/>
  <c r="W19" i="65" s="1"/>
  <c r="T18" i="65"/>
  <c r="V18" i="65" s="1"/>
  <c r="W18" i="65" s="1"/>
  <c r="V17" i="65"/>
  <c r="W17" i="65" s="1"/>
  <c r="T16" i="65"/>
  <c r="V16" i="65" s="1"/>
  <c r="W16" i="65" s="1"/>
  <c r="V15" i="65"/>
  <c r="W15" i="65" s="1"/>
  <c r="V13" i="65"/>
  <c r="W13" i="65" s="1"/>
  <c r="V12" i="65"/>
  <c r="W12" i="65" s="1"/>
  <c r="W11" i="65"/>
  <c r="V11" i="65"/>
  <c r="W10" i="65"/>
  <c r="V10" i="65"/>
  <c r="V9" i="65"/>
  <c r="W9" i="65" s="1"/>
  <c r="T8" i="65"/>
  <c r="V8" i="65" s="1"/>
  <c r="W8" i="65" s="1"/>
  <c r="W7" i="65"/>
  <c r="V7" i="65"/>
  <c r="V6" i="65"/>
  <c r="W6" i="65" s="1"/>
  <c r="V5" i="65"/>
  <c r="W5" i="65" s="1"/>
  <c r="T4" i="65"/>
  <c r="V4" i="65" s="1"/>
  <c r="W4" i="65" s="1"/>
  <c r="T3" i="65"/>
  <c r="V3" i="65" s="1"/>
  <c r="W3" i="65" s="1"/>
  <c r="W2" i="65"/>
  <c r="V2" i="65"/>
  <c r="Z190" i="81"/>
  <c r="Y190" i="81"/>
  <c r="M189" i="81"/>
  <c r="L190" i="81" s="1"/>
  <c r="K189" i="81"/>
  <c r="K190" i="81" s="1"/>
  <c r="J189" i="81"/>
  <c r="I189" i="81"/>
  <c r="I190" i="81" s="1"/>
  <c r="V188" i="81"/>
  <c r="Q192" i="81" s="1"/>
  <c r="K188" i="81"/>
  <c r="J188" i="81"/>
  <c r="I188" i="81"/>
  <c r="S186" i="81"/>
  <c r="X186" i="81" s="1"/>
  <c r="X188" i="81" s="1"/>
  <c r="Q194" i="81" s="1"/>
  <c r="S185" i="81"/>
  <c r="W185" i="81" s="1"/>
  <c r="W188" i="81" s="1"/>
  <c r="Q181" i="81"/>
  <c r="S181" i="81" s="1"/>
  <c r="P181" i="81"/>
  <c r="P180" i="81"/>
  <c r="Q180" i="81" s="1"/>
  <c r="S180" i="81" s="1"/>
  <c r="N179" i="81"/>
  <c r="P179" i="81" s="1"/>
  <c r="Q179" i="81" s="1"/>
  <c r="P178" i="81"/>
  <c r="Q178" i="81" s="1"/>
  <c r="P177" i="81"/>
  <c r="Q177" i="81" s="1"/>
  <c r="N177" i="81"/>
  <c r="P176" i="81"/>
  <c r="Q176" i="81" s="1"/>
  <c r="Q161" i="81"/>
  <c r="Q160" i="81"/>
  <c r="Z157" i="81"/>
  <c r="Y157" i="81"/>
  <c r="K156" i="81"/>
  <c r="J156" i="81"/>
  <c r="I156" i="81"/>
  <c r="K155" i="81"/>
  <c r="J155" i="81"/>
  <c r="I155" i="81"/>
  <c r="S153" i="81"/>
  <c r="X153" i="81" s="1"/>
  <c r="X155" i="81" s="1"/>
  <c r="S152" i="81"/>
  <c r="W152" i="81" s="1"/>
  <c r="W155" i="81" s="1"/>
  <c r="Q148" i="81"/>
  <c r="S148" i="81" s="1"/>
  <c r="P148" i="81"/>
  <c r="S147" i="81"/>
  <c r="P147" i="81"/>
  <c r="Q147" i="81" s="1"/>
  <c r="P146" i="81"/>
  <c r="Q146" i="81" s="1"/>
  <c r="P145" i="81"/>
  <c r="Q145" i="81" s="1"/>
  <c r="P144" i="81"/>
  <c r="Q144" i="81" s="1"/>
  <c r="Q143" i="81"/>
  <c r="S143" i="81" s="1"/>
  <c r="P143" i="81"/>
  <c r="N142" i="81"/>
  <c r="P142" i="81" s="1"/>
  <c r="Q142" i="81" s="1"/>
  <c r="S142" i="81" s="1"/>
  <c r="P141" i="81"/>
  <c r="Q141" i="81" s="1"/>
  <c r="P140" i="81"/>
  <c r="Q140" i="81" s="1"/>
  <c r="N140" i="81"/>
  <c r="Q139" i="81"/>
  <c r="P139" i="81"/>
  <c r="Q129" i="81"/>
  <c r="Q128" i="81"/>
  <c r="Z126" i="81"/>
  <c r="Y126" i="81"/>
  <c r="K125" i="81"/>
  <c r="J125" i="81"/>
  <c r="I125" i="81"/>
  <c r="V124" i="81"/>
  <c r="K124" i="81"/>
  <c r="J124" i="81"/>
  <c r="I124" i="81"/>
  <c r="X122" i="81"/>
  <c r="X124" i="81" s="1"/>
  <c r="S122" i="81"/>
  <c r="S121" i="81"/>
  <c r="W121" i="81" s="1"/>
  <c r="W124" i="81" s="1"/>
  <c r="Q117" i="81"/>
  <c r="P117" i="81"/>
  <c r="Q116" i="81"/>
  <c r="P116" i="81"/>
  <c r="P115" i="81"/>
  <c r="Q115" i="81" s="1"/>
  <c r="P114" i="81"/>
  <c r="Q114" i="81" s="1"/>
  <c r="P113" i="81"/>
  <c r="Q113" i="81" s="1"/>
  <c r="P112" i="81"/>
  <c r="Q112" i="81" s="1"/>
  <c r="N112" i="81"/>
  <c r="Q111" i="81"/>
  <c r="P111" i="81"/>
  <c r="P110" i="81"/>
  <c r="Q110" i="81" s="1"/>
  <c r="S109" i="81"/>
  <c r="P109" i="81"/>
  <c r="Q109" i="81" s="1"/>
  <c r="N109" i="81"/>
  <c r="P108" i="81"/>
  <c r="Q108" i="81" s="1"/>
  <c r="Q91" i="81"/>
  <c r="Q90" i="81"/>
  <c r="Z87" i="81"/>
  <c r="Y87" i="81"/>
  <c r="L86" i="81"/>
  <c r="K86" i="81"/>
  <c r="K87" i="81" s="1"/>
  <c r="J86" i="81"/>
  <c r="I86" i="81"/>
  <c r="M86" i="81" s="1"/>
  <c r="J87" i="81" s="1"/>
  <c r="K85" i="81"/>
  <c r="J85" i="81"/>
  <c r="I85" i="81"/>
  <c r="S83" i="81"/>
  <c r="X83" i="81" s="1"/>
  <c r="X85" i="81" s="1"/>
  <c r="S82" i="81"/>
  <c r="W82" i="81" s="1"/>
  <c r="W85" i="81" s="1"/>
  <c r="P78" i="81"/>
  <c r="Q78" i="81" s="1"/>
  <c r="AF77" i="81"/>
  <c r="AF85" i="81" s="1"/>
  <c r="Q77" i="81"/>
  <c r="P77" i="81"/>
  <c r="Q76" i="81"/>
  <c r="P76" i="81"/>
  <c r="P75" i="81"/>
  <c r="Q75" i="81" s="1"/>
  <c r="P74" i="81"/>
  <c r="Q74" i="81" s="1"/>
  <c r="P73" i="81"/>
  <c r="Q73" i="81" s="1"/>
  <c r="P72" i="81"/>
  <c r="Q72" i="81" s="1"/>
  <c r="N72" i="81"/>
  <c r="Q71" i="81"/>
  <c r="P71" i="81"/>
  <c r="P70" i="81"/>
  <c r="Q70" i="81" s="1"/>
  <c r="N70" i="81"/>
  <c r="Q69" i="81"/>
  <c r="AA69" i="81" s="1"/>
  <c r="AA85" i="81" s="1"/>
  <c r="P69" i="81"/>
  <c r="Q58" i="81"/>
  <c r="Q57" i="81"/>
  <c r="Z55" i="81"/>
  <c r="Y55" i="81"/>
  <c r="M54" i="81"/>
  <c r="L55" i="81" s="1"/>
  <c r="L54" i="81"/>
  <c r="K54" i="81"/>
  <c r="K55" i="81" s="1"/>
  <c r="J54" i="81"/>
  <c r="I54" i="81"/>
  <c r="V53" i="81"/>
  <c r="K53" i="81"/>
  <c r="J53" i="81"/>
  <c r="I53" i="81"/>
  <c r="S51" i="81"/>
  <c r="X51" i="81" s="1"/>
  <c r="X53" i="81" s="1"/>
  <c r="S50" i="81"/>
  <c r="W50" i="81" s="1"/>
  <c r="W53" i="81" s="1"/>
  <c r="P46" i="81"/>
  <c r="Q46" i="81" s="1"/>
  <c r="P45" i="81"/>
  <c r="Q45" i="81" s="1"/>
  <c r="P44" i="81"/>
  <c r="Q44" i="81" s="1"/>
  <c r="Q43" i="81"/>
  <c r="S43" i="81" s="1"/>
  <c r="P43" i="81"/>
  <c r="P42" i="81"/>
  <c r="Q42" i="81" s="1"/>
  <c r="S42" i="81" s="1"/>
  <c r="N41" i="81"/>
  <c r="P41" i="81" s="1"/>
  <c r="Q41" i="81" s="1"/>
  <c r="P40" i="81"/>
  <c r="Q40" i="81" s="1"/>
  <c r="P39" i="81"/>
  <c r="Q39" i="81" s="1"/>
  <c r="Q38" i="81"/>
  <c r="S38" i="81" s="1"/>
  <c r="P38" i="81"/>
  <c r="N37" i="81"/>
  <c r="P37" i="81" s="1"/>
  <c r="Q37" i="81" s="1"/>
  <c r="S37" i="81" s="1"/>
  <c r="N36" i="81"/>
  <c r="P36" i="81" s="1"/>
  <c r="Q36" i="81" s="1"/>
  <c r="Q35" i="81"/>
  <c r="P35" i="81"/>
  <c r="V59" i="64"/>
  <c r="W59" i="64" s="1"/>
  <c r="W58" i="64"/>
  <c r="V58" i="64"/>
  <c r="V57" i="64"/>
  <c r="W57" i="64" s="1"/>
  <c r="V56" i="64"/>
  <c r="W56" i="64" s="1"/>
  <c r="W55" i="64"/>
  <c r="V55" i="64"/>
  <c r="W54" i="64"/>
  <c r="V54" i="64"/>
  <c r="V52" i="64"/>
  <c r="W52" i="64" s="1"/>
  <c r="W51" i="64"/>
  <c r="V51" i="64"/>
  <c r="V50" i="64"/>
  <c r="W50" i="64" s="1"/>
  <c r="V49" i="64"/>
  <c r="W49" i="64" s="1"/>
  <c r="W48" i="64"/>
  <c r="V48" i="64"/>
  <c r="W47" i="64"/>
  <c r="V47" i="64"/>
  <c r="V46" i="64"/>
  <c r="W46" i="64" s="1"/>
  <c r="W45" i="64"/>
  <c r="V45" i="64"/>
  <c r="V44" i="64"/>
  <c r="W44" i="64" s="1"/>
  <c r="V43" i="64"/>
  <c r="W43" i="64" s="1"/>
  <c r="W42" i="64"/>
  <c r="V42" i="64"/>
  <c r="W41" i="64"/>
  <c r="V41" i="64"/>
  <c r="V39" i="64"/>
  <c r="W39" i="64" s="1"/>
  <c r="W38" i="64"/>
  <c r="V38" i="64"/>
  <c r="V37" i="64"/>
  <c r="W37" i="64" s="1"/>
  <c r="V36" i="64"/>
  <c r="W36" i="64" s="1"/>
  <c r="W35" i="64"/>
  <c r="V35" i="64"/>
  <c r="W34" i="64"/>
  <c r="V34" i="64"/>
  <c r="V33" i="64"/>
  <c r="W33" i="64" s="1"/>
  <c r="W32" i="64"/>
  <c r="V32" i="64"/>
  <c r="V31" i="64"/>
  <c r="W31" i="64" s="1"/>
  <c r="V30" i="64"/>
  <c r="W30" i="64" s="1"/>
  <c r="W28" i="64"/>
  <c r="V28" i="64"/>
  <c r="W27" i="64"/>
  <c r="V27" i="64"/>
  <c r="V26" i="64"/>
  <c r="W26" i="64" s="1"/>
  <c r="W25" i="64"/>
  <c r="V25" i="64"/>
  <c r="V24" i="64"/>
  <c r="W24" i="64" s="1"/>
  <c r="V23" i="64"/>
  <c r="W23" i="64" s="1"/>
  <c r="W22" i="64"/>
  <c r="V22" i="64"/>
  <c r="W21" i="64"/>
  <c r="V21" i="64"/>
  <c r="V20" i="64"/>
  <c r="W20" i="64" s="1"/>
  <c r="W19" i="64"/>
  <c r="V19" i="64"/>
  <c r="V18" i="64"/>
  <c r="W18" i="64" s="1"/>
  <c r="V17" i="64"/>
  <c r="W17" i="64" s="1"/>
  <c r="W16" i="64"/>
  <c r="V16" i="64"/>
  <c r="W15" i="64"/>
  <c r="V15" i="64"/>
  <c r="V13" i="64"/>
  <c r="W13" i="64" s="1"/>
  <c r="W12" i="64"/>
  <c r="V12" i="64"/>
  <c r="V11" i="64"/>
  <c r="W11" i="64" s="1"/>
  <c r="V10" i="64"/>
  <c r="W10" i="64" s="1"/>
  <c r="W9" i="64"/>
  <c r="V9" i="64"/>
  <c r="W8" i="64"/>
  <c r="V8" i="64"/>
  <c r="V7" i="64"/>
  <c r="W7" i="64" s="1"/>
  <c r="W6" i="64"/>
  <c r="V6" i="64"/>
  <c r="V5" i="64"/>
  <c r="W5" i="64" s="1"/>
  <c r="V4" i="64"/>
  <c r="W4" i="64" s="1"/>
  <c r="W3" i="64"/>
  <c r="V3" i="64"/>
  <c r="W2" i="64"/>
  <c r="V2" i="64"/>
  <c r="AB230" i="80"/>
  <c r="AA230" i="80"/>
  <c r="AC229" i="80"/>
  <c r="K229" i="80"/>
  <c r="K230" i="80" s="1"/>
  <c r="J229" i="80"/>
  <c r="J230" i="80" s="1"/>
  <c r="I229" i="80"/>
  <c r="M229" i="80" s="1"/>
  <c r="AG228" i="80"/>
  <c r="U228" i="80"/>
  <c r="K228" i="80"/>
  <c r="J228" i="80"/>
  <c r="I228" i="80"/>
  <c r="T226" i="80"/>
  <c r="Z226" i="80" s="1"/>
  <c r="T225" i="80"/>
  <c r="X225" i="80" s="1"/>
  <c r="X228" i="80" s="1"/>
  <c r="T224" i="80"/>
  <c r="Z224" i="80" s="1"/>
  <c r="Z228" i="80" s="1"/>
  <c r="Q220" i="80"/>
  <c r="P220" i="80"/>
  <c r="P218" i="80"/>
  <c r="Q218" i="80" s="1"/>
  <c r="T216" i="80"/>
  <c r="P216" i="80"/>
  <c r="Q216" i="80" s="1"/>
  <c r="P214" i="80"/>
  <c r="Q214" i="80" s="1"/>
  <c r="Q213" i="80"/>
  <c r="P213" i="80"/>
  <c r="R212" i="80"/>
  <c r="P212" i="80"/>
  <c r="Q212" i="80" s="1"/>
  <c r="AB192" i="80"/>
  <c r="AA192" i="80"/>
  <c r="AC191" i="80" s="1"/>
  <c r="K191" i="80"/>
  <c r="K192" i="80" s="1"/>
  <c r="J191" i="80"/>
  <c r="J192" i="80" s="1"/>
  <c r="I191" i="80"/>
  <c r="M191" i="80" s="1"/>
  <c r="U190" i="80"/>
  <c r="Q192" i="80" s="1"/>
  <c r="K190" i="80"/>
  <c r="J190" i="80"/>
  <c r="I190" i="80"/>
  <c r="T188" i="80"/>
  <c r="Z188" i="80" s="1"/>
  <c r="Z190" i="80" s="1"/>
  <c r="X187" i="80"/>
  <c r="X190" i="80" s="1"/>
  <c r="T187" i="80"/>
  <c r="Z186" i="80"/>
  <c r="T186" i="80"/>
  <c r="P181" i="80"/>
  <c r="Q181" i="80" s="1"/>
  <c r="Q179" i="80"/>
  <c r="T179" i="80" s="1"/>
  <c r="P179" i="80"/>
  <c r="P177" i="80"/>
  <c r="Q177" i="80" s="1"/>
  <c r="T177" i="80" s="1"/>
  <c r="V176" i="80"/>
  <c r="T176" i="80"/>
  <c r="AA176" i="80" s="1"/>
  <c r="Q176" i="80"/>
  <c r="P176" i="80"/>
  <c r="W174" i="80"/>
  <c r="Q174" i="80"/>
  <c r="T174" i="80" s="1"/>
  <c r="P174" i="80"/>
  <c r="P173" i="80"/>
  <c r="Q173" i="80" s="1"/>
  <c r="P171" i="80"/>
  <c r="Q171" i="80" s="1"/>
  <c r="Q170" i="80"/>
  <c r="P170" i="80"/>
  <c r="T169" i="80"/>
  <c r="P169" i="80"/>
  <c r="Q169" i="80" s="1"/>
  <c r="P168" i="80"/>
  <c r="Q168" i="80" s="1"/>
  <c r="P167" i="80"/>
  <c r="Q167" i="80" s="1"/>
  <c r="Q166" i="80"/>
  <c r="P166" i="80"/>
  <c r="AB149" i="80"/>
  <c r="AA149" i="80"/>
  <c r="AC148" i="80" s="1"/>
  <c r="Q149" i="80"/>
  <c r="K148" i="80"/>
  <c r="J148" i="80"/>
  <c r="M148" i="80" s="1"/>
  <c r="I149" i="80" s="1"/>
  <c r="I148" i="80"/>
  <c r="Y147" i="80"/>
  <c r="U147" i="80"/>
  <c r="K147" i="80"/>
  <c r="J147" i="80"/>
  <c r="I147" i="80"/>
  <c r="T145" i="80"/>
  <c r="Z145" i="80" s="1"/>
  <c r="T144" i="80"/>
  <c r="X144" i="80" s="1"/>
  <c r="X147" i="80" s="1"/>
  <c r="T143" i="80"/>
  <c r="Z143" i="80" s="1"/>
  <c r="Z147" i="80" s="1"/>
  <c r="Q138" i="80"/>
  <c r="T138" i="80" s="1"/>
  <c r="P138" i="80"/>
  <c r="T136" i="80"/>
  <c r="P136" i="80"/>
  <c r="Q136" i="80" s="1"/>
  <c r="T134" i="80"/>
  <c r="Q134" i="80"/>
  <c r="P134" i="80"/>
  <c r="AB132" i="80"/>
  <c r="V132" i="80"/>
  <c r="Q132" i="80"/>
  <c r="T132" i="80" s="1"/>
  <c r="AE132" i="80" s="1"/>
  <c r="P132" i="80"/>
  <c r="P131" i="80"/>
  <c r="Q131" i="80" s="1"/>
  <c r="P129" i="80"/>
  <c r="Q129" i="80" s="1"/>
  <c r="P128" i="80"/>
  <c r="Q128" i="80" s="1"/>
  <c r="Q127" i="80"/>
  <c r="T127" i="80" s="1"/>
  <c r="P127" i="80"/>
  <c r="P126" i="80"/>
  <c r="Q126" i="80" s="1"/>
  <c r="R126" i="80" s="1"/>
  <c r="P125" i="80"/>
  <c r="Q125" i="80" s="1"/>
  <c r="AB104" i="80"/>
  <c r="AA104" i="80"/>
  <c r="Q104" i="80"/>
  <c r="AC103" i="80"/>
  <c r="L103" i="80"/>
  <c r="K103" i="80"/>
  <c r="J103" i="80"/>
  <c r="I103" i="80"/>
  <c r="U102" i="80"/>
  <c r="M102" i="80"/>
  <c r="I101" i="80" s="1"/>
  <c r="L102" i="80"/>
  <c r="K102" i="80"/>
  <c r="J102" i="80"/>
  <c r="I102" i="80"/>
  <c r="T100" i="80"/>
  <c r="Z100" i="80" s="1"/>
  <c r="Z102" i="80" s="1"/>
  <c r="T99" i="80"/>
  <c r="X99" i="80" s="1"/>
  <c r="X102" i="80" s="1"/>
  <c r="Y98" i="80"/>
  <c r="Y102" i="80" s="1"/>
  <c r="T98" i="80"/>
  <c r="P93" i="80"/>
  <c r="Q93" i="80" s="1"/>
  <c r="Q91" i="80"/>
  <c r="P91" i="80"/>
  <c r="Q90" i="80"/>
  <c r="T90" i="80" s="1"/>
  <c r="P90" i="80"/>
  <c r="P89" i="80"/>
  <c r="Q89" i="80" s="1"/>
  <c r="T89" i="80" s="1"/>
  <c r="V87" i="80"/>
  <c r="T87" i="80"/>
  <c r="Q87" i="80"/>
  <c r="P87" i="80"/>
  <c r="AA86" i="80"/>
  <c r="Q86" i="80"/>
  <c r="T86" i="80" s="1"/>
  <c r="AE86" i="80" s="1"/>
  <c r="P86" i="80"/>
  <c r="P84" i="80"/>
  <c r="Q84" i="80" s="1"/>
  <c r="Q83" i="80"/>
  <c r="P83" i="80"/>
  <c r="Q81" i="80"/>
  <c r="P81" i="80"/>
  <c r="T80" i="80"/>
  <c r="P80" i="80"/>
  <c r="Q80" i="80" s="1"/>
  <c r="P79" i="80"/>
  <c r="Q79" i="80" s="1"/>
  <c r="P78" i="80"/>
  <c r="Q78" i="80" s="1"/>
  <c r="Q77" i="80"/>
  <c r="P77" i="80"/>
  <c r="P76" i="80"/>
  <c r="Q76" i="80" s="1"/>
  <c r="AB60" i="80"/>
  <c r="AA60" i="80"/>
  <c r="L59" i="80"/>
  <c r="K59" i="80"/>
  <c r="J59" i="80"/>
  <c r="I59" i="80"/>
  <c r="Z58" i="80"/>
  <c r="U58" i="80"/>
  <c r="Q60" i="80" s="1"/>
  <c r="L58" i="80"/>
  <c r="K58" i="80"/>
  <c r="J58" i="80"/>
  <c r="I58" i="80"/>
  <c r="Z56" i="80"/>
  <c r="T56" i="80"/>
  <c r="X55" i="80"/>
  <c r="X58" i="80" s="1"/>
  <c r="T55" i="80"/>
  <c r="Y54" i="80"/>
  <c r="Y58" i="80" s="1"/>
  <c r="T54" i="80"/>
  <c r="T51" i="80"/>
  <c r="P51" i="80"/>
  <c r="Q51" i="80" s="1"/>
  <c r="T48" i="80"/>
  <c r="P48" i="80"/>
  <c r="Q48" i="80" s="1"/>
  <c r="P47" i="80"/>
  <c r="Q47" i="80" s="1"/>
  <c r="P46" i="80"/>
  <c r="Q46" i="80" s="1"/>
  <c r="Q43" i="80"/>
  <c r="P43" i="80"/>
  <c r="Q41" i="80"/>
  <c r="T41" i="80" s="1"/>
  <c r="P41" i="80"/>
  <c r="T40" i="80"/>
  <c r="P40" i="80"/>
  <c r="Q40" i="80" s="1"/>
  <c r="T38" i="80"/>
  <c r="P38" i="80"/>
  <c r="Q38" i="80" s="1"/>
  <c r="T37" i="80"/>
  <c r="P37" i="80"/>
  <c r="Q37" i="80" s="1"/>
  <c r="T36" i="80"/>
  <c r="Q36" i="80"/>
  <c r="P36" i="80"/>
  <c r="P35" i="80"/>
  <c r="Q35" i="80" s="1"/>
  <c r="P34" i="80"/>
  <c r="Q34" i="80" s="1"/>
  <c r="T37" i="63"/>
  <c r="V37" i="63" s="1"/>
  <c r="W37" i="63" s="1"/>
  <c r="V36" i="63"/>
  <c r="W36" i="63" s="1"/>
  <c r="V35" i="63"/>
  <c r="W35" i="63" s="1"/>
  <c r="W34" i="63"/>
  <c r="V34" i="63"/>
  <c r="T32" i="63"/>
  <c r="V32" i="63" s="1"/>
  <c r="W32" i="63" s="1"/>
  <c r="V31" i="63"/>
  <c r="W31" i="63" s="1"/>
  <c r="W30" i="63"/>
  <c r="V30" i="63"/>
  <c r="W29" i="63"/>
  <c r="V29" i="63"/>
  <c r="V28" i="63"/>
  <c r="W28" i="63" s="1"/>
  <c r="W27" i="63"/>
  <c r="V27" i="63"/>
  <c r="V25" i="63"/>
  <c r="W25" i="63" s="1"/>
  <c r="T25" i="63"/>
  <c r="W24" i="63"/>
  <c r="V24" i="63"/>
  <c r="V23" i="63"/>
  <c r="W23" i="63" s="1"/>
  <c r="V22" i="63"/>
  <c r="W22" i="63" s="1"/>
  <c r="V21" i="63"/>
  <c r="W21" i="63" s="1"/>
  <c r="V20" i="63"/>
  <c r="W20" i="63" s="1"/>
  <c r="W19" i="63"/>
  <c r="V19" i="63"/>
  <c r="V17" i="63"/>
  <c r="W17" i="63" s="1"/>
  <c r="T17" i="63"/>
  <c r="W16" i="63"/>
  <c r="V16" i="63"/>
  <c r="V15" i="63"/>
  <c r="W15" i="63" s="1"/>
  <c r="W14" i="63"/>
  <c r="V14" i="63"/>
  <c r="V13" i="63"/>
  <c r="W13" i="63" s="1"/>
  <c r="V12" i="63"/>
  <c r="W12" i="63" s="1"/>
  <c r="W11" i="63"/>
  <c r="V11" i="63"/>
  <c r="T9" i="63"/>
  <c r="V9" i="63" s="1"/>
  <c r="W9" i="63" s="1"/>
  <c r="V8" i="63"/>
  <c r="W8" i="63" s="1"/>
  <c r="V7" i="63"/>
  <c r="W7" i="63" s="1"/>
  <c r="W6" i="63"/>
  <c r="V6" i="63"/>
  <c r="W5" i="63"/>
  <c r="V5" i="63"/>
  <c r="V4" i="63"/>
  <c r="W4" i="63" s="1"/>
  <c r="V3" i="63"/>
  <c r="W3" i="63" s="1"/>
  <c r="V2" i="63"/>
  <c r="W2" i="63" s="1"/>
  <c r="Q173" i="79"/>
  <c r="Q172" i="79"/>
  <c r="Z170" i="79"/>
  <c r="Y170" i="79"/>
  <c r="I170" i="79"/>
  <c r="M169" i="79"/>
  <c r="L170" i="79" s="1"/>
  <c r="L169" i="79"/>
  <c r="K169" i="79"/>
  <c r="J169" i="79"/>
  <c r="J170" i="79" s="1"/>
  <c r="I169" i="79"/>
  <c r="AD168" i="79"/>
  <c r="AA168" i="79"/>
  <c r="X168" i="79"/>
  <c r="W168" i="79"/>
  <c r="V168" i="79"/>
  <c r="J168" i="79"/>
  <c r="M168" i="79" s="1"/>
  <c r="I167" i="79" s="1"/>
  <c r="I168" i="79"/>
  <c r="S166" i="79"/>
  <c r="X166" i="79" s="1"/>
  <c r="W165" i="79"/>
  <c r="N161" i="79"/>
  <c r="P161" i="79" s="1"/>
  <c r="Q161" i="79" s="1"/>
  <c r="Q160" i="79"/>
  <c r="P160" i="79"/>
  <c r="P159" i="79"/>
  <c r="Q159" i="79" s="1"/>
  <c r="P158" i="79"/>
  <c r="Q158" i="79" s="1"/>
  <c r="Q143" i="79"/>
  <c r="Z140" i="79"/>
  <c r="Y140" i="79"/>
  <c r="L139" i="79"/>
  <c r="K139" i="79"/>
  <c r="J139" i="79"/>
  <c r="I139" i="79"/>
  <c r="W138" i="79"/>
  <c r="V138" i="79"/>
  <c r="K138" i="79"/>
  <c r="J138" i="79"/>
  <c r="I138" i="79"/>
  <c r="X136" i="79"/>
  <c r="X138" i="79" s="1"/>
  <c r="S136" i="79"/>
  <c r="N131" i="79"/>
  <c r="P131" i="79" s="1"/>
  <c r="Q131" i="79" s="1"/>
  <c r="S130" i="79"/>
  <c r="Q130" i="79"/>
  <c r="P130" i="79"/>
  <c r="P129" i="79"/>
  <c r="Q129" i="79" s="1"/>
  <c r="P128" i="79"/>
  <c r="Q128" i="79" s="1"/>
  <c r="P127" i="79"/>
  <c r="Q127" i="79" s="1"/>
  <c r="Q126" i="79"/>
  <c r="S126" i="79" s="1"/>
  <c r="P126" i="79"/>
  <c r="Q116" i="79"/>
  <c r="Q115" i="79"/>
  <c r="Z113" i="79"/>
  <c r="Y113" i="79"/>
  <c r="Y114" i="79" s="1"/>
  <c r="L113" i="79"/>
  <c r="K113" i="79"/>
  <c r="L112" i="79"/>
  <c r="K112" i="79"/>
  <c r="J112" i="79"/>
  <c r="J113" i="79" s="1"/>
  <c r="I112" i="79"/>
  <c r="M112" i="79" s="1"/>
  <c r="W111" i="79"/>
  <c r="V111" i="79"/>
  <c r="M111" i="79"/>
  <c r="Z114" i="79" s="1"/>
  <c r="K111" i="79"/>
  <c r="J111" i="79"/>
  <c r="J110" i="79" s="1"/>
  <c r="I111" i="79"/>
  <c r="I110" i="79"/>
  <c r="X109" i="79"/>
  <c r="X111" i="79" s="1"/>
  <c r="S109" i="79"/>
  <c r="N104" i="79"/>
  <c r="P104" i="79" s="1"/>
  <c r="Q104" i="79" s="1"/>
  <c r="P103" i="79"/>
  <c r="Q103" i="79" s="1"/>
  <c r="P102" i="79"/>
  <c r="Q102" i="79" s="1"/>
  <c r="Q101" i="79"/>
  <c r="S101" i="79" s="1"/>
  <c r="P101" i="79"/>
  <c r="S100" i="79"/>
  <c r="P100" i="79"/>
  <c r="Q100" i="79" s="1"/>
  <c r="S99" i="79"/>
  <c r="Z99" i="79" s="1"/>
  <c r="Q99" i="79"/>
  <c r="P99" i="79"/>
  <c r="Y98" i="79"/>
  <c r="U98" i="79"/>
  <c r="S98" i="79"/>
  <c r="AA98" i="79" s="1"/>
  <c r="AA111" i="79" s="1"/>
  <c r="Q98" i="79"/>
  <c r="P98" i="79"/>
  <c r="Q80" i="79"/>
  <c r="Q79" i="79"/>
  <c r="Z77" i="79"/>
  <c r="Y77" i="79"/>
  <c r="I77" i="79"/>
  <c r="L76" i="79"/>
  <c r="K76" i="79"/>
  <c r="J76" i="79"/>
  <c r="I76" i="79"/>
  <c r="M76" i="79" s="1"/>
  <c r="W75" i="79"/>
  <c r="V75" i="79"/>
  <c r="K75" i="79"/>
  <c r="J75" i="79"/>
  <c r="I75" i="79"/>
  <c r="S73" i="79"/>
  <c r="X73" i="79" s="1"/>
  <c r="X75" i="79" s="1"/>
  <c r="N68" i="79"/>
  <c r="P68" i="79" s="1"/>
  <c r="Q68" i="79" s="1"/>
  <c r="S67" i="79"/>
  <c r="Q67" i="79"/>
  <c r="P67" i="79"/>
  <c r="P66" i="79"/>
  <c r="Q66" i="79" s="1"/>
  <c r="P65" i="79"/>
  <c r="Q65" i="79" s="1"/>
  <c r="P64" i="79"/>
  <c r="Q64" i="79" s="1"/>
  <c r="Q63" i="79"/>
  <c r="S63" i="79" s="1"/>
  <c r="P63" i="79"/>
  <c r="P62" i="79"/>
  <c r="Q62" i="79" s="1"/>
  <c r="Z49" i="79"/>
  <c r="Y49" i="79"/>
  <c r="L48" i="79"/>
  <c r="K48" i="79"/>
  <c r="J48" i="79"/>
  <c r="M48" i="79" s="1"/>
  <c r="I48" i="79"/>
  <c r="I49" i="79" s="1"/>
  <c r="W47" i="79"/>
  <c r="V47" i="79"/>
  <c r="K47" i="79"/>
  <c r="J47" i="79"/>
  <c r="I47" i="79"/>
  <c r="X45" i="79"/>
  <c r="X47" i="79" s="1"/>
  <c r="Q52" i="79" s="1"/>
  <c r="S45" i="79"/>
  <c r="N42" i="79"/>
  <c r="P42" i="79" s="1"/>
  <c r="Q42" i="79" s="1"/>
  <c r="Q41" i="79"/>
  <c r="S41" i="79" s="1"/>
  <c r="P41" i="79"/>
  <c r="P40" i="79"/>
  <c r="Q40" i="79" s="1"/>
  <c r="T39" i="79"/>
  <c r="S39" i="79"/>
  <c r="Q39" i="79"/>
  <c r="P39" i="79"/>
  <c r="P38" i="79"/>
  <c r="Q38" i="79" s="1"/>
  <c r="P37" i="79"/>
  <c r="Q37" i="79" s="1"/>
  <c r="P36" i="79"/>
  <c r="Q36" i="79" s="1"/>
  <c r="Q35" i="79"/>
  <c r="S35" i="79" s="1"/>
  <c r="P35" i="79"/>
  <c r="V33" i="49"/>
  <c r="W33" i="49" s="1"/>
  <c r="T33" i="49"/>
  <c r="W32" i="49"/>
  <c r="V32" i="49"/>
  <c r="V31" i="49"/>
  <c r="W31" i="49" s="1"/>
  <c r="W30" i="49"/>
  <c r="V30" i="49"/>
  <c r="W29" i="49"/>
  <c r="V29" i="49"/>
  <c r="V28" i="49"/>
  <c r="W28" i="49" s="1"/>
  <c r="W26" i="49"/>
  <c r="T26" i="49"/>
  <c r="V26" i="49" s="1"/>
  <c r="W25" i="49"/>
  <c r="V25" i="49"/>
  <c r="V24" i="49"/>
  <c r="W24" i="49" s="1"/>
  <c r="V23" i="49"/>
  <c r="W23" i="49" s="1"/>
  <c r="V22" i="49"/>
  <c r="W22" i="49" s="1"/>
  <c r="W21" i="49"/>
  <c r="V21" i="49"/>
  <c r="V19" i="49"/>
  <c r="W19" i="49" s="1"/>
  <c r="W18" i="49"/>
  <c r="V18" i="49"/>
  <c r="V17" i="49"/>
  <c r="W17" i="49" s="1"/>
  <c r="V16" i="49"/>
  <c r="W16" i="49" s="1"/>
  <c r="V15" i="49"/>
  <c r="W15" i="49" s="1"/>
  <c r="V13" i="49"/>
  <c r="W13" i="49" s="1"/>
  <c r="T13" i="49"/>
  <c r="W12" i="49"/>
  <c r="V12" i="49"/>
  <c r="V11" i="49"/>
  <c r="W11" i="49" s="1"/>
  <c r="W10" i="49"/>
  <c r="V10" i="49"/>
  <c r="W9" i="49"/>
  <c r="V9" i="49"/>
  <c r="V8" i="49"/>
  <c r="W8" i="49" s="1"/>
  <c r="W6" i="49"/>
  <c r="V6" i="49"/>
  <c r="W5" i="49"/>
  <c r="V5" i="49"/>
  <c r="V4" i="49"/>
  <c r="W4" i="49" s="1"/>
  <c r="W3" i="49"/>
  <c r="V3" i="49"/>
  <c r="W2" i="49"/>
  <c r="V2" i="49"/>
  <c r="Q169" i="78"/>
  <c r="AA168" i="78"/>
  <c r="Z168" i="78"/>
  <c r="L167" i="78"/>
  <c r="K167" i="78"/>
  <c r="J167" i="78"/>
  <c r="I167" i="78"/>
  <c r="AD166" i="78"/>
  <c r="X166" i="78"/>
  <c r="V166" i="78"/>
  <c r="M166" i="78"/>
  <c r="AA169" i="78" s="1"/>
  <c r="K166" i="78"/>
  <c r="I166" i="78"/>
  <c r="Y164" i="78"/>
  <c r="Y166" i="78" s="1"/>
  <c r="Q171" i="78" s="1"/>
  <c r="T164" i="78"/>
  <c r="X163" i="78"/>
  <c r="T163" i="78"/>
  <c r="N159" i="78"/>
  <c r="P159" i="78" s="1"/>
  <c r="Q159" i="78" s="1"/>
  <c r="P158" i="78"/>
  <c r="Q158" i="78" s="1"/>
  <c r="Q157" i="78"/>
  <c r="P157" i="78"/>
  <c r="Q156" i="78"/>
  <c r="T156" i="78" s="1"/>
  <c r="P156" i="78"/>
  <c r="P155" i="78"/>
  <c r="Q155" i="78" s="1"/>
  <c r="Q154" i="78"/>
  <c r="P154" i="78"/>
  <c r="AA134" i="78"/>
  <c r="Z134" i="78"/>
  <c r="L133" i="78"/>
  <c r="K133" i="78"/>
  <c r="J133" i="78"/>
  <c r="I133" i="78"/>
  <c r="AD132" i="78"/>
  <c r="V132" i="78"/>
  <c r="Q135" i="78" s="1"/>
  <c r="K132" i="78"/>
  <c r="I132" i="78"/>
  <c r="Y130" i="78"/>
  <c r="Y132" i="78" s="1"/>
  <c r="Q137" i="78" s="1"/>
  <c r="T130" i="78"/>
  <c r="T129" i="78"/>
  <c r="X129" i="78" s="1"/>
  <c r="X132" i="78" s="1"/>
  <c r="N125" i="78"/>
  <c r="P125" i="78" s="1"/>
  <c r="Q125" i="78" s="1"/>
  <c r="Q124" i="78"/>
  <c r="P124" i="78"/>
  <c r="P123" i="78"/>
  <c r="Q123" i="78" s="1"/>
  <c r="U122" i="78"/>
  <c r="T122" i="78"/>
  <c r="R122" i="78"/>
  <c r="Q122" i="78"/>
  <c r="P122" i="78"/>
  <c r="Q121" i="78"/>
  <c r="R120" i="78" s="1"/>
  <c r="P121" i="78"/>
  <c r="P120" i="78"/>
  <c r="Q120" i="78" s="1"/>
  <c r="Q109" i="78"/>
  <c r="Z106" i="78"/>
  <c r="AA105" i="78"/>
  <c r="AA106" i="78" s="1"/>
  <c r="Z105" i="78"/>
  <c r="L104" i="78"/>
  <c r="K104" i="78"/>
  <c r="J104" i="78"/>
  <c r="I104" i="78"/>
  <c r="W103" i="78"/>
  <c r="Q107" i="78" s="1"/>
  <c r="V103" i="78"/>
  <c r="M103" i="78"/>
  <c r="I102" i="78" s="1"/>
  <c r="K103" i="78"/>
  <c r="I103" i="78"/>
  <c r="K102" i="78"/>
  <c r="Y101" i="78"/>
  <c r="Y103" i="78" s="1"/>
  <c r="T101" i="78"/>
  <c r="X100" i="78"/>
  <c r="X103" i="78" s="1"/>
  <c r="T100" i="78"/>
  <c r="Q99" i="78"/>
  <c r="P99" i="78"/>
  <c r="T98" i="78"/>
  <c r="Q98" i="78"/>
  <c r="R98" i="78" s="1"/>
  <c r="P98" i="78"/>
  <c r="P97" i="78"/>
  <c r="Q97" i="78" s="1"/>
  <c r="Q96" i="78"/>
  <c r="P96" i="78"/>
  <c r="T95" i="78"/>
  <c r="Q95" i="78"/>
  <c r="R95" i="78" s="1"/>
  <c r="P95" i="78"/>
  <c r="AA76" i="78"/>
  <c r="AA75" i="78"/>
  <c r="Z75" i="78"/>
  <c r="M74" i="78"/>
  <c r="L74" i="78"/>
  <c r="K74" i="78"/>
  <c r="J74" i="78"/>
  <c r="J75" i="78" s="1"/>
  <c r="I74" i="78"/>
  <c r="I75" i="78" s="1"/>
  <c r="V73" i="78"/>
  <c r="Q76" i="78" s="1"/>
  <c r="M73" i="78"/>
  <c r="K73" i="78"/>
  <c r="I73" i="78"/>
  <c r="T71" i="78"/>
  <c r="Y71" i="78" s="1"/>
  <c r="Y73" i="78" s="1"/>
  <c r="X70" i="78"/>
  <c r="X73" i="78" s="1"/>
  <c r="T70" i="78"/>
  <c r="T66" i="78"/>
  <c r="W66" i="78" s="1"/>
  <c r="P66" i="78"/>
  <c r="Q66" i="78" s="1"/>
  <c r="N66" i="78"/>
  <c r="P65" i="78"/>
  <c r="Q65" i="78" s="1"/>
  <c r="P64" i="78"/>
  <c r="Q64" i="78" s="1"/>
  <c r="P63" i="78"/>
  <c r="Q63" i="78" s="1"/>
  <c r="T63" i="78" s="1"/>
  <c r="T62" i="78"/>
  <c r="P62" i="78"/>
  <c r="Q62" i="78" s="1"/>
  <c r="P61" i="78"/>
  <c r="Q61" i="78" s="1"/>
  <c r="Q49" i="78"/>
  <c r="Q48" i="78"/>
  <c r="AA46" i="78"/>
  <c r="AA47" i="78" s="1"/>
  <c r="Z46" i="78"/>
  <c r="Z47" i="78" s="1"/>
  <c r="L45" i="78"/>
  <c r="K45" i="78"/>
  <c r="J45" i="78"/>
  <c r="I45" i="78"/>
  <c r="M45" i="78" s="1"/>
  <c r="AF44" i="78"/>
  <c r="AE44" i="78"/>
  <c r="W44" i="78"/>
  <c r="V44" i="78"/>
  <c r="M44" i="78"/>
  <c r="I43" i="78" s="1"/>
  <c r="K44" i="78"/>
  <c r="I44" i="78"/>
  <c r="K43" i="78"/>
  <c r="Y42" i="78"/>
  <c r="Y44" i="78" s="1"/>
  <c r="T42" i="78"/>
  <c r="T41" i="78"/>
  <c r="X41" i="78" s="1"/>
  <c r="X44" i="78" s="1"/>
  <c r="Q39" i="78"/>
  <c r="P39" i="78"/>
  <c r="T38" i="78"/>
  <c r="Q38" i="78"/>
  <c r="R38" i="78" s="1"/>
  <c r="P38" i="78"/>
  <c r="P37" i="78"/>
  <c r="Q37" i="78" s="1"/>
  <c r="Q36" i="78"/>
  <c r="P36" i="78"/>
  <c r="T35" i="78"/>
  <c r="Q35" i="78"/>
  <c r="P35" i="78"/>
  <c r="C18" i="78"/>
  <c r="E17" i="78"/>
  <c r="D17" i="78"/>
  <c r="E16" i="78"/>
  <c r="D16" i="78"/>
  <c r="D15" i="78"/>
  <c r="W37" i="48"/>
  <c r="V37" i="48"/>
  <c r="V36" i="48"/>
  <c r="W36" i="48" s="1"/>
  <c r="T36" i="48"/>
  <c r="W35" i="48"/>
  <c r="V35" i="48"/>
  <c r="V34" i="48"/>
  <c r="W34" i="48" s="1"/>
  <c r="W33" i="48"/>
  <c r="V33" i="48"/>
  <c r="W32" i="48"/>
  <c r="V32" i="48"/>
  <c r="V30" i="48"/>
  <c r="W30" i="48" s="1"/>
  <c r="T29" i="48"/>
  <c r="V29" i="48" s="1"/>
  <c r="W29" i="48" s="1"/>
  <c r="V28" i="48"/>
  <c r="W28" i="48" s="1"/>
  <c r="W27" i="48"/>
  <c r="V27" i="48"/>
  <c r="V26" i="48"/>
  <c r="W26" i="48" s="1"/>
  <c r="W25" i="48"/>
  <c r="V25" i="48"/>
  <c r="V24" i="48"/>
  <c r="W24" i="48" s="1"/>
  <c r="V22" i="48"/>
  <c r="W22" i="48" s="1"/>
  <c r="V21" i="48"/>
  <c r="W21" i="48" s="1"/>
  <c r="V20" i="48"/>
  <c r="W20" i="48" s="1"/>
  <c r="V19" i="48"/>
  <c r="W19" i="48" s="1"/>
  <c r="W18" i="48"/>
  <c r="V18" i="48"/>
  <c r="V16" i="48"/>
  <c r="W16" i="48" s="1"/>
  <c r="V15" i="48"/>
  <c r="W15" i="48" s="1"/>
  <c r="T15" i="48"/>
  <c r="V14" i="48"/>
  <c r="W14" i="48" s="1"/>
  <c r="W13" i="48"/>
  <c r="V13" i="48"/>
  <c r="W12" i="48"/>
  <c r="V12" i="48"/>
  <c r="V11" i="48"/>
  <c r="W11" i="48" s="1"/>
  <c r="W10" i="48"/>
  <c r="V10" i="48"/>
  <c r="W9" i="48"/>
  <c r="V9" i="48"/>
  <c r="V7" i="48"/>
  <c r="W7" i="48" s="1"/>
  <c r="W6" i="48"/>
  <c r="V6" i="48"/>
  <c r="W5" i="48"/>
  <c r="V5" i="48"/>
  <c r="V4" i="48"/>
  <c r="W4" i="48" s="1"/>
  <c r="W3" i="48"/>
  <c r="V3" i="48"/>
  <c r="W2" i="48"/>
  <c r="V2" i="48"/>
  <c r="AA170" i="77"/>
  <c r="AA169" i="77"/>
  <c r="Z169" i="77"/>
  <c r="Z170" i="77" s="1"/>
  <c r="L168" i="77"/>
  <c r="K168" i="77"/>
  <c r="J168" i="77"/>
  <c r="I168" i="77"/>
  <c r="Y167" i="77"/>
  <c r="V167" i="77"/>
  <c r="Q170" i="77" s="1"/>
  <c r="M167" i="77"/>
  <c r="K167" i="77"/>
  <c r="K166" i="77" s="1"/>
  <c r="I167" i="77"/>
  <c r="I166" i="77"/>
  <c r="T165" i="77"/>
  <c r="Y165" i="77" s="1"/>
  <c r="T164" i="77"/>
  <c r="X164" i="77" s="1"/>
  <c r="X167" i="77" s="1"/>
  <c r="P161" i="77"/>
  <c r="Q161" i="77" s="1"/>
  <c r="Q160" i="77"/>
  <c r="P160" i="77"/>
  <c r="N160" i="77"/>
  <c r="P159" i="77"/>
  <c r="Q159" i="77" s="1"/>
  <c r="T159" i="77" s="1"/>
  <c r="U158" i="77"/>
  <c r="T158" i="77"/>
  <c r="R158" i="77"/>
  <c r="Q158" i="77"/>
  <c r="P158" i="77"/>
  <c r="P157" i="77"/>
  <c r="Q157" i="77" s="1"/>
  <c r="P156" i="77"/>
  <c r="Q156" i="77" s="1"/>
  <c r="AA137" i="77"/>
  <c r="Z137" i="77"/>
  <c r="Z138" i="77" s="1"/>
  <c r="M136" i="77"/>
  <c r="L136" i="77"/>
  <c r="K136" i="77"/>
  <c r="J136" i="77"/>
  <c r="I136" i="77"/>
  <c r="X135" i="77"/>
  <c r="V135" i="77"/>
  <c r="Q138" i="77" s="1"/>
  <c r="M135" i="77"/>
  <c r="K135" i="77"/>
  <c r="K134" i="77" s="1"/>
  <c r="I135" i="77"/>
  <c r="I134" i="77" s="1"/>
  <c r="T133" i="77"/>
  <c r="Y133" i="77" s="1"/>
  <c r="Y135" i="77" s="1"/>
  <c r="X132" i="77"/>
  <c r="T132" i="77"/>
  <c r="P129" i="77"/>
  <c r="Q129" i="77" s="1"/>
  <c r="N128" i="77"/>
  <c r="P128" i="77" s="1"/>
  <c r="Q128" i="77" s="1"/>
  <c r="Q127" i="77"/>
  <c r="P127" i="77"/>
  <c r="P126" i="77"/>
  <c r="Q126" i="77" s="1"/>
  <c r="T125" i="77"/>
  <c r="R125" i="77"/>
  <c r="Q125" i="77"/>
  <c r="P125" i="77"/>
  <c r="P124" i="77"/>
  <c r="Q124" i="77" s="1"/>
  <c r="R123" i="77" s="1"/>
  <c r="P123" i="77"/>
  <c r="Q123" i="77" s="1"/>
  <c r="AA107" i="77"/>
  <c r="Z107" i="77"/>
  <c r="L106" i="77"/>
  <c r="K106" i="77"/>
  <c r="J106" i="77"/>
  <c r="I106" i="77"/>
  <c r="M106" i="77" s="1"/>
  <c r="X105" i="77"/>
  <c r="Q111" i="77" s="1"/>
  <c r="W105" i="77"/>
  <c r="V105" i="77"/>
  <c r="K105" i="77"/>
  <c r="I105" i="77"/>
  <c r="Y103" i="77"/>
  <c r="Y105" i="77" s="1"/>
  <c r="T103" i="77"/>
  <c r="T102" i="77"/>
  <c r="X102" i="77" s="1"/>
  <c r="P100" i="77"/>
  <c r="Q100" i="77" s="1"/>
  <c r="R99" i="77"/>
  <c r="P99" i="77"/>
  <c r="Q99" i="77" s="1"/>
  <c r="T99" i="77" s="1"/>
  <c r="P98" i="77"/>
  <c r="Q98" i="77" s="1"/>
  <c r="P97" i="77"/>
  <c r="Q97" i="77" s="1"/>
  <c r="P96" i="77"/>
  <c r="Q96" i="77" s="1"/>
  <c r="Q79" i="77"/>
  <c r="AA75" i="77"/>
  <c r="Z75" i="77"/>
  <c r="L74" i="77"/>
  <c r="K74" i="77"/>
  <c r="J74" i="77"/>
  <c r="M74" i="77" s="1"/>
  <c r="I74" i="77"/>
  <c r="I75" i="77" s="1"/>
  <c r="V73" i="77"/>
  <c r="K73" i="77"/>
  <c r="I73" i="77"/>
  <c r="T71" i="77"/>
  <c r="Y71" i="77" s="1"/>
  <c r="Y73" i="77" s="1"/>
  <c r="Q78" i="77" s="1"/>
  <c r="T70" i="77"/>
  <c r="X70" i="77" s="1"/>
  <c r="X73" i="77" s="1"/>
  <c r="T67" i="77"/>
  <c r="Q67" i="77"/>
  <c r="P67" i="77"/>
  <c r="N66" i="77"/>
  <c r="P66" i="77" s="1"/>
  <c r="Q66" i="77" s="1"/>
  <c r="P65" i="77"/>
  <c r="Q65" i="77" s="1"/>
  <c r="R64" i="77"/>
  <c r="Q64" i="77"/>
  <c r="P64" i="77"/>
  <c r="Q63" i="77"/>
  <c r="T63" i="77" s="1"/>
  <c r="P63" i="77"/>
  <c r="P62" i="77"/>
  <c r="Q62" i="77" s="1"/>
  <c r="R61" i="77"/>
  <c r="Q61" i="77"/>
  <c r="P61" i="77"/>
  <c r="Q60" i="77"/>
  <c r="T60" i="77" s="1"/>
  <c r="P60" i="77"/>
  <c r="AA47" i="77"/>
  <c r="Q47" i="77"/>
  <c r="AA46" i="77"/>
  <c r="Z46" i="77"/>
  <c r="Z47" i="77" s="1"/>
  <c r="L45" i="77"/>
  <c r="K45" i="77"/>
  <c r="J45" i="77"/>
  <c r="I45" i="77"/>
  <c r="M45" i="77" s="1"/>
  <c r="Y44" i="77"/>
  <c r="W44" i="77"/>
  <c r="Q48" i="77" s="1"/>
  <c r="V44" i="77"/>
  <c r="M44" i="77"/>
  <c r="K44" i="77"/>
  <c r="K43" i="77" s="1"/>
  <c r="I44" i="77"/>
  <c r="I43" i="77"/>
  <c r="T42" i="77"/>
  <c r="Y42" i="77" s="1"/>
  <c r="T41" i="77"/>
  <c r="X41" i="77" s="1"/>
  <c r="X44" i="77" s="1"/>
  <c r="Q50" i="77" s="1"/>
  <c r="AB40" i="77"/>
  <c r="P39" i="77"/>
  <c r="Q39" i="77" s="1"/>
  <c r="U38" i="77"/>
  <c r="T38" i="77"/>
  <c r="R38" i="77"/>
  <c r="Q38" i="77"/>
  <c r="P38" i="77"/>
  <c r="P37" i="77"/>
  <c r="Q37" i="77" s="1"/>
  <c r="Q36" i="77"/>
  <c r="P36" i="77"/>
  <c r="T35" i="77"/>
  <c r="Q35" i="77"/>
  <c r="R35" i="77" s="1"/>
  <c r="P35" i="77"/>
  <c r="P34" i="77"/>
  <c r="Q34" i="77" s="1"/>
  <c r="D19" i="77"/>
  <c r="C19" i="77"/>
  <c r="E18" i="77"/>
  <c r="D18" i="77"/>
  <c r="D17" i="77"/>
  <c r="E17" i="77" s="1"/>
  <c r="E16" i="77"/>
  <c r="D16" i="77"/>
  <c r="V35" i="47"/>
  <c r="W35" i="47" s="1"/>
  <c r="W34" i="47"/>
  <c r="V34" i="47"/>
  <c r="T34" i="47"/>
  <c r="T33" i="47"/>
  <c r="V33" i="47" s="1"/>
  <c r="W33" i="47" s="1"/>
  <c r="V32" i="47"/>
  <c r="W32" i="47" s="1"/>
  <c r="T32" i="47"/>
  <c r="V31" i="47"/>
  <c r="W31" i="47" s="1"/>
  <c r="T31" i="47"/>
  <c r="V30" i="47"/>
  <c r="W30" i="47" s="1"/>
  <c r="T30" i="47"/>
  <c r="V28" i="47"/>
  <c r="W28" i="47" s="1"/>
  <c r="T27" i="47"/>
  <c r="V27" i="47" s="1"/>
  <c r="W27" i="47" s="1"/>
  <c r="T26" i="47"/>
  <c r="V26" i="47" s="1"/>
  <c r="W26" i="47" s="1"/>
  <c r="W25" i="47"/>
  <c r="T25" i="47"/>
  <c r="V25" i="47" s="1"/>
  <c r="T24" i="47"/>
  <c r="V24" i="47" s="1"/>
  <c r="W24" i="47" s="1"/>
  <c r="T23" i="47"/>
  <c r="V23" i="47" s="1"/>
  <c r="W23" i="47" s="1"/>
  <c r="T22" i="47"/>
  <c r="V22" i="47" s="1"/>
  <c r="W22" i="47" s="1"/>
  <c r="V20" i="47"/>
  <c r="W20" i="47" s="1"/>
  <c r="T20" i="47"/>
  <c r="T19" i="47"/>
  <c r="V19" i="47" s="1"/>
  <c r="W19" i="47" s="1"/>
  <c r="W18" i="47"/>
  <c r="T18" i="47"/>
  <c r="V18" i="47" s="1"/>
  <c r="T17" i="47"/>
  <c r="V17" i="47" s="1"/>
  <c r="W17" i="47" s="1"/>
  <c r="T16" i="47"/>
  <c r="V16" i="47" s="1"/>
  <c r="W16" i="47" s="1"/>
  <c r="W14" i="47"/>
  <c r="V14" i="47"/>
  <c r="V13" i="47"/>
  <c r="W13" i="47" s="1"/>
  <c r="T13" i="47"/>
  <c r="T12" i="47"/>
  <c r="V12" i="47" s="1"/>
  <c r="W12" i="47" s="1"/>
  <c r="T11" i="47"/>
  <c r="V11" i="47" s="1"/>
  <c r="W11" i="47" s="1"/>
  <c r="W10" i="47"/>
  <c r="V10" i="47"/>
  <c r="T10" i="47"/>
  <c r="V9" i="47"/>
  <c r="W9" i="47" s="1"/>
  <c r="T9" i="47"/>
  <c r="T8" i="47"/>
  <c r="V8" i="47" s="1"/>
  <c r="W8" i="47" s="1"/>
  <c r="T6" i="47"/>
  <c r="V6" i="47" s="1"/>
  <c r="W6" i="47" s="1"/>
  <c r="W5" i="47"/>
  <c r="V5" i="47"/>
  <c r="T5" i="47"/>
  <c r="V4" i="47"/>
  <c r="W4" i="47" s="1"/>
  <c r="T4" i="47"/>
  <c r="W3" i="47"/>
  <c r="T3" i="47"/>
  <c r="V3" i="47" s="1"/>
  <c r="V2" i="47"/>
  <c r="W2" i="47" s="1"/>
  <c r="T2" i="47"/>
  <c r="AH175" i="76"/>
  <c r="AA167" i="76"/>
  <c r="Z167" i="76"/>
  <c r="M166" i="76"/>
  <c r="I167" i="76" s="1"/>
  <c r="L166" i="76"/>
  <c r="K166" i="76"/>
  <c r="J166" i="76"/>
  <c r="I166" i="76"/>
  <c r="V165" i="76"/>
  <c r="Q168" i="76" s="1"/>
  <c r="M165" i="76"/>
  <c r="AA168" i="76" s="1"/>
  <c r="K165" i="76"/>
  <c r="K164" i="76" s="1"/>
  <c r="I165" i="76"/>
  <c r="I164" i="76" s="1"/>
  <c r="T163" i="76"/>
  <c r="Y163" i="76" s="1"/>
  <c r="Y165" i="76" s="1"/>
  <c r="T162" i="76"/>
  <c r="X162" i="76" s="1"/>
  <c r="X165" i="76" s="1"/>
  <c r="Q159" i="76"/>
  <c r="P159" i="76"/>
  <c r="Q158" i="76"/>
  <c r="N158" i="76"/>
  <c r="P158" i="76" s="1"/>
  <c r="P157" i="76"/>
  <c r="Q157" i="76" s="1"/>
  <c r="R157" i="76" s="1"/>
  <c r="N157" i="76"/>
  <c r="P156" i="76"/>
  <c r="Q156" i="76" s="1"/>
  <c r="N156" i="76"/>
  <c r="N155" i="76"/>
  <c r="P155" i="76" s="1"/>
  <c r="Q155" i="76" s="1"/>
  <c r="P154" i="76"/>
  <c r="Q154" i="76" s="1"/>
  <c r="N154" i="76"/>
  <c r="AA134" i="76"/>
  <c r="Q134" i="76"/>
  <c r="AA133" i="76"/>
  <c r="Z133" i="76"/>
  <c r="L132" i="76"/>
  <c r="K132" i="76"/>
  <c r="J132" i="76"/>
  <c r="I132" i="76"/>
  <c r="M132" i="76" s="1"/>
  <c r="V131" i="76"/>
  <c r="K131" i="76"/>
  <c r="M131" i="76" s="1"/>
  <c r="I130" i="76" s="1"/>
  <c r="I131" i="76"/>
  <c r="Y129" i="76"/>
  <c r="Y131" i="76" s="1"/>
  <c r="T129" i="76"/>
  <c r="X128" i="76"/>
  <c r="X131" i="76" s="1"/>
  <c r="T128" i="76"/>
  <c r="T125" i="76"/>
  <c r="Q125" i="76"/>
  <c r="P125" i="76"/>
  <c r="AF124" i="76"/>
  <c r="AF131" i="76" s="1"/>
  <c r="T124" i="76"/>
  <c r="U124" i="76" s="1"/>
  <c r="N124" i="76"/>
  <c r="P124" i="76" s="1"/>
  <c r="Q124" i="76" s="1"/>
  <c r="Q123" i="76"/>
  <c r="P123" i="76"/>
  <c r="N123" i="76"/>
  <c r="P122" i="76"/>
  <c r="Q122" i="76" s="1"/>
  <c r="N122" i="76"/>
  <c r="Q121" i="76"/>
  <c r="N121" i="76"/>
  <c r="P121" i="76" s="1"/>
  <c r="N120" i="76"/>
  <c r="P120" i="76" s="1"/>
  <c r="Q120" i="76" s="1"/>
  <c r="R119" i="76"/>
  <c r="N119" i="76"/>
  <c r="P119" i="76" s="1"/>
  <c r="Q119" i="76" s="1"/>
  <c r="Q107" i="76"/>
  <c r="AA105" i="76"/>
  <c r="Z105" i="76"/>
  <c r="M104" i="76"/>
  <c r="L104" i="76"/>
  <c r="K104" i="76"/>
  <c r="J104" i="76"/>
  <c r="I104" i="76"/>
  <c r="W103" i="76"/>
  <c r="V103" i="76"/>
  <c r="K103" i="76"/>
  <c r="M103" i="76" s="1"/>
  <c r="AA106" i="76" s="1"/>
  <c r="I103" i="76"/>
  <c r="Y101" i="76"/>
  <c r="Y103" i="76" s="1"/>
  <c r="T101" i="76"/>
  <c r="X100" i="76"/>
  <c r="X103" i="76" s="1"/>
  <c r="P98" i="76"/>
  <c r="Q98" i="76" s="1"/>
  <c r="N98" i="76"/>
  <c r="P97" i="76"/>
  <c r="Q97" i="76" s="1"/>
  <c r="N97" i="76"/>
  <c r="P96" i="76"/>
  <c r="Q96" i="76" s="1"/>
  <c r="N96" i="76"/>
  <c r="P95" i="76"/>
  <c r="Q95" i="76" s="1"/>
  <c r="N95" i="76"/>
  <c r="N94" i="76"/>
  <c r="P94" i="76" s="1"/>
  <c r="Q94" i="76" s="1"/>
  <c r="AA74" i="76"/>
  <c r="Z74" i="76"/>
  <c r="AA73" i="76"/>
  <c r="Z73" i="76"/>
  <c r="L72" i="76"/>
  <c r="K72" i="76"/>
  <c r="J72" i="76"/>
  <c r="J73" i="76" s="1"/>
  <c r="I72" i="76"/>
  <c r="M72" i="76" s="1"/>
  <c r="V71" i="76"/>
  <c r="Q74" i="76" s="1"/>
  <c r="M71" i="76"/>
  <c r="K70" i="76" s="1"/>
  <c r="K71" i="76"/>
  <c r="I71" i="76"/>
  <c r="I70" i="76" s="1"/>
  <c r="Y69" i="76"/>
  <c r="Y71" i="76" s="1"/>
  <c r="T69" i="76"/>
  <c r="T68" i="76"/>
  <c r="X68" i="76" s="1"/>
  <c r="X71" i="76" s="1"/>
  <c r="Q65" i="76"/>
  <c r="T65" i="76" s="1"/>
  <c r="P65" i="76"/>
  <c r="Q64" i="76"/>
  <c r="P64" i="76"/>
  <c r="N64" i="76"/>
  <c r="P63" i="76"/>
  <c r="Q63" i="76" s="1"/>
  <c r="N63" i="76"/>
  <c r="N62" i="76"/>
  <c r="P62" i="76" s="1"/>
  <c r="Q62" i="76" s="1"/>
  <c r="P61" i="76"/>
  <c r="Q61" i="76" s="1"/>
  <c r="N61" i="76"/>
  <c r="P60" i="76"/>
  <c r="Q60" i="76" s="1"/>
  <c r="N60" i="76"/>
  <c r="N59" i="76"/>
  <c r="P59" i="76" s="1"/>
  <c r="Q59" i="76" s="1"/>
  <c r="AA45" i="76"/>
  <c r="AA46" i="76" s="1"/>
  <c r="Z45" i="76"/>
  <c r="Z46" i="76" s="1"/>
  <c r="L44" i="76"/>
  <c r="K44" i="76"/>
  <c r="J44" i="76"/>
  <c r="I44" i="76"/>
  <c r="M44" i="76" s="1"/>
  <c r="W43" i="76"/>
  <c r="V43" i="76"/>
  <c r="M43" i="76"/>
  <c r="K43" i="76"/>
  <c r="K42" i="76" s="1"/>
  <c r="I43" i="76"/>
  <c r="I42" i="76"/>
  <c r="T41" i="76"/>
  <c r="Y41" i="76" s="1"/>
  <c r="Y43" i="76" s="1"/>
  <c r="T40" i="76"/>
  <c r="X40" i="76" s="1"/>
  <c r="X43" i="76" s="1"/>
  <c r="N38" i="76"/>
  <c r="P38" i="76" s="1"/>
  <c r="Q38" i="76" s="1"/>
  <c r="P37" i="76"/>
  <c r="Q37" i="76" s="1"/>
  <c r="N37" i="76"/>
  <c r="N36" i="76"/>
  <c r="P36" i="76" s="1"/>
  <c r="Q36" i="76" s="1"/>
  <c r="Q35" i="76"/>
  <c r="P35" i="76"/>
  <c r="N35" i="76"/>
  <c r="P34" i="76"/>
  <c r="Q34" i="76" s="1"/>
  <c r="N34" i="76"/>
  <c r="D19" i="76"/>
  <c r="C19" i="76"/>
  <c r="D18" i="76"/>
  <c r="E18" i="76" s="1"/>
  <c r="D17" i="76"/>
  <c r="E17" i="76" s="1"/>
  <c r="E16" i="76"/>
  <c r="D16" i="76"/>
  <c r="V62" i="46"/>
  <c r="W62" i="46" s="1"/>
  <c r="W61" i="46"/>
  <c r="V61" i="46"/>
  <c r="W60" i="46"/>
  <c r="V60" i="46"/>
  <c r="W59" i="46"/>
  <c r="V59" i="46"/>
  <c r="T59" i="46"/>
  <c r="W58" i="46"/>
  <c r="V58" i="46"/>
  <c r="W57" i="46"/>
  <c r="V57" i="46"/>
  <c r="W56" i="46"/>
  <c r="V56" i="46"/>
  <c r="V55" i="46"/>
  <c r="W55" i="46" s="1"/>
  <c r="V54" i="46"/>
  <c r="W54" i="46" s="1"/>
  <c r="W52" i="46"/>
  <c r="V52" i="46"/>
  <c r="W51" i="46"/>
  <c r="V51" i="46"/>
  <c r="W50" i="46"/>
  <c r="V50" i="46"/>
  <c r="W49" i="46"/>
  <c r="V49" i="46"/>
  <c r="V48" i="46"/>
  <c r="W48" i="46" s="1"/>
  <c r="V47" i="46"/>
  <c r="W47" i="46" s="1"/>
  <c r="T47" i="46"/>
  <c r="V46" i="46"/>
  <c r="W46" i="46" s="1"/>
  <c r="V45" i="46"/>
  <c r="W45" i="46" s="1"/>
  <c r="V44" i="46"/>
  <c r="W44" i="46" s="1"/>
  <c r="W43" i="46"/>
  <c r="V43" i="46"/>
  <c r="W42" i="46"/>
  <c r="V42" i="46"/>
  <c r="W41" i="46"/>
  <c r="V41" i="46"/>
  <c r="V40" i="46"/>
  <c r="W40" i="46" s="1"/>
  <c r="V38" i="46"/>
  <c r="W38" i="46" s="1"/>
  <c r="V37" i="46"/>
  <c r="W37" i="46" s="1"/>
  <c r="W36" i="46"/>
  <c r="V36" i="46"/>
  <c r="W35" i="46"/>
  <c r="V35" i="46"/>
  <c r="W34" i="46"/>
  <c r="V34" i="46"/>
  <c r="V33" i="46"/>
  <c r="W33" i="46" s="1"/>
  <c r="V32" i="46"/>
  <c r="W32" i="46" s="1"/>
  <c r="V31" i="46"/>
  <c r="W31" i="46" s="1"/>
  <c r="W30" i="46"/>
  <c r="V30" i="46"/>
  <c r="W29" i="46"/>
  <c r="V29" i="46"/>
  <c r="W28" i="46"/>
  <c r="V28" i="46"/>
  <c r="V26" i="46"/>
  <c r="W26" i="46" s="1"/>
  <c r="V25" i="46"/>
  <c r="W25" i="46" s="1"/>
  <c r="V24" i="46"/>
  <c r="W24" i="46" s="1"/>
  <c r="W23" i="46"/>
  <c r="V23" i="46"/>
  <c r="W22" i="46"/>
  <c r="V22" i="46"/>
  <c r="W21" i="46"/>
  <c r="V21" i="46"/>
  <c r="T21" i="46"/>
  <c r="W20" i="46"/>
  <c r="V20" i="46"/>
  <c r="W19" i="46"/>
  <c r="V19" i="46"/>
  <c r="W18" i="46"/>
  <c r="V18" i="46"/>
  <c r="V17" i="46"/>
  <c r="W17" i="46" s="1"/>
  <c r="V16" i="46"/>
  <c r="W16" i="46" s="1"/>
  <c r="W15" i="46"/>
  <c r="V15" i="46"/>
  <c r="W14" i="46"/>
  <c r="V14" i="46"/>
  <c r="W12" i="46"/>
  <c r="V12" i="46"/>
  <c r="W11" i="46"/>
  <c r="V11" i="46"/>
  <c r="V10" i="46"/>
  <c r="W10" i="46" s="1"/>
  <c r="V9" i="46"/>
  <c r="W9" i="46" s="1"/>
  <c r="W8" i="46"/>
  <c r="V8" i="46"/>
  <c r="W6" i="46"/>
  <c r="V6" i="46"/>
  <c r="W5" i="46"/>
  <c r="V5" i="46"/>
  <c r="W4" i="46"/>
  <c r="V4" i="46"/>
  <c r="V3" i="46"/>
  <c r="W3" i="46" s="1"/>
  <c r="V2" i="46"/>
  <c r="W2" i="46" s="1"/>
  <c r="AA198" i="75"/>
  <c r="Z198" i="75"/>
  <c r="AA197" i="75"/>
  <c r="Z197" i="75"/>
  <c r="K196" i="75"/>
  <c r="J196" i="75"/>
  <c r="I196" i="75"/>
  <c r="V195" i="75"/>
  <c r="Q198" i="75" s="1"/>
  <c r="M195" i="75"/>
  <c r="K195" i="75"/>
  <c r="K194" i="75" s="1"/>
  <c r="I195" i="75"/>
  <c r="I194" i="75"/>
  <c r="T193" i="75"/>
  <c r="Y193" i="75" s="1"/>
  <c r="Y195" i="75" s="1"/>
  <c r="Q192" i="75"/>
  <c r="T192" i="75" s="1"/>
  <c r="X192" i="75" s="1"/>
  <c r="Q189" i="75"/>
  <c r="P189" i="75"/>
  <c r="P188" i="75"/>
  <c r="Q188" i="75" s="1"/>
  <c r="P187" i="75"/>
  <c r="Q187" i="75" s="1"/>
  <c r="N186" i="75"/>
  <c r="P186" i="75" s="1"/>
  <c r="Q186" i="75" s="1"/>
  <c r="P185" i="75"/>
  <c r="Q185" i="75" s="1"/>
  <c r="Q184" i="75"/>
  <c r="P184" i="75"/>
  <c r="P183" i="75"/>
  <c r="Q183" i="75" s="1"/>
  <c r="T182" i="75"/>
  <c r="Q182" i="75"/>
  <c r="R182" i="75" s="1"/>
  <c r="P182" i="75"/>
  <c r="P181" i="75"/>
  <c r="Q181" i="75" s="1"/>
  <c r="Q162" i="75"/>
  <c r="AA161" i="75"/>
  <c r="AA162" i="75" s="1"/>
  <c r="Z161" i="75"/>
  <c r="Z162" i="75" s="1"/>
  <c r="L160" i="75"/>
  <c r="K160" i="75"/>
  <c r="J160" i="75"/>
  <c r="M160" i="75" s="1"/>
  <c r="I160" i="75"/>
  <c r="Y159" i="75"/>
  <c r="Q164" i="75" s="1"/>
  <c r="V159" i="75"/>
  <c r="M159" i="75"/>
  <c r="J158" i="75" s="1"/>
  <c r="L159" i="75"/>
  <c r="L158" i="75" s="1"/>
  <c r="K159" i="75"/>
  <c r="K158" i="75" s="1"/>
  <c r="J159" i="75"/>
  <c r="I159" i="75"/>
  <c r="I158" i="75" s="1"/>
  <c r="Y157" i="75"/>
  <c r="T157" i="75"/>
  <c r="T156" i="75"/>
  <c r="X156" i="75" s="1"/>
  <c r="Q156" i="75"/>
  <c r="P153" i="75"/>
  <c r="Q153" i="75" s="1"/>
  <c r="Q152" i="75"/>
  <c r="T152" i="75" s="1"/>
  <c r="P152" i="75"/>
  <c r="Q151" i="75"/>
  <c r="T151" i="75" s="1"/>
  <c r="P151" i="75"/>
  <c r="AG150" i="75"/>
  <c r="U150" i="75"/>
  <c r="T150" i="75"/>
  <c r="Z150" i="75" s="1"/>
  <c r="Q150" i="75"/>
  <c r="P150" i="75"/>
  <c r="U149" i="75"/>
  <c r="T149" i="75"/>
  <c r="AG149" i="75" s="1"/>
  <c r="AG159" i="75" s="1"/>
  <c r="Q149" i="75"/>
  <c r="P149" i="75"/>
  <c r="N148" i="75"/>
  <c r="P148" i="75" s="1"/>
  <c r="Q148" i="75" s="1"/>
  <c r="Q147" i="75"/>
  <c r="T147" i="75" s="1"/>
  <c r="P147" i="75"/>
  <c r="P146" i="75"/>
  <c r="Q146" i="75" s="1"/>
  <c r="P145" i="75"/>
  <c r="Q145" i="75" s="1"/>
  <c r="Q144" i="75"/>
  <c r="R144" i="75" s="1"/>
  <c r="P144" i="75"/>
  <c r="R143" i="75"/>
  <c r="Q143" i="75"/>
  <c r="T143" i="75" s="1"/>
  <c r="P143" i="75"/>
  <c r="AC142" i="75"/>
  <c r="U142" i="75"/>
  <c r="T142" i="75"/>
  <c r="AA142" i="75" s="1"/>
  <c r="Q142" i="75"/>
  <c r="P142" i="75"/>
  <c r="P141" i="75"/>
  <c r="Q141" i="75" s="1"/>
  <c r="Q129" i="75"/>
  <c r="Z128" i="75"/>
  <c r="AA127" i="75"/>
  <c r="Z127" i="75"/>
  <c r="L126" i="75"/>
  <c r="K126" i="75"/>
  <c r="J126" i="75"/>
  <c r="I126" i="75"/>
  <c r="M126" i="75" s="1"/>
  <c r="AI125" i="75"/>
  <c r="W125" i="75"/>
  <c r="V125" i="75"/>
  <c r="M125" i="75"/>
  <c r="AA128" i="75" s="1"/>
  <c r="K125" i="75"/>
  <c r="K124" i="75" s="1"/>
  <c r="I125" i="75"/>
  <c r="I124" i="75" s="1"/>
  <c r="Y123" i="75"/>
  <c r="Y125" i="75" s="1"/>
  <c r="T123" i="75"/>
  <c r="T122" i="75"/>
  <c r="X122" i="75" s="1"/>
  <c r="Q122" i="75"/>
  <c r="P118" i="75"/>
  <c r="Q118" i="75" s="1"/>
  <c r="Q117" i="75"/>
  <c r="T117" i="75" s="1"/>
  <c r="P117" i="75"/>
  <c r="Q116" i="75"/>
  <c r="T116" i="75" s="1"/>
  <c r="P116" i="75"/>
  <c r="AG115" i="75"/>
  <c r="U115" i="75"/>
  <c r="T115" i="75"/>
  <c r="AA115" i="75" s="1"/>
  <c r="Q115" i="75"/>
  <c r="P115" i="75"/>
  <c r="U114" i="75"/>
  <c r="T114" i="75"/>
  <c r="AF114" i="75" s="1"/>
  <c r="AF125" i="75" s="1"/>
  <c r="Q114" i="75"/>
  <c r="P114" i="75"/>
  <c r="P113" i="75"/>
  <c r="Q113" i="75" s="1"/>
  <c r="Q112" i="75"/>
  <c r="T112" i="75" s="1"/>
  <c r="P112" i="75"/>
  <c r="P111" i="75"/>
  <c r="Q111" i="75" s="1"/>
  <c r="Q110" i="75"/>
  <c r="T110" i="75" s="1"/>
  <c r="P110" i="75"/>
  <c r="AC109" i="75"/>
  <c r="AA109" i="75"/>
  <c r="T109" i="75"/>
  <c r="U109" i="75" s="1"/>
  <c r="Q109" i="75"/>
  <c r="P109" i="75"/>
  <c r="R108" i="75"/>
  <c r="Q108" i="75"/>
  <c r="P108" i="75"/>
  <c r="Q91" i="75"/>
  <c r="Q88" i="75"/>
  <c r="AA87" i="75"/>
  <c r="Z87" i="75"/>
  <c r="M86" i="75"/>
  <c r="L86" i="75"/>
  <c r="K86" i="75"/>
  <c r="J86" i="75"/>
  <c r="I86" i="75"/>
  <c r="X85" i="75"/>
  <c r="V85" i="75"/>
  <c r="L85" i="75"/>
  <c r="K85" i="75"/>
  <c r="J85" i="75"/>
  <c r="I85" i="75"/>
  <c r="T83" i="75"/>
  <c r="Y83" i="75" s="1"/>
  <c r="Y85" i="75" s="1"/>
  <c r="AA82" i="75"/>
  <c r="T82" i="75"/>
  <c r="Q82" i="75"/>
  <c r="P79" i="75"/>
  <c r="Q79" i="75" s="1"/>
  <c r="Q78" i="75"/>
  <c r="T78" i="75" s="1"/>
  <c r="P78" i="75"/>
  <c r="Q77" i="75"/>
  <c r="T77" i="75" s="1"/>
  <c r="P77" i="75"/>
  <c r="AG76" i="75"/>
  <c r="U76" i="75"/>
  <c r="T76" i="75"/>
  <c r="Z76" i="75" s="1"/>
  <c r="Q76" i="75"/>
  <c r="P76" i="75"/>
  <c r="U75" i="75"/>
  <c r="T75" i="75"/>
  <c r="AG75" i="75" s="1"/>
  <c r="AG85" i="75" s="1"/>
  <c r="Q75" i="75"/>
  <c r="P75" i="75"/>
  <c r="N74" i="75"/>
  <c r="P74" i="75" s="1"/>
  <c r="Q74" i="75" s="1"/>
  <c r="Q73" i="75"/>
  <c r="T73" i="75" s="1"/>
  <c r="P73" i="75"/>
  <c r="P72" i="75"/>
  <c r="Q72" i="75" s="1"/>
  <c r="P71" i="75"/>
  <c r="Q71" i="75" s="1"/>
  <c r="Q70" i="75"/>
  <c r="R70" i="75" s="1"/>
  <c r="P70" i="75"/>
  <c r="R69" i="75"/>
  <c r="Q69" i="75"/>
  <c r="T69" i="75" s="1"/>
  <c r="P69" i="75"/>
  <c r="AC68" i="75"/>
  <c r="U68" i="75"/>
  <c r="T68" i="75"/>
  <c r="AA68" i="75" s="1"/>
  <c r="Q68" i="75"/>
  <c r="P68" i="75"/>
  <c r="P67" i="75"/>
  <c r="Q67" i="75" s="1"/>
  <c r="Q55" i="75"/>
  <c r="AA53" i="75"/>
  <c r="Z53" i="75"/>
  <c r="L52" i="75"/>
  <c r="K52" i="75"/>
  <c r="J52" i="75"/>
  <c r="I52" i="75"/>
  <c r="M52" i="75" s="1"/>
  <c r="AI51" i="75"/>
  <c r="W51" i="75"/>
  <c r="V51" i="75"/>
  <c r="M51" i="75"/>
  <c r="AA54" i="75" s="1"/>
  <c r="K51" i="75"/>
  <c r="K50" i="75" s="1"/>
  <c r="I51" i="75"/>
  <c r="I50" i="75" s="1"/>
  <c r="Y49" i="75"/>
  <c r="Y51" i="75" s="1"/>
  <c r="T49" i="75"/>
  <c r="T48" i="75"/>
  <c r="X48" i="75" s="1"/>
  <c r="Q48" i="75"/>
  <c r="P44" i="75"/>
  <c r="Q44" i="75" s="1"/>
  <c r="Q43" i="75"/>
  <c r="T43" i="75" s="1"/>
  <c r="P43" i="75"/>
  <c r="Q42" i="75"/>
  <c r="T42" i="75" s="1"/>
  <c r="P42" i="75"/>
  <c r="AG41" i="75"/>
  <c r="U41" i="75"/>
  <c r="T41" i="75"/>
  <c r="AA41" i="75" s="1"/>
  <c r="Q41" i="75"/>
  <c r="P41" i="75"/>
  <c r="U40" i="75"/>
  <c r="T40" i="75"/>
  <c r="AF40" i="75" s="1"/>
  <c r="AF51" i="75" s="1"/>
  <c r="Q40" i="75"/>
  <c r="P40" i="75"/>
  <c r="P39" i="75"/>
  <c r="Q39" i="75" s="1"/>
  <c r="Q38" i="75"/>
  <c r="T38" i="75" s="1"/>
  <c r="P38" i="75"/>
  <c r="P37" i="75"/>
  <c r="Q37" i="75" s="1"/>
  <c r="Q36" i="75"/>
  <c r="T36" i="75" s="1"/>
  <c r="P36" i="75"/>
  <c r="AC35" i="75"/>
  <c r="AA35" i="75"/>
  <c r="T35" i="75"/>
  <c r="U35" i="75" s="1"/>
  <c r="Q35" i="75"/>
  <c r="P35" i="75"/>
  <c r="R34" i="75"/>
  <c r="Q34" i="75"/>
  <c r="P34" i="75"/>
  <c r="W33" i="45"/>
  <c r="V33" i="45"/>
  <c r="W32" i="45"/>
  <c r="V32" i="45"/>
  <c r="W31" i="45"/>
  <c r="V31" i="45"/>
  <c r="W30" i="45"/>
  <c r="V30" i="45"/>
  <c r="V29" i="45"/>
  <c r="W29" i="45" s="1"/>
  <c r="V27" i="45"/>
  <c r="W27" i="45" s="1"/>
  <c r="W26" i="45"/>
  <c r="V26" i="45"/>
  <c r="W25" i="45"/>
  <c r="V25" i="45"/>
  <c r="W24" i="45"/>
  <c r="V24" i="45"/>
  <c r="W23" i="45"/>
  <c r="V23" i="45"/>
  <c r="V22" i="45"/>
  <c r="W22" i="45" s="1"/>
  <c r="V20" i="45"/>
  <c r="W20" i="45" s="1"/>
  <c r="W19" i="45"/>
  <c r="V19" i="45"/>
  <c r="W18" i="45"/>
  <c r="V18" i="45"/>
  <c r="W17" i="45"/>
  <c r="V17" i="45"/>
  <c r="W16" i="45"/>
  <c r="V16" i="45"/>
  <c r="V14" i="45"/>
  <c r="W14" i="45" s="1"/>
  <c r="V13" i="45"/>
  <c r="W13" i="45" s="1"/>
  <c r="W12" i="45"/>
  <c r="V12" i="45"/>
  <c r="W11" i="45"/>
  <c r="V11" i="45"/>
  <c r="W10" i="45"/>
  <c r="V10" i="45"/>
  <c r="W9" i="45"/>
  <c r="V9" i="45"/>
  <c r="V8" i="45"/>
  <c r="W8" i="45" s="1"/>
  <c r="V6" i="45"/>
  <c r="W6" i="45" s="1"/>
  <c r="W5" i="45"/>
  <c r="V5" i="45"/>
  <c r="W4" i="45"/>
  <c r="V4" i="45"/>
  <c r="W3" i="45"/>
  <c r="V3" i="45"/>
  <c r="W2" i="45"/>
  <c r="V2" i="45"/>
  <c r="Q173" i="74"/>
  <c r="AA171" i="74"/>
  <c r="Z171" i="74"/>
  <c r="L170" i="74"/>
  <c r="K170" i="74"/>
  <c r="J170" i="74"/>
  <c r="I170" i="74"/>
  <c r="M170" i="74" s="1"/>
  <c r="X169" i="74"/>
  <c r="Q175" i="74" s="1"/>
  <c r="W169" i="74"/>
  <c r="V169" i="74"/>
  <c r="Q172" i="74" s="1"/>
  <c r="M169" i="74"/>
  <c r="K169" i="74"/>
  <c r="I169" i="74"/>
  <c r="I168" i="74" s="1"/>
  <c r="Y167" i="74"/>
  <c r="Y169" i="74" s="1"/>
  <c r="T167" i="74"/>
  <c r="X166" i="74"/>
  <c r="T164" i="74"/>
  <c r="Q164" i="74"/>
  <c r="P164" i="74"/>
  <c r="P163" i="74"/>
  <c r="Q163" i="74" s="1"/>
  <c r="Q162" i="74"/>
  <c r="T162" i="74" s="1"/>
  <c r="P162" i="74"/>
  <c r="P161" i="74"/>
  <c r="Q161" i="74" s="1"/>
  <c r="Q160" i="74"/>
  <c r="T160" i="74" s="1"/>
  <c r="P160" i="74"/>
  <c r="Q140" i="74"/>
  <c r="AA139" i="74"/>
  <c r="AA140" i="74" s="1"/>
  <c r="Z139" i="74"/>
  <c r="Z140" i="74" s="1"/>
  <c r="L138" i="74"/>
  <c r="K138" i="74"/>
  <c r="J138" i="74"/>
  <c r="I138" i="74"/>
  <c r="X137" i="74"/>
  <c r="V137" i="74"/>
  <c r="M137" i="74"/>
  <c r="K137" i="74"/>
  <c r="I137" i="74"/>
  <c r="K136" i="74"/>
  <c r="I136" i="74"/>
  <c r="Y135" i="74"/>
  <c r="Y137" i="74" s="1"/>
  <c r="T135" i="74"/>
  <c r="X134" i="74"/>
  <c r="T134" i="74"/>
  <c r="P130" i="74"/>
  <c r="Q130" i="74" s="1"/>
  <c r="P129" i="74"/>
  <c r="Q129" i="74" s="1"/>
  <c r="P128" i="74"/>
  <c r="Q128" i="74" s="1"/>
  <c r="P127" i="74"/>
  <c r="Q127" i="74" s="1"/>
  <c r="P126" i="74"/>
  <c r="Q126" i="74" s="1"/>
  <c r="Q125" i="74"/>
  <c r="P125" i="74"/>
  <c r="AA107" i="74"/>
  <c r="Z107" i="74"/>
  <c r="M106" i="74"/>
  <c r="L106" i="74"/>
  <c r="K106" i="74"/>
  <c r="J106" i="74"/>
  <c r="I106" i="74"/>
  <c r="I107" i="74" s="1"/>
  <c r="Y105" i="74"/>
  <c r="W105" i="74"/>
  <c r="Q109" i="74" s="1"/>
  <c r="V105" i="74"/>
  <c r="K105" i="74"/>
  <c r="I105" i="74"/>
  <c r="M105" i="74" s="1"/>
  <c r="I104" i="74"/>
  <c r="Y103" i="74"/>
  <c r="T103" i="74"/>
  <c r="T102" i="74"/>
  <c r="X102" i="74" s="1"/>
  <c r="X105" i="74" s="1"/>
  <c r="Q100" i="74"/>
  <c r="P100" i="74"/>
  <c r="Z99" i="74"/>
  <c r="T99" i="74"/>
  <c r="U99" i="74" s="1"/>
  <c r="Q99" i="74"/>
  <c r="R99" i="74" s="1"/>
  <c r="P99" i="74"/>
  <c r="U98" i="74"/>
  <c r="Q98" i="74"/>
  <c r="T98" i="74" s="1"/>
  <c r="P98" i="74"/>
  <c r="P97" i="74"/>
  <c r="Q97" i="74" s="1"/>
  <c r="P96" i="74"/>
  <c r="Q96" i="74" s="1"/>
  <c r="AA74" i="74"/>
  <c r="Z74" i="74"/>
  <c r="I74" i="74"/>
  <c r="L73" i="74"/>
  <c r="K73" i="74"/>
  <c r="J73" i="74"/>
  <c r="I73" i="74"/>
  <c r="M73" i="74" s="1"/>
  <c r="V72" i="74"/>
  <c r="Q75" i="74" s="1"/>
  <c r="K72" i="74"/>
  <c r="I72" i="74"/>
  <c r="M72" i="74" s="1"/>
  <c r="AA75" i="74" s="1"/>
  <c r="T70" i="74"/>
  <c r="Y70" i="74" s="1"/>
  <c r="Y72" i="74" s="1"/>
  <c r="X69" i="74"/>
  <c r="X72" i="74" s="1"/>
  <c r="P65" i="74"/>
  <c r="Q65" i="74" s="1"/>
  <c r="Q64" i="74"/>
  <c r="R64" i="74" s="1"/>
  <c r="P64" i="74"/>
  <c r="Q63" i="74"/>
  <c r="T63" i="74" s="1"/>
  <c r="P63" i="74"/>
  <c r="Q62" i="74"/>
  <c r="R62" i="74" s="1"/>
  <c r="P62" i="74"/>
  <c r="P61" i="74"/>
  <c r="Q61" i="74" s="1"/>
  <c r="AA60" i="74"/>
  <c r="T60" i="74"/>
  <c r="U60" i="74" s="1"/>
  <c r="Q60" i="74"/>
  <c r="R60" i="74" s="1"/>
  <c r="P60" i="74"/>
  <c r="R59" i="74"/>
  <c r="P59" i="74"/>
  <c r="Q59" i="74" s="1"/>
  <c r="Q47" i="74"/>
  <c r="AA45" i="74"/>
  <c r="Z45" i="74"/>
  <c r="L44" i="74"/>
  <c r="K44" i="74"/>
  <c r="J44" i="74"/>
  <c r="I44" i="74"/>
  <c r="M44" i="74" s="1"/>
  <c r="W43" i="74"/>
  <c r="V43" i="74"/>
  <c r="K43" i="74"/>
  <c r="I43" i="74"/>
  <c r="M43" i="74" s="1"/>
  <c r="AA46" i="74" s="1"/>
  <c r="I42" i="74"/>
  <c r="Y41" i="74"/>
  <c r="Y43" i="74" s="1"/>
  <c r="T41" i="74"/>
  <c r="X40" i="74"/>
  <c r="X43" i="74" s="1"/>
  <c r="P38" i="74"/>
  <c r="Q38" i="74" s="1"/>
  <c r="T38" i="74" s="1"/>
  <c r="Z37" i="74"/>
  <c r="Q37" i="74"/>
  <c r="T37" i="74" s="1"/>
  <c r="U37" i="74" s="1"/>
  <c r="P37" i="74"/>
  <c r="T36" i="74"/>
  <c r="U36" i="74" s="1"/>
  <c r="Q36" i="74"/>
  <c r="P36" i="74"/>
  <c r="Q35" i="74"/>
  <c r="P35" i="74"/>
  <c r="P34" i="74"/>
  <c r="Q34" i="74" s="1"/>
  <c r="V31" i="44"/>
  <c r="W31" i="44" s="1"/>
  <c r="W30" i="44"/>
  <c r="V30" i="44"/>
  <c r="W29" i="44"/>
  <c r="V29" i="44"/>
  <c r="W28" i="44"/>
  <c r="V28" i="44"/>
  <c r="W27" i="44"/>
  <c r="V27" i="44"/>
  <c r="V26" i="44"/>
  <c r="W26" i="44" s="1"/>
  <c r="V24" i="44"/>
  <c r="W24" i="44" s="1"/>
  <c r="W23" i="44"/>
  <c r="V23" i="44"/>
  <c r="W22" i="44"/>
  <c r="V22" i="44"/>
  <c r="W21" i="44"/>
  <c r="V21" i="44"/>
  <c r="W20" i="44"/>
  <c r="V20" i="44"/>
  <c r="V19" i="44"/>
  <c r="W19" i="44" s="1"/>
  <c r="V17" i="44"/>
  <c r="W17" i="44" s="1"/>
  <c r="W16" i="44"/>
  <c r="V16" i="44"/>
  <c r="W15" i="44"/>
  <c r="V15" i="44"/>
  <c r="W14" i="44"/>
  <c r="V14" i="44"/>
  <c r="W12" i="44"/>
  <c r="V12" i="44"/>
  <c r="V11" i="44"/>
  <c r="W11" i="44" s="1"/>
  <c r="V10" i="44"/>
  <c r="W10" i="44" s="1"/>
  <c r="W9" i="44"/>
  <c r="V9" i="44"/>
  <c r="W8" i="44"/>
  <c r="V8" i="44"/>
  <c r="W7" i="44"/>
  <c r="V7" i="44"/>
  <c r="W5" i="44"/>
  <c r="V5" i="44"/>
  <c r="V4" i="44"/>
  <c r="W4" i="44" s="1"/>
  <c r="V3" i="44"/>
  <c r="W3" i="44" s="1"/>
  <c r="W2" i="44"/>
  <c r="V2" i="44"/>
  <c r="AA166" i="73"/>
  <c r="Z166" i="73"/>
  <c r="M165" i="73"/>
  <c r="L165" i="73"/>
  <c r="K165" i="73"/>
  <c r="J165" i="73"/>
  <c r="I165" i="73"/>
  <c r="I164" i="73"/>
  <c r="M164" i="73" s="1"/>
  <c r="T162" i="73"/>
  <c r="Y162" i="73" s="1"/>
  <c r="Y164" i="73" s="1"/>
  <c r="T161" i="73"/>
  <c r="X161" i="73" s="1"/>
  <c r="X164" i="73" s="1"/>
  <c r="AC158" i="73"/>
  <c r="W158" i="73"/>
  <c r="T158" i="73"/>
  <c r="Q158" i="73"/>
  <c r="P158" i="73"/>
  <c r="T157" i="73"/>
  <c r="Q157" i="73"/>
  <c r="P157" i="73"/>
  <c r="P156" i="73"/>
  <c r="Q156" i="73" s="1"/>
  <c r="P155" i="73"/>
  <c r="Q155" i="73" s="1"/>
  <c r="Q154" i="73"/>
  <c r="P154" i="73"/>
  <c r="AA153" i="73"/>
  <c r="U153" i="73"/>
  <c r="T153" i="73"/>
  <c r="AB153" i="73" s="1"/>
  <c r="AB164" i="73" s="1"/>
  <c r="R153" i="73"/>
  <c r="Q153" i="73"/>
  <c r="P153" i="73"/>
  <c r="Q135" i="73"/>
  <c r="AA132" i="73"/>
  <c r="Z132" i="73"/>
  <c r="L131" i="73"/>
  <c r="K131" i="73"/>
  <c r="J131" i="73"/>
  <c r="I131" i="73"/>
  <c r="M131" i="73" s="1"/>
  <c r="I130" i="73"/>
  <c r="M130" i="73" s="1"/>
  <c r="Y128" i="73"/>
  <c r="Y130" i="73" s="1"/>
  <c r="T128" i="73"/>
  <c r="X127" i="73"/>
  <c r="X130" i="73" s="1"/>
  <c r="Q136" i="73" s="1"/>
  <c r="T127" i="73"/>
  <c r="Q124" i="73"/>
  <c r="T124" i="73" s="1"/>
  <c r="P124" i="73"/>
  <c r="AD123" i="73"/>
  <c r="AD130" i="73" s="1"/>
  <c r="W123" i="73"/>
  <c r="T123" i="73"/>
  <c r="Q123" i="73"/>
  <c r="P123" i="73"/>
  <c r="Q122" i="73"/>
  <c r="T122" i="73" s="1"/>
  <c r="P122" i="73"/>
  <c r="Q121" i="73"/>
  <c r="P121" i="73"/>
  <c r="Z120" i="73"/>
  <c r="U120" i="73"/>
  <c r="T120" i="73"/>
  <c r="AC120" i="73" s="1"/>
  <c r="R120" i="73"/>
  <c r="Q120" i="73"/>
  <c r="P120" i="73"/>
  <c r="P119" i="73"/>
  <c r="Q119" i="73" s="1"/>
  <c r="AA102" i="73"/>
  <c r="Z102" i="73"/>
  <c r="AA101" i="73"/>
  <c r="Z101" i="73"/>
  <c r="M100" i="73"/>
  <c r="L100" i="73"/>
  <c r="K100" i="73"/>
  <c r="J100" i="73"/>
  <c r="I100" i="73"/>
  <c r="AD99" i="73"/>
  <c r="X99" i="73"/>
  <c r="Q105" i="73" s="1"/>
  <c r="W99" i="73"/>
  <c r="Q103" i="73" s="1"/>
  <c r="M99" i="73"/>
  <c r="I99" i="73"/>
  <c r="T97" i="73"/>
  <c r="Y97" i="73" s="1"/>
  <c r="Y99" i="73" s="1"/>
  <c r="X96" i="73"/>
  <c r="T96" i="73"/>
  <c r="Q94" i="73"/>
  <c r="T94" i="73" s="1"/>
  <c r="P94" i="73"/>
  <c r="Q93" i="73"/>
  <c r="T93" i="73" s="1"/>
  <c r="P93" i="73"/>
  <c r="R92" i="73"/>
  <c r="Q92" i="73"/>
  <c r="T92" i="73" s="1"/>
  <c r="P92" i="73"/>
  <c r="P91" i="73"/>
  <c r="Q91" i="73" s="1"/>
  <c r="Q75" i="73"/>
  <c r="AA72" i="73"/>
  <c r="Z72" i="73"/>
  <c r="Z73" i="73" s="1"/>
  <c r="M71" i="73"/>
  <c r="L71" i="73"/>
  <c r="K71" i="73"/>
  <c r="J71" i="73"/>
  <c r="I71" i="73"/>
  <c r="Y70" i="73"/>
  <c r="I70" i="73"/>
  <c r="M70" i="73" s="1"/>
  <c r="T68" i="73"/>
  <c r="Y68" i="73" s="1"/>
  <c r="T67" i="73"/>
  <c r="X67" i="73" s="1"/>
  <c r="X70" i="73" s="1"/>
  <c r="W64" i="73"/>
  <c r="T64" i="73"/>
  <c r="AC64" i="73" s="1"/>
  <c r="Q64" i="73"/>
  <c r="P64" i="73"/>
  <c r="Q63" i="73"/>
  <c r="T63" i="73" s="1"/>
  <c r="P63" i="73"/>
  <c r="T62" i="73"/>
  <c r="AC62" i="73" s="1"/>
  <c r="P62" i="73"/>
  <c r="Q62" i="73" s="1"/>
  <c r="Q61" i="73"/>
  <c r="T61" i="73" s="1"/>
  <c r="P61" i="73"/>
  <c r="T60" i="73"/>
  <c r="AC60" i="73" s="1"/>
  <c r="Q60" i="73"/>
  <c r="P60" i="73"/>
  <c r="P59" i="73"/>
  <c r="Q59" i="73" s="1"/>
  <c r="AA45" i="73"/>
  <c r="Z45" i="73"/>
  <c r="L44" i="73"/>
  <c r="K44" i="73"/>
  <c r="M44" i="73" s="1"/>
  <c r="J44" i="73"/>
  <c r="I44" i="73"/>
  <c r="W43" i="73"/>
  <c r="Q47" i="73" s="1"/>
  <c r="I43" i="73"/>
  <c r="M43" i="73" s="1"/>
  <c r="Y41" i="73"/>
  <c r="Y43" i="73" s="1"/>
  <c r="T41" i="73"/>
  <c r="T40" i="73"/>
  <c r="X40" i="73" s="1"/>
  <c r="X43" i="73" s="1"/>
  <c r="AD39" i="73"/>
  <c r="AD43" i="73" s="1"/>
  <c r="P38" i="73"/>
  <c r="Q38" i="73" s="1"/>
  <c r="Q37" i="73"/>
  <c r="T37" i="73" s="1"/>
  <c r="P37" i="73"/>
  <c r="P36" i="73"/>
  <c r="Q36" i="73" s="1"/>
  <c r="P35" i="73"/>
  <c r="Q35" i="73" s="1"/>
  <c r="V80" i="39"/>
  <c r="W80" i="39" s="1"/>
  <c r="V79" i="39"/>
  <c r="W79" i="39" s="1"/>
  <c r="W78" i="39"/>
  <c r="V78" i="39"/>
  <c r="V77" i="39"/>
  <c r="W77" i="39" s="1"/>
  <c r="W76" i="39"/>
  <c r="V76" i="39"/>
  <c r="T76" i="39"/>
  <c r="W75" i="39"/>
  <c r="V75" i="39"/>
  <c r="V74" i="39"/>
  <c r="W74" i="39" s="1"/>
  <c r="W73" i="39"/>
  <c r="V73" i="39"/>
  <c r="T73" i="39"/>
  <c r="V72" i="39"/>
  <c r="W72" i="39" s="1"/>
  <c r="W71" i="39"/>
  <c r="V71" i="39"/>
  <c r="W70" i="39"/>
  <c r="V70" i="39"/>
  <c r="V69" i="39"/>
  <c r="W69" i="39" s="1"/>
  <c r="V68" i="39"/>
  <c r="W68" i="39" s="1"/>
  <c r="W66" i="39"/>
  <c r="V66" i="39"/>
  <c r="V65" i="39"/>
  <c r="W65" i="39" s="1"/>
  <c r="W64" i="39"/>
  <c r="V64" i="39"/>
  <c r="W63" i="39"/>
  <c r="V63" i="39"/>
  <c r="V62" i="39"/>
  <c r="W62" i="39" s="1"/>
  <c r="V61" i="39"/>
  <c r="W61" i="39" s="1"/>
  <c r="T60" i="39"/>
  <c r="V60" i="39" s="1"/>
  <c r="W60" i="39" s="1"/>
  <c r="V59" i="39"/>
  <c r="W59" i="39" s="1"/>
  <c r="W58" i="39"/>
  <c r="V58" i="39"/>
  <c r="T57" i="39"/>
  <c r="V57" i="39" s="1"/>
  <c r="W57" i="39" s="1"/>
  <c r="V56" i="39"/>
  <c r="W56" i="39" s="1"/>
  <c r="W55" i="39"/>
  <c r="V55" i="39"/>
  <c r="V54" i="39"/>
  <c r="W54" i="39" s="1"/>
  <c r="W53" i="39"/>
  <c r="V53" i="39"/>
  <c r="W52" i="39"/>
  <c r="V52" i="39"/>
  <c r="V50" i="39"/>
  <c r="W50" i="39" s="1"/>
  <c r="V49" i="39"/>
  <c r="W49" i="39" s="1"/>
  <c r="W48" i="39"/>
  <c r="V48" i="39"/>
  <c r="V47" i="39"/>
  <c r="W47" i="39" s="1"/>
  <c r="W46" i="39"/>
  <c r="V46" i="39"/>
  <c r="W45" i="39"/>
  <c r="V45" i="39"/>
  <c r="T45" i="39"/>
  <c r="V44" i="39"/>
  <c r="W44" i="39" s="1"/>
  <c r="W43" i="39"/>
  <c r="V43" i="39"/>
  <c r="T42" i="39"/>
  <c r="V42" i="39" s="1"/>
  <c r="W42" i="39" s="1"/>
  <c r="W41" i="39"/>
  <c r="V41" i="39"/>
  <c r="T41" i="39"/>
  <c r="W40" i="39"/>
  <c r="V40" i="39"/>
  <c r="V39" i="39"/>
  <c r="W39" i="39" s="1"/>
  <c r="W38" i="39"/>
  <c r="V38" i="39"/>
  <c r="V37" i="39"/>
  <c r="W37" i="39" s="1"/>
  <c r="V36" i="39"/>
  <c r="W36" i="39" s="1"/>
  <c r="W34" i="39"/>
  <c r="V34" i="39"/>
  <c r="W33" i="39"/>
  <c r="V33" i="39"/>
  <c r="V32" i="39"/>
  <c r="W32" i="39" s="1"/>
  <c r="W31" i="39"/>
  <c r="V31" i="39"/>
  <c r="V30" i="39"/>
  <c r="W30" i="39" s="1"/>
  <c r="V29" i="39"/>
  <c r="W29" i="39" s="1"/>
  <c r="W28" i="39"/>
  <c r="V28" i="39"/>
  <c r="T28" i="39"/>
  <c r="V27" i="39"/>
  <c r="W27" i="39" s="1"/>
  <c r="V26" i="39"/>
  <c r="W26" i="39" s="1"/>
  <c r="T25" i="39"/>
  <c r="V25" i="39" s="1"/>
  <c r="W25" i="39" s="1"/>
  <c r="V24" i="39"/>
  <c r="W24" i="39" s="1"/>
  <c r="W23" i="39"/>
  <c r="V23" i="39"/>
  <c r="W22" i="39"/>
  <c r="V22" i="39"/>
  <c r="V21" i="39"/>
  <c r="W21" i="39" s="1"/>
  <c r="W20" i="39"/>
  <c r="V20" i="39"/>
  <c r="V19" i="39"/>
  <c r="W19" i="39" s="1"/>
  <c r="V17" i="39"/>
  <c r="W17" i="39" s="1"/>
  <c r="W16" i="39"/>
  <c r="V16" i="39"/>
  <c r="W15" i="39"/>
  <c r="V15" i="39"/>
  <c r="V14" i="39"/>
  <c r="W14" i="39" s="1"/>
  <c r="W13" i="39"/>
  <c r="V13" i="39"/>
  <c r="T12" i="39"/>
  <c r="V12" i="39" s="1"/>
  <c r="W12" i="39" s="1"/>
  <c r="W11" i="39"/>
  <c r="V11" i="39"/>
  <c r="W10" i="39"/>
  <c r="V10" i="39"/>
  <c r="T9" i="39"/>
  <c r="V9" i="39" s="1"/>
  <c r="W9" i="39" s="1"/>
  <c r="W8" i="39"/>
  <c r="V8" i="39"/>
  <c r="T8" i="39"/>
  <c r="V7" i="39"/>
  <c r="W7" i="39" s="1"/>
  <c r="W6" i="39"/>
  <c r="V6" i="39"/>
  <c r="W5" i="39"/>
  <c r="V5" i="39"/>
  <c r="V4" i="39"/>
  <c r="W4" i="39" s="1"/>
  <c r="V3" i="39"/>
  <c r="W3" i="39" s="1"/>
  <c r="W2" i="39"/>
  <c r="V2" i="39"/>
  <c r="Q237" i="72"/>
  <c r="Z233" i="72"/>
  <c r="Z234" i="72" s="1"/>
  <c r="Y233" i="72"/>
  <c r="Y234" i="72" s="1"/>
  <c r="L232" i="72"/>
  <c r="L233" i="72" s="1"/>
  <c r="K232" i="72"/>
  <c r="K233" i="72" s="1"/>
  <c r="J232" i="72"/>
  <c r="J233" i="72" s="1"/>
  <c r="I232" i="72"/>
  <c r="M232" i="72" s="1"/>
  <c r="I233" i="72" s="1"/>
  <c r="AB231" i="72"/>
  <c r="W231" i="72"/>
  <c r="V231" i="72"/>
  <c r="Q235" i="72" s="1"/>
  <c r="U231" i="72"/>
  <c r="Q234" i="72" s="1"/>
  <c r="K231" i="72"/>
  <c r="I231" i="72"/>
  <c r="M231" i="72" s="1"/>
  <c r="K230" i="72" s="1"/>
  <c r="S229" i="72"/>
  <c r="X229" i="72" s="1"/>
  <c r="X231" i="72" s="1"/>
  <c r="Z228" i="72"/>
  <c r="Q228" i="72"/>
  <c r="AK227" i="72"/>
  <c r="AJ227" i="72"/>
  <c r="AK226" i="72"/>
  <c r="AK231" i="72" s="1"/>
  <c r="AJ225" i="72"/>
  <c r="Q224" i="72"/>
  <c r="S224" i="72" s="1"/>
  <c r="P224" i="72"/>
  <c r="Q223" i="72"/>
  <c r="S223" i="72" s="1"/>
  <c r="P223" i="72"/>
  <c r="T222" i="72"/>
  <c r="S222" i="72"/>
  <c r="AI222" i="72" s="1"/>
  <c r="Q222" i="72"/>
  <c r="P222" i="72"/>
  <c r="P221" i="72"/>
  <c r="Q221" i="72" s="1"/>
  <c r="N220" i="72"/>
  <c r="P220" i="72" s="1"/>
  <c r="Q220" i="72" s="1"/>
  <c r="Q219" i="72"/>
  <c r="S219" i="72" s="1"/>
  <c r="P219" i="72"/>
  <c r="Q218" i="72"/>
  <c r="S218" i="72" s="1"/>
  <c r="P218" i="72"/>
  <c r="S217" i="72"/>
  <c r="AE217" i="72" s="1"/>
  <c r="Q217" i="72"/>
  <c r="P217" i="72"/>
  <c r="N217" i="72"/>
  <c r="P216" i="72"/>
  <c r="Q216" i="72" s="1"/>
  <c r="P215" i="72"/>
  <c r="Q215" i="72" s="1"/>
  <c r="Q214" i="72"/>
  <c r="S214" i="72" s="1"/>
  <c r="P214" i="72"/>
  <c r="Q213" i="72"/>
  <c r="S213" i="72" s="1"/>
  <c r="P213" i="72"/>
  <c r="S212" i="72"/>
  <c r="AC212" i="72" s="1"/>
  <c r="AC231" i="72" s="1"/>
  <c r="Q212" i="72"/>
  <c r="P212" i="72"/>
  <c r="Z191" i="72"/>
  <c r="Y191" i="72"/>
  <c r="AA190" i="72"/>
  <c r="L190" i="72"/>
  <c r="L191" i="72" s="1"/>
  <c r="K190" i="72"/>
  <c r="J190" i="72"/>
  <c r="I190" i="72"/>
  <c r="M190" i="72" s="1"/>
  <c r="I191" i="72" s="1"/>
  <c r="AB189" i="72"/>
  <c r="X189" i="72"/>
  <c r="W189" i="72"/>
  <c r="U189" i="72"/>
  <c r="Q192" i="72" s="1"/>
  <c r="L189" i="72"/>
  <c r="K189" i="72"/>
  <c r="J189" i="72"/>
  <c r="I189" i="72"/>
  <c r="X187" i="72"/>
  <c r="S187" i="72"/>
  <c r="Z186" i="72"/>
  <c r="Q186" i="72"/>
  <c r="S186" i="72" s="1"/>
  <c r="AK183" i="72"/>
  <c r="AJ183" i="72"/>
  <c r="P182" i="72"/>
  <c r="Q182" i="72" s="1"/>
  <c r="P181" i="72"/>
  <c r="Q181" i="72" s="1"/>
  <c r="P180" i="72"/>
  <c r="Q180" i="72" s="1"/>
  <c r="P179" i="72"/>
  <c r="Q179" i="72" s="1"/>
  <c r="Q178" i="72"/>
  <c r="S178" i="72" s="1"/>
  <c r="P178" i="72"/>
  <c r="Q177" i="72"/>
  <c r="S177" i="72" s="1"/>
  <c r="P177" i="72"/>
  <c r="S176" i="72"/>
  <c r="AG176" i="72" s="1"/>
  <c r="AG189" i="72" s="1"/>
  <c r="Q176" i="72"/>
  <c r="P176" i="72"/>
  <c r="N176" i="72"/>
  <c r="P175" i="72"/>
  <c r="Q175" i="72" s="1"/>
  <c r="P174" i="72"/>
  <c r="Q174" i="72" s="1"/>
  <c r="Q173" i="72"/>
  <c r="S173" i="72" s="1"/>
  <c r="P173" i="72"/>
  <c r="N173" i="72"/>
  <c r="Q172" i="72"/>
  <c r="S172" i="72" s="1"/>
  <c r="P172" i="72"/>
  <c r="T171" i="72"/>
  <c r="S171" i="72"/>
  <c r="AD171" i="72" s="1"/>
  <c r="Q171" i="72"/>
  <c r="P171" i="72"/>
  <c r="P170" i="72"/>
  <c r="Q170" i="72" s="1"/>
  <c r="P169" i="72"/>
  <c r="Q169" i="72" s="1"/>
  <c r="Q168" i="72"/>
  <c r="P168" i="72"/>
  <c r="Q150" i="72"/>
  <c r="Z149" i="72"/>
  <c r="Y149" i="72"/>
  <c r="AA148" i="72"/>
  <c r="L148" i="72"/>
  <c r="K148" i="72"/>
  <c r="J148" i="72"/>
  <c r="J149" i="72" s="1"/>
  <c r="I148" i="72"/>
  <c r="M148" i="72" s="1"/>
  <c r="AK147" i="72"/>
  <c r="AB147" i="72"/>
  <c r="X147" i="72"/>
  <c r="Q152" i="72" s="1"/>
  <c r="W147" i="72"/>
  <c r="Q153" i="72" s="1"/>
  <c r="U147" i="72"/>
  <c r="K147" i="72"/>
  <c r="I147" i="72"/>
  <c r="M147" i="72" s="1"/>
  <c r="X145" i="72"/>
  <c r="S145" i="72"/>
  <c r="W144" i="72"/>
  <c r="AK140" i="72"/>
  <c r="AJ140" i="72"/>
  <c r="Q139" i="72"/>
  <c r="S139" i="72" s="1"/>
  <c r="P139" i="72"/>
  <c r="Q138" i="72"/>
  <c r="S138" i="72" s="1"/>
  <c r="P138" i="72"/>
  <c r="T137" i="72"/>
  <c r="S137" i="72"/>
  <c r="AI137" i="72" s="1"/>
  <c r="Q137" i="72"/>
  <c r="P137" i="72"/>
  <c r="P136" i="72"/>
  <c r="Q136" i="72" s="1"/>
  <c r="P135" i="72"/>
  <c r="Q135" i="72" s="1"/>
  <c r="P134" i="72"/>
  <c r="Q134" i="72" s="1"/>
  <c r="N134" i="72"/>
  <c r="Q133" i="72"/>
  <c r="S133" i="72" s="1"/>
  <c r="P133" i="72"/>
  <c r="S132" i="72"/>
  <c r="AF132" i="72" s="1"/>
  <c r="Q132" i="72"/>
  <c r="P132" i="72"/>
  <c r="N131" i="72"/>
  <c r="P131" i="72" s="1"/>
  <c r="Q131" i="72" s="1"/>
  <c r="N130" i="72"/>
  <c r="P130" i="72" s="1"/>
  <c r="Q130" i="72" s="1"/>
  <c r="Q129" i="72"/>
  <c r="S129" i="72" s="1"/>
  <c r="P129" i="72"/>
  <c r="Q128" i="72"/>
  <c r="S128" i="72" s="1"/>
  <c r="P128" i="72"/>
  <c r="T127" i="72"/>
  <c r="S127" i="72"/>
  <c r="AD127" i="72" s="1"/>
  <c r="Q127" i="72"/>
  <c r="P127" i="72"/>
  <c r="P126" i="72"/>
  <c r="Q126" i="72" s="1"/>
  <c r="P125" i="72"/>
  <c r="Q125" i="72" s="1"/>
  <c r="Q102" i="72"/>
  <c r="Z101" i="72"/>
  <c r="Y101" i="72"/>
  <c r="Y102" i="72" s="1"/>
  <c r="M100" i="72"/>
  <c r="L101" i="72" s="1"/>
  <c r="L100" i="72"/>
  <c r="K100" i="72"/>
  <c r="J100" i="72"/>
  <c r="I100" i="72"/>
  <c r="U99" i="72"/>
  <c r="M99" i="72"/>
  <c r="J98" i="72" s="1"/>
  <c r="L99" i="72"/>
  <c r="L98" i="72" s="1"/>
  <c r="K99" i="72"/>
  <c r="K98" i="72" s="1"/>
  <c r="J99" i="72"/>
  <c r="I99" i="72"/>
  <c r="I98" i="72" s="1"/>
  <c r="S97" i="72"/>
  <c r="X97" i="72" s="1"/>
  <c r="X99" i="72" s="1"/>
  <c r="Z96" i="72"/>
  <c r="W96" i="72"/>
  <c r="W99" i="72" s="1"/>
  <c r="S96" i="72"/>
  <c r="Q96" i="72"/>
  <c r="P92" i="72"/>
  <c r="Q92" i="72" s="1"/>
  <c r="P91" i="72"/>
  <c r="Q91" i="72" s="1"/>
  <c r="Q90" i="72"/>
  <c r="S90" i="72" s="1"/>
  <c r="P90" i="72"/>
  <c r="Q89" i="72"/>
  <c r="S89" i="72" s="1"/>
  <c r="P89" i="72"/>
  <c r="T88" i="72"/>
  <c r="S88" i="72"/>
  <c r="AI88" i="72" s="1"/>
  <c r="Q88" i="72"/>
  <c r="P88" i="72"/>
  <c r="P87" i="72"/>
  <c r="Q87" i="72" s="1"/>
  <c r="P86" i="72"/>
  <c r="Q86" i="72" s="1"/>
  <c r="N86" i="72"/>
  <c r="Q85" i="72"/>
  <c r="S85" i="72" s="1"/>
  <c r="P85" i="72"/>
  <c r="Q84" i="72"/>
  <c r="S84" i="72" s="1"/>
  <c r="P84" i="72"/>
  <c r="S83" i="72"/>
  <c r="AE83" i="72" s="1"/>
  <c r="Q83" i="72"/>
  <c r="P83" i="72"/>
  <c r="N83" i="72"/>
  <c r="P82" i="72"/>
  <c r="Q82" i="72" s="1"/>
  <c r="AD81" i="72"/>
  <c r="Y81" i="72"/>
  <c r="T81" i="72"/>
  <c r="S81" i="72"/>
  <c r="Q81" i="72"/>
  <c r="P81" i="72"/>
  <c r="Q80" i="72"/>
  <c r="P80" i="72"/>
  <c r="Q79" i="72"/>
  <c r="S79" i="72" s="1"/>
  <c r="P79" i="72"/>
  <c r="S78" i="72"/>
  <c r="T78" i="72" s="1"/>
  <c r="Q78" i="72"/>
  <c r="P78" i="72"/>
  <c r="P77" i="72"/>
  <c r="Q77" i="72" s="1"/>
  <c r="Z61" i="72"/>
  <c r="Z62" i="72" s="1"/>
  <c r="Y61" i="72"/>
  <c r="Y62" i="72" s="1"/>
  <c r="L60" i="72"/>
  <c r="L61" i="72" s="1"/>
  <c r="H103" i="39" s="1"/>
  <c r="K60" i="72"/>
  <c r="J60" i="72"/>
  <c r="I60" i="72"/>
  <c r="M60" i="72" s="1"/>
  <c r="I61" i="72" s="1"/>
  <c r="E103" i="39" s="1"/>
  <c r="AK59" i="72"/>
  <c r="U59" i="72"/>
  <c r="Q62" i="72" s="1"/>
  <c r="K59" i="72"/>
  <c r="I59" i="72"/>
  <c r="M59" i="72" s="1"/>
  <c r="K58" i="72" s="1"/>
  <c r="G94" i="39" s="1"/>
  <c r="S57" i="72"/>
  <c r="X57" i="72" s="1"/>
  <c r="X59" i="72" s="1"/>
  <c r="W56" i="72"/>
  <c r="W59" i="72" s="1"/>
  <c r="S56" i="72"/>
  <c r="Q51" i="72"/>
  <c r="S51" i="72" s="1"/>
  <c r="P51" i="72"/>
  <c r="T50" i="72"/>
  <c r="S50" i="72"/>
  <c r="AJ50" i="72" s="1"/>
  <c r="Q50" i="72"/>
  <c r="P50" i="72"/>
  <c r="P49" i="72"/>
  <c r="Q49" i="72" s="1"/>
  <c r="P48" i="72"/>
  <c r="Q48" i="72" s="1"/>
  <c r="Q47" i="72"/>
  <c r="S47" i="72" s="1"/>
  <c r="P47" i="72"/>
  <c r="P46" i="72"/>
  <c r="Q46" i="72" s="1"/>
  <c r="N46" i="72"/>
  <c r="S45" i="72"/>
  <c r="AF45" i="72" s="1"/>
  <c r="Q45" i="72"/>
  <c r="P45" i="72"/>
  <c r="P44" i="72"/>
  <c r="Q44" i="72" s="1"/>
  <c r="N43" i="72"/>
  <c r="P43" i="72" s="1"/>
  <c r="Q43" i="72" s="1"/>
  <c r="Q42" i="72"/>
  <c r="S42" i="72" s="1"/>
  <c r="P42" i="72"/>
  <c r="N42" i="72"/>
  <c r="Q41" i="72"/>
  <c r="S41" i="72" s="1"/>
  <c r="P41" i="72"/>
  <c r="T40" i="72"/>
  <c r="S40" i="72"/>
  <c r="AD40" i="72" s="1"/>
  <c r="Q40" i="72"/>
  <c r="P40" i="72"/>
  <c r="P39" i="72"/>
  <c r="Q39" i="72" s="1"/>
  <c r="P38" i="72"/>
  <c r="Q38" i="72" s="1"/>
  <c r="Q37" i="72"/>
  <c r="S37" i="72" s="1"/>
  <c r="P37" i="72"/>
  <c r="Q36" i="72"/>
  <c r="P36" i="72"/>
  <c r="Q64" i="72" l="1"/>
  <c r="S87" i="72"/>
  <c r="S134" i="72"/>
  <c r="S220" i="72"/>
  <c r="AC92" i="73"/>
  <c r="Z92" i="73"/>
  <c r="Z99" i="73" s="1"/>
  <c r="U92" i="73"/>
  <c r="AE42" i="72"/>
  <c r="Y42" i="72"/>
  <c r="T42" i="72"/>
  <c r="AJ90" i="72"/>
  <c r="Z90" i="72"/>
  <c r="T90" i="72"/>
  <c r="Z138" i="72"/>
  <c r="T138" i="72"/>
  <c r="AJ138" i="72"/>
  <c r="Q189" i="72"/>
  <c r="AH47" i="72"/>
  <c r="AH59" i="72" s="1"/>
  <c r="Z47" i="72"/>
  <c r="T47" i="72"/>
  <c r="S82" i="72"/>
  <c r="Q105" i="72"/>
  <c r="Y128" i="72"/>
  <c r="T128" i="72"/>
  <c r="AD128" i="72"/>
  <c r="S135" i="72"/>
  <c r="J191" i="72"/>
  <c r="AD214" i="72"/>
  <c r="Y214" i="72"/>
  <c r="T214" i="72"/>
  <c r="S221" i="72"/>
  <c r="AC61" i="73"/>
  <c r="AC70" i="73" s="1"/>
  <c r="V61" i="73"/>
  <c r="V70" i="73" s="1"/>
  <c r="Z61" i="73"/>
  <c r="T155" i="73"/>
  <c r="T79" i="72"/>
  <c r="AD79" i="72"/>
  <c r="Z79" i="72"/>
  <c r="Z41" i="72"/>
  <c r="T41" i="72"/>
  <c r="AE41" i="72"/>
  <c r="S48" i="72"/>
  <c r="S136" i="72"/>
  <c r="K191" i="72"/>
  <c r="S215" i="72"/>
  <c r="Y150" i="72"/>
  <c r="K146" i="72"/>
  <c r="I146" i="72"/>
  <c r="T36" i="73"/>
  <c r="S36" i="73"/>
  <c r="R36" i="73"/>
  <c r="W124" i="73"/>
  <c r="AC124" i="73"/>
  <c r="Q48" i="74"/>
  <c r="Q104" i="72"/>
  <c r="Z172" i="72"/>
  <c r="T172" i="72"/>
  <c r="AE172" i="72"/>
  <c r="S131" i="72"/>
  <c r="R131" i="72"/>
  <c r="Z150" i="72"/>
  <c r="AI178" i="72"/>
  <c r="Z178" i="72"/>
  <c r="T178" i="72"/>
  <c r="AD63" i="73"/>
  <c r="AD70" i="73" s="1"/>
  <c r="W63" i="73"/>
  <c r="W70" i="73" s="1"/>
  <c r="Q236" i="72"/>
  <c r="X232" i="72"/>
  <c r="AC37" i="72"/>
  <c r="AC59" i="72" s="1"/>
  <c r="Z37" i="72"/>
  <c r="T37" i="72"/>
  <c r="S38" i="72"/>
  <c r="S44" i="72"/>
  <c r="AJ59" i="72"/>
  <c r="J61" i="72"/>
  <c r="F103" i="39" s="1"/>
  <c r="Y89" i="72"/>
  <c r="T89" i="72"/>
  <c r="AI89" i="72"/>
  <c r="AI99" i="72" s="1"/>
  <c r="Q147" i="72"/>
  <c r="R134" i="72" s="1"/>
  <c r="S125" i="72"/>
  <c r="S179" i="72"/>
  <c r="R179" i="72"/>
  <c r="AC37" i="73"/>
  <c r="Z37" i="73"/>
  <c r="V37" i="73"/>
  <c r="V43" i="73" s="1"/>
  <c r="Z46" i="73"/>
  <c r="S43" i="72"/>
  <c r="S39" i="72"/>
  <c r="K61" i="72"/>
  <c r="G103" i="39" s="1"/>
  <c r="T84" i="72"/>
  <c r="AF84" i="72"/>
  <c r="Z84" i="72"/>
  <c r="S126" i="72"/>
  <c r="R126" i="72"/>
  <c r="AE173" i="72"/>
  <c r="Y173" i="72"/>
  <c r="T173" i="72"/>
  <c r="S180" i="72"/>
  <c r="R180" i="72"/>
  <c r="Y223" i="72"/>
  <c r="T223" i="72"/>
  <c r="AI223" i="72"/>
  <c r="T38" i="73"/>
  <c r="S38" i="73"/>
  <c r="AA46" i="73"/>
  <c r="S216" i="72"/>
  <c r="V93" i="73"/>
  <c r="V99" i="73" s="1"/>
  <c r="AC93" i="73"/>
  <c r="Z93" i="73"/>
  <c r="Q70" i="73"/>
  <c r="T59" i="73"/>
  <c r="S59" i="73"/>
  <c r="R59" i="73"/>
  <c r="Q104" i="73"/>
  <c r="R174" i="72"/>
  <c r="S174" i="72"/>
  <c r="Z51" i="72"/>
  <c r="V51" i="72"/>
  <c r="V59" i="72" s="1"/>
  <c r="AJ51" i="72"/>
  <c r="AF85" i="72"/>
  <c r="Y85" i="72"/>
  <c r="T85" i="72"/>
  <c r="S91" i="72"/>
  <c r="R91" i="72"/>
  <c r="R169" i="72"/>
  <c r="S169" i="72"/>
  <c r="S175" i="72"/>
  <c r="R175" i="72"/>
  <c r="S182" i="72"/>
  <c r="R182" i="72"/>
  <c r="T218" i="72"/>
  <c r="AF218" i="72"/>
  <c r="AF231" i="72" s="1"/>
  <c r="Z218" i="72"/>
  <c r="AJ224" i="72"/>
  <c r="AJ231" i="72" s="1"/>
  <c r="Z224" i="72"/>
  <c r="T224" i="72"/>
  <c r="Q49" i="73"/>
  <c r="AA122" i="73"/>
  <c r="AC122" i="73"/>
  <c r="U122" i="73"/>
  <c r="AA133" i="73"/>
  <c r="Z133" i="73"/>
  <c r="S49" i="72"/>
  <c r="Z177" i="72"/>
  <c r="T177" i="72"/>
  <c r="AH177" i="72"/>
  <c r="AH189" i="72" s="1"/>
  <c r="Q43" i="73"/>
  <c r="R35" i="73"/>
  <c r="T35" i="73"/>
  <c r="S35" i="73"/>
  <c r="AI231" i="72"/>
  <c r="S181" i="72"/>
  <c r="R181" i="72"/>
  <c r="S170" i="72"/>
  <c r="R170" i="72"/>
  <c r="Q76" i="73"/>
  <c r="T91" i="73"/>
  <c r="R91" i="73"/>
  <c r="Q99" i="73"/>
  <c r="Q59" i="72"/>
  <c r="AE129" i="72"/>
  <c r="Z129" i="72"/>
  <c r="T129" i="72"/>
  <c r="R130" i="72"/>
  <c r="S130" i="72"/>
  <c r="Q231" i="72"/>
  <c r="R215" i="72" s="1"/>
  <c r="S92" i="72"/>
  <c r="T133" i="72"/>
  <c r="AF133" i="72"/>
  <c r="AF147" i="72" s="1"/>
  <c r="Y133" i="72"/>
  <c r="AJ139" i="72"/>
  <c r="Z139" i="72"/>
  <c r="V139" i="72"/>
  <c r="V147" i="72" s="1"/>
  <c r="S46" i="72"/>
  <c r="Q65" i="72"/>
  <c r="S77" i="72"/>
  <c r="R77" i="72"/>
  <c r="Q99" i="72"/>
  <c r="R96" i="72" s="1"/>
  <c r="S86" i="72"/>
  <c r="R86" i="72"/>
  <c r="L149" i="72"/>
  <c r="K149" i="72"/>
  <c r="T213" i="72"/>
  <c r="AD213" i="72"/>
  <c r="Z213" i="72"/>
  <c r="AF219" i="72"/>
  <c r="Y219" i="72"/>
  <c r="T219" i="72"/>
  <c r="Q48" i="73"/>
  <c r="T119" i="73"/>
  <c r="S119" i="73"/>
  <c r="Q130" i="73"/>
  <c r="R119" i="73"/>
  <c r="Q170" i="73"/>
  <c r="T61" i="74"/>
  <c r="R61" i="74"/>
  <c r="R156" i="76"/>
  <c r="T156" i="76"/>
  <c r="S156" i="76"/>
  <c r="I101" i="72"/>
  <c r="Z102" i="72"/>
  <c r="T121" i="73"/>
  <c r="S121" i="73"/>
  <c r="T154" i="73"/>
  <c r="R154" i="73"/>
  <c r="Q137" i="74"/>
  <c r="T125" i="74"/>
  <c r="S125" i="74"/>
  <c r="R125" i="74"/>
  <c r="T39" i="75"/>
  <c r="R39" i="75"/>
  <c r="Q54" i="75"/>
  <c r="T113" i="75"/>
  <c r="R113" i="75"/>
  <c r="Q128" i="75"/>
  <c r="Q43" i="76"/>
  <c r="T34" i="76"/>
  <c r="S34" i="76"/>
  <c r="R34" i="76"/>
  <c r="T59" i="76"/>
  <c r="R59" i="76"/>
  <c r="Q71" i="76"/>
  <c r="T64" i="76"/>
  <c r="R95" i="76"/>
  <c r="T95" i="76"/>
  <c r="Q108" i="76"/>
  <c r="Q170" i="76"/>
  <c r="T39" i="77"/>
  <c r="R39" i="77"/>
  <c r="T96" i="77"/>
  <c r="Q105" i="77"/>
  <c r="S96" i="77"/>
  <c r="R96" i="77"/>
  <c r="S64" i="79"/>
  <c r="R64" i="79"/>
  <c r="T118" i="75"/>
  <c r="T96" i="76"/>
  <c r="U63" i="77"/>
  <c r="AB63" i="77"/>
  <c r="Z63" i="77"/>
  <c r="J101" i="72"/>
  <c r="S231" i="72"/>
  <c r="U232" i="72"/>
  <c r="Q49" i="74"/>
  <c r="Q110" i="74"/>
  <c r="T126" i="74"/>
  <c r="S126" i="74"/>
  <c r="R126" i="74"/>
  <c r="AC164" i="74"/>
  <c r="Z164" i="74"/>
  <c r="U164" i="74"/>
  <c r="Q85" i="75"/>
  <c r="T67" i="75"/>
  <c r="R67" i="75"/>
  <c r="X159" i="75"/>
  <c r="AA156" i="75"/>
  <c r="T189" i="75"/>
  <c r="I102" i="76"/>
  <c r="T155" i="76"/>
  <c r="Q173" i="77"/>
  <c r="AD157" i="73"/>
  <c r="AD164" i="73" s="1"/>
  <c r="AD173" i="73" s="1"/>
  <c r="W157" i="73"/>
  <c r="W164" i="73" s="1"/>
  <c r="K101" i="72"/>
  <c r="S60" i="73"/>
  <c r="R60" i="73"/>
  <c r="Q77" i="74"/>
  <c r="Z75" i="74"/>
  <c r="AH43" i="75"/>
  <c r="AA43" i="75"/>
  <c r="U43" i="75"/>
  <c r="T71" i="75"/>
  <c r="Q90" i="75"/>
  <c r="AH117" i="75"/>
  <c r="AA117" i="75"/>
  <c r="U117" i="75"/>
  <c r="T141" i="75"/>
  <c r="R141" i="75"/>
  <c r="I161" i="75"/>
  <c r="AC182" i="75"/>
  <c r="Z182" i="75"/>
  <c r="U182" i="75"/>
  <c r="X195" i="75"/>
  <c r="AA192" i="75"/>
  <c r="T60" i="76"/>
  <c r="R60" i="76"/>
  <c r="AG65" i="76"/>
  <c r="AG71" i="76" s="1"/>
  <c r="Z65" i="76"/>
  <c r="W65" i="76"/>
  <c r="W71" i="76" s="1"/>
  <c r="T119" i="76"/>
  <c r="Q131" i="76"/>
  <c r="T157" i="77"/>
  <c r="R157" i="77"/>
  <c r="Q138" i="78"/>
  <c r="K168" i="78"/>
  <c r="Y40" i="72"/>
  <c r="T45" i="72"/>
  <c r="Z50" i="72"/>
  <c r="T83" i="72"/>
  <c r="R85" i="72"/>
  <c r="Z88" i="72"/>
  <c r="Y127" i="72"/>
  <c r="T132" i="72"/>
  <c r="Y137" i="72"/>
  <c r="R168" i="72"/>
  <c r="Y171" i="72"/>
  <c r="R173" i="72"/>
  <c r="T176" i="72"/>
  <c r="T212" i="72"/>
  <c r="R214" i="72"/>
  <c r="T217" i="72"/>
  <c r="Z222" i="72"/>
  <c r="U60" i="73"/>
  <c r="U62" i="73"/>
  <c r="S92" i="73"/>
  <c r="S94" i="73"/>
  <c r="S122" i="73"/>
  <c r="Q164" i="73"/>
  <c r="AA36" i="74"/>
  <c r="T59" i="74"/>
  <c r="K71" i="74"/>
  <c r="T100" i="74"/>
  <c r="S100" i="74"/>
  <c r="R100" i="74"/>
  <c r="S128" i="74"/>
  <c r="Y170" i="74"/>
  <c r="S122" i="75"/>
  <c r="T146" i="75"/>
  <c r="R146" i="75"/>
  <c r="T36" i="76"/>
  <c r="S36" i="76"/>
  <c r="Q47" i="76"/>
  <c r="T120" i="76"/>
  <c r="S120" i="76"/>
  <c r="R120" i="76"/>
  <c r="AC98" i="78"/>
  <c r="AC103" i="78" s="1"/>
  <c r="Z98" i="78"/>
  <c r="U98" i="78"/>
  <c r="AA94" i="73"/>
  <c r="U94" i="73"/>
  <c r="T183" i="75"/>
  <c r="Y45" i="72"/>
  <c r="Z78" i="72"/>
  <c r="S80" i="72"/>
  <c r="Y83" i="72"/>
  <c r="Z132" i="72"/>
  <c r="I149" i="72"/>
  <c r="S168" i="72"/>
  <c r="M189" i="72"/>
  <c r="Z212" i="72"/>
  <c r="Y217" i="72"/>
  <c r="Z60" i="73"/>
  <c r="Z70" i="73" s="1"/>
  <c r="AA62" i="73"/>
  <c r="AC94" i="73"/>
  <c r="T34" i="74"/>
  <c r="R34" i="74"/>
  <c r="Q43" i="74"/>
  <c r="AC36" i="74"/>
  <c r="Q72" i="74"/>
  <c r="Q78" i="74"/>
  <c r="Q111" i="74"/>
  <c r="T128" i="74"/>
  <c r="AB160" i="74"/>
  <c r="AA160" i="74"/>
  <c r="U160" i="74"/>
  <c r="X51" i="75"/>
  <c r="AA48" i="75"/>
  <c r="X125" i="75"/>
  <c r="AA122" i="75"/>
  <c r="T184" i="75"/>
  <c r="S184" i="75"/>
  <c r="R184" i="75"/>
  <c r="T61" i="76"/>
  <c r="Q76" i="76"/>
  <c r="R97" i="76"/>
  <c r="S97" i="76"/>
  <c r="AG125" i="76"/>
  <c r="AG131" i="76" s="1"/>
  <c r="W125" i="76"/>
  <c r="W131" i="76" s="1"/>
  <c r="Z125" i="76"/>
  <c r="S36" i="79"/>
  <c r="Q47" i="79"/>
  <c r="AD67" i="79"/>
  <c r="AD75" i="79" s="1"/>
  <c r="Z67" i="79"/>
  <c r="T67" i="79"/>
  <c r="T44" i="75"/>
  <c r="T145" i="75"/>
  <c r="Q200" i="75"/>
  <c r="T35" i="76"/>
  <c r="S35" i="76"/>
  <c r="R35" i="76"/>
  <c r="I58" i="72"/>
  <c r="E94" i="39" s="1"/>
  <c r="AC78" i="72"/>
  <c r="AC99" i="72" s="1"/>
  <c r="Q194" i="72"/>
  <c r="I230" i="72"/>
  <c r="K42" i="74"/>
  <c r="AC63" i="74"/>
  <c r="AA63" i="74"/>
  <c r="U63" i="74"/>
  <c r="T96" i="74"/>
  <c r="S96" i="74"/>
  <c r="R96" i="74"/>
  <c r="Q105" i="74"/>
  <c r="T129" i="74"/>
  <c r="S129" i="74"/>
  <c r="R129" i="74"/>
  <c r="Q143" i="74"/>
  <c r="T161" i="74"/>
  <c r="T169" i="74" s="1"/>
  <c r="R161" i="74"/>
  <c r="K168" i="74"/>
  <c r="AF73" i="75"/>
  <c r="AF85" i="75" s="1"/>
  <c r="Z73" i="75"/>
  <c r="U73" i="75"/>
  <c r="AH77" i="75"/>
  <c r="AA77" i="75"/>
  <c r="U77" i="75"/>
  <c r="L84" i="75"/>
  <c r="T185" i="75"/>
  <c r="S185" i="75"/>
  <c r="R62" i="76"/>
  <c r="T62" i="76"/>
  <c r="T97" i="76"/>
  <c r="T121" i="76"/>
  <c r="S121" i="76"/>
  <c r="T37" i="77"/>
  <c r="R37" i="77"/>
  <c r="T127" i="77"/>
  <c r="T155" i="78"/>
  <c r="R155" i="78"/>
  <c r="Q65" i="80"/>
  <c r="R161" i="81"/>
  <c r="T72" i="75"/>
  <c r="R72" i="75"/>
  <c r="AA60" i="72"/>
  <c r="AA232" i="72"/>
  <c r="Z167" i="73"/>
  <c r="T97" i="74"/>
  <c r="S97" i="74"/>
  <c r="R97" i="74"/>
  <c r="T130" i="74"/>
  <c r="S130" i="74"/>
  <c r="R130" i="74"/>
  <c r="I139" i="74"/>
  <c r="Z172" i="74"/>
  <c r="AA172" i="74"/>
  <c r="AC36" i="75"/>
  <c r="AC51" i="75" s="1"/>
  <c r="Z36" i="75"/>
  <c r="U36" i="75"/>
  <c r="AC37" i="75"/>
  <c r="T74" i="75"/>
  <c r="AC110" i="75"/>
  <c r="Z110" i="75"/>
  <c r="U110" i="75"/>
  <c r="AF147" i="75"/>
  <c r="AF159" i="75" s="1"/>
  <c r="Z147" i="75"/>
  <c r="U147" i="75"/>
  <c r="AH151" i="75"/>
  <c r="AA151" i="75"/>
  <c r="U151" i="75"/>
  <c r="T37" i="76"/>
  <c r="S37" i="76"/>
  <c r="R37" i="76"/>
  <c r="Q137" i="76"/>
  <c r="T127" i="74"/>
  <c r="S127" i="74"/>
  <c r="R127" i="74"/>
  <c r="T129" i="97"/>
  <c r="Q195" i="72"/>
  <c r="AA167" i="73"/>
  <c r="Q174" i="74"/>
  <c r="T37" i="75"/>
  <c r="R37" i="75"/>
  <c r="Q56" i="75"/>
  <c r="T111" i="75"/>
  <c r="R111" i="75"/>
  <c r="Q130" i="75"/>
  <c r="T148" i="75"/>
  <c r="T186" i="75"/>
  <c r="T38" i="76"/>
  <c r="S38" i="76"/>
  <c r="R38" i="76"/>
  <c r="T98" i="76"/>
  <c r="R98" i="76"/>
  <c r="T122" i="76"/>
  <c r="R122" i="76"/>
  <c r="S122" i="76"/>
  <c r="R90" i="81"/>
  <c r="Q77" i="76"/>
  <c r="R79" i="72"/>
  <c r="R84" i="72"/>
  <c r="R133" i="72"/>
  <c r="R213" i="72"/>
  <c r="S61" i="73"/>
  <c r="S63" i="73"/>
  <c r="AA73" i="73"/>
  <c r="S93" i="73"/>
  <c r="S123" i="73"/>
  <c r="T156" i="73"/>
  <c r="AC37" i="74"/>
  <c r="J74" i="74"/>
  <c r="AC98" i="74"/>
  <c r="AA98" i="74"/>
  <c r="Z108" i="74"/>
  <c r="K104" i="74"/>
  <c r="AA108" i="74"/>
  <c r="AC162" i="74"/>
  <c r="AA162" i="74"/>
  <c r="U162" i="74"/>
  <c r="AC69" i="75"/>
  <c r="Z69" i="75"/>
  <c r="U69" i="75"/>
  <c r="AH78" i="75"/>
  <c r="Z78" i="75"/>
  <c r="U78" i="75"/>
  <c r="Q49" i="76"/>
  <c r="T63" i="76"/>
  <c r="R63" i="76"/>
  <c r="Q103" i="76"/>
  <c r="S95" i="76" s="1"/>
  <c r="T94" i="76"/>
  <c r="S94" i="76"/>
  <c r="Q109" i="76"/>
  <c r="S36" i="72"/>
  <c r="T35" i="74"/>
  <c r="S35" i="74"/>
  <c r="AC38" i="74"/>
  <c r="Z38" i="74"/>
  <c r="Z43" i="74" s="1"/>
  <c r="U38" i="74"/>
  <c r="T64" i="74"/>
  <c r="T163" i="74"/>
  <c r="S163" i="74"/>
  <c r="R163" i="74"/>
  <c r="T79" i="75"/>
  <c r="AC143" i="75"/>
  <c r="Z143" i="75"/>
  <c r="U143" i="75"/>
  <c r="AH152" i="75"/>
  <c r="Z152" i="75"/>
  <c r="U152" i="75"/>
  <c r="Q159" i="75"/>
  <c r="S141" i="75" s="1"/>
  <c r="T187" i="75"/>
  <c r="M196" i="75"/>
  <c r="J197" i="75" s="1"/>
  <c r="Q48" i="76"/>
  <c r="R94" i="76"/>
  <c r="Z106" i="76"/>
  <c r="Q136" i="76"/>
  <c r="T159" i="76"/>
  <c r="S159" i="76"/>
  <c r="Z62" i="78"/>
  <c r="U62" i="78"/>
  <c r="AB62" i="78"/>
  <c r="Q172" i="78"/>
  <c r="T91" i="80"/>
  <c r="AA100" i="72"/>
  <c r="W130" i="73"/>
  <c r="Q169" i="73"/>
  <c r="R35" i="74"/>
  <c r="R38" i="74"/>
  <c r="Z46" i="74"/>
  <c r="T65" i="74"/>
  <c r="S65" i="74"/>
  <c r="R65" i="74"/>
  <c r="Q142" i="74"/>
  <c r="Q51" i="75"/>
  <c r="S72" i="75" s="1"/>
  <c r="AA38" i="75"/>
  <c r="U38" i="75"/>
  <c r="AG42" i="75"/>
  <c r="AG51" i="75" s="1"/>
  <c r="Z42" i="75"/>
  <c r="U42" i="75"/>
  <c r="Q125" i="75"/>
  <c r="AD112" i="75"/>
  <c r="AD125" i="75" s="1"/>
  <c r="AA112" i="75"/>
  <c r="U112" i="75"/>
  <c r="AG116" i="75"/>
  <c r="AG125" i="75" s="1"/>
  <c r="Z116" i="75"/>
  <c r="U116" i="75"/>
  <c r="T153" i="75"/>
  <c r="Q195" i="75"/>
  <c r="S183" i="75" s="1"/>
  <c r="T181" i="75"/>
  <c r="S181" i="75"/>
  <c r="R181" i="75"/>
  <c r="T188" i="75"/>
  <c r="S188" i="75"/>
  <c r="T123" i="76"/>
  <c r="S123" i="76"/>
  <c r="R123" i="76"/>
  <c r="T124" i="77"/>
  <c r="R124" i="77"/>
  <c r="Q140" i="77"/>
  <c r="K169" i="77"/>
  <c r="Q50" i="78"/>
  <c r="S102" i="79"/>
  <c r="S127" i="79"/>
  <c r="Z54" i="75"/>
  <c r="S158" i="76"/>
  <c r="J167" i="76"/>
  <c r="Q76" i="77"/>
  <c r="T126" i="77"/>
  <c r="T160" i="77"/>
  <c r="S160" i="77"/>
  <c r="Q172" i="77"/>
  <c r="M133" i="78"/>
  <c r="Q166" i="78"/>
  <c r="T154" i="78"/>
  <c r="S154" i="78"/>
  <c r="AD41" i="79"/>
  <c r="AD47" i="79" s="1"/>
  <c r="Y41" i="79"/>
  <c r="T41" i="79"/>
  <c r="S66" i="79"/>
  <c r="R66" i="79"/>
  <c r="T81" i="80"/>
  <c r="Q193" i="81"/>
  <c r="R193" i="81" s="1"/>
  <c r="AB60" i="74"/>
  <c r="T62" i="74"/>
  <c r="S98" i="74"/>
  <c r="AC99" i="74"/>
  <c r="Q108" i="74"/>
  <c r="M138" i="74"/>
  <c r="J139" i="74" s="1"/>
  <c r="R164" i="74"/>
  <c r="T70" i="75"/>
  <c r="M85" i="75"/>
  <c r="T144" i="75"/>
  <c r="T158" i="76"/>
  <c r="AB38" i="77"/>
  <c r="Z38" i="77"/>
  <c r="T66" i="77"/>
  <c r="R126" i="77"/>
  <c r="T161" i="77"/>
  <c r="M168" i="77"/>
  <c r="J169" i="77" s="1"/>
  <c r="R154" i="78"/>
  <c r="T158" i="78"/>
  <c r="S158" i="78"/>
  <c r="Z169" i="78"/>
  <c r="R41" i="79"/>
  <c r="Q106" i="76"/>
  <c r="S125" i="76"/>
  <c r="R100" i="77"/>
  <c r="T100" i="77"/>
  <c r="S100" i="77"/>
  <c r="T123" i="77"/>
  <c r="Q135" i="77"/>
  <c r="S126" i="77" s="1"/>
  <c r="R62" i="78"/>
  <c r="AB122" i="78"/>
  <c r="Z122" i="78"/>
  <c r="S37" i="79"/>
  <c r="R37" i="79"/>
  <c r="S42" i="79"/>
  <c r="R42" i="79"/>
  <c r="Q75" i="79"/>
  <c r="R67" i="79"/>
  <c r="R79" i="79"/>
  <c r="AB100" i="79"/>
  <c r="Y100" i="79"/>
  <c r="T100" i="79"/>
  <c r="S129" i="79"/>
  <c r="AF216" i="80"/>
  <c r="AF228" i="80" s="1"/>
  <c r="AA216" i="80"/>
  <c r="W216" i="80"/>
  <c r="Q169" i="74"/>
  <c r="Z40" i="75"/>
  <c r="AA75" i="75"/>
  <c r="Z114" i="75"/>
  <c r="AA149" i="75"/>
  <c r="Q46" i="76"/>
  <c r="AB35" i="77"/>
  <c r="AA35" i="77"/>
  <c r="U35" i="77"/>
  <c r="Q49" i="77"/>
  <c r="AD67" i="77"/>
  <c r="AD73" i="77" s="1"/>
  <c r="Z67" i="77"/>
  <c r="L169" i="77"/>
  <c r="AC38" i="78"/>
  <c r="AC44" i="78" s="1"/>
  <c r="Z38" i="78"/>
  <c r="U38" i="78"/>
  <c r="AB63" i="78"/>
  <c r="Z63" i="78"/>
  <c r="U63" i="78"/>
  <c r="T123" i="78"/>
  <c r="S123" i="78"/>
  <c r="S159" i="78"/>
  <c r="S62" i="79"/>
  <c r="Y101" i="79"/>
  <c r="T101" i="79"/>
  <c r="AC101" i="79" s="1"/>
  <c r="Q168" i="79"/>
  <c r="S158" i="79"/>
  <c r="R158" i="79"/>
  <c r="W38" i="80"/>
  <c r="AD38" i="80"/>
  <c r="T128" i="80"/>
  <c r="T171" i="80"/>
  <c r="AD43" i="81"/>
  <c r="Y43" i="81"/>
  <c r="U43" i="81"/>
  <c r="T34" i="75"/>
  <c r="T108" i="75"/>
  <c r="I73" i="76"/>
  <c r="U60" i="77"/>
  <c r="AB60" i="77"/>
  <c r="AA60" i="77"/>
  <c r="W67" i="77"/>
  <c r="T128" i="77"/>
  <c r="R35" i="78"/>
  <c r="R63" i="78"/>
  <c r="Q79" i="78"/>
  <c r="T99" i="78"/>
  <c r="S99" i="78"/>
  <c r="R123" i="78"/>
  <c r="Q132" i="78"/>
  <c r="S125" i="78" s="1"/>
  <c r="T159" i="78"/>
  <c r="S38" i="79"/>
  <c r="R38" i="79"/>
  <c r="S68" i="79"/>
  <c r="R68" i="79"/>
  <c r="J77" i="79"/>
  <c r="Q111" i="79"/>
  <c r="R100" i="79" s="1"/>
  <c r="AD130" i="79"/>
  <c r="AD138" i="79" s="1"/>
  <c r="Z130" i="79"/>
  <c r="S159" i="79"/>
  <c r="S40" i="80"/>
  <c r="R77" i="80"/>
  <c r="T77" i="80"/>
  <c r="R76" i="80"/>
  <c r="T129" i="80"/>
  <c r="M132" i="84"/>
  <c r="J133" i="84"/>
  <c r="R37" i="74"/>
  <c r="R160" i="74"/>
  <c r="R36" i="75"/>
  <c r="R110" i="75"/>
  <c r="S157" i="76"/>
  <c r="T36" i="77"/>
  <c r="T64" i="77"/>
  <c r="R97" i="77"/>
  <c r="T97" i="77"/>
  <c r="S97" i="77"/>
  <c r="AA138" i="77"/>
  <c r="AB158" i="77"/>
  <c r="Z158" i="77"/>
  <c r="I169" i="77"/>
  <c r="T39" i="78"/>
  <c r="S39" i="78"/>
  <c r="Q78" i="78"/>
  <c r="AB95" i="78"/>
  <c r="AA95" i="78"/>
  <c r="U95" i="78"/>
  <c r="T120" i="78"/>
  <c r="M167" i="78"/>
  <c r="L168" i="78" s="1"/>
  <c r="K49" i="79"/>
  <c r="AB63" i="79"/>
  <c r="Z63" i="79"/>
  <c r="T63" i="79"/>
  <c r="K77" i="79"/>
  <c r="T130" i="79"/>
  <c r="M139" i="79"/>
  <c r="J140" i="79" s="1"/>
  <c r="Q58" i="80"/>
  <c r="S35" i="80" s="1"/>
  <c r="T34" i="80"/>
  <c r="S34" i="80"/>
  <c r="R34" i="80"/>
  <c r="Q152" i="80"/>
  <c r="I71" i="74"/>
  <c r="S36" i="75"/>
  <c r="K102" i="76"/>
  <c r="T157" i="76"/>
  <c r="Q171" i="76"/>
  <c r="Q110" i="77"/>
  <c r="AB35" i="78"/>
  <c r="AA35" i="78"/>
  <c r="U35" i="78"/>
  <c r="R64" i="78"/>
  <c r="T64" i="78"/>
  <c r="I72" i="78"/>
  <c r="M104" i="78"/>
  <c r="T124" i="78"/>
  <c r="S124" i="78"/>
  <c r="U156" i="78"/>
  <c r="AB156" i="78"/>
  <c r="Z156" i="78"/>
  <c r="R39" i="79"/>
  <c r="L49" i="79"/>
  <c r="L77" i="79"/>
  <c r="S103" i="79"/>
  <c r="R103" i="79"/>
  <c r="S131" i="79"/>
  <c r="S160" i="79"/>
  <c r="Q63" i="80"/>
  <c r="Q108" i="80"/>
  <c r="Q153" i="80"/>
  <c r="S36" i="81"/>
  <c r="R64" i="83"/>
  <c r="T61" i="77"/>
  <c r="T129" i="77"/>
  <c r="Q141" i="77"/>
  <c r="W159" i="77"/>
  <c r="AB159" i="77"/>
  <c r="Z159" i="77"/>
  <c r="K72" i="78"/>
  <c r="R96" i="78"/>
  <c r="T96" i="78"/>
  <c r="AC39" i="79"/>
  <c r="Z39" i="79"/>
  <c r="AA126" i="79"/>
  <c r="AA138" i="79" s="1"/>
  <c r="Y126" i="79"/>
  <c r="U126" i="79"/>
  <c r="U138" i="79" s="1"/>
  <c r="S161" i="79"/>
  <c r="T35" i="80"/>
  <c r="R35" i="80"/>
  <c r="Q196" i="80"/>
  <c r="AD74" i="81"/>
  <c r="S74" i="81"/>
  <c r="AD143" i="81"/>
  <c r="Z143" i="81"/>
  <c r="U143" i="81"/>
  <c r="Q46" i="74"/>
  <c r="Z168" i="76"/>
  <c r="T65" i="77"/>
  <c r="S98" i="77"/>
  <c r="R98" i="77"/>
  <c r="K104" i="77"/>
  <c r="I137" i="77"/>
  <c r="R36" i="78"/>
  <c r="T36" i="78"/>
  <c r="Q108" i="78"/>
  <c r="T121" i="78"/>
  <c r="S121" i="78"/>
  <c r="R121" i="78"/>
  <c r="T125" i="78"/>
  <c r="S65" i="79"/>
  <c r="R65" i="79"/>
  <c r="R204" i="82"/>
  <c r="S192" i="82" s="1"/>
  <c r="T192" i="82"/>
  <c r="Z134" i="76"/>
  <c r="T154" i="76"/>
  <c r="S154" i="76"/>
  <c r="Q165" i="76"/>
  <c r="T98" i="77"/>
  <c r="AA108" i="77"/>
  <c r="AB125" i="77"/>
  <c r="Z125" i="77"/>
  <c r="J137" i="77"/>
  <c r="T156" i="77"/>
  <c r="Q167" i="77"/>
  <c r="D18" i="78"/>
  <c r="E15" i="78"/>
  <c r="T65" i="78"/>
  <c r="Q73" i="78"/>
  <c r="Z76" i="78"/>
  <c r="T97" i="78"/>
  <c r="R97" i="78"/>
  <c r="T157" i="78"/>
  <c r="S157" i="78"/>
  <c r="I165" i="78"/>
  <c r="S40" i="79"/>
  <c r="R40" i="79"/>
  <c r="Y50" i="79"/>
  <c r="S104" i="79"/>
  <c r="S111" i="79" s="1"/>
  <c r="K130" i="76"/>
  <c r="R154" i="76"/>
  <c r="T34" i="77"/>
  <c r="R34" i="77"/>
  <c r="Q44" i="77"/>
  <c r="S34" i="77" s="1"/>
  <c r="T62" i="77"/>
  <c r="S62" i="77"/>
  <c r="R62" i="77"/>
  <c r="M73" i="77"/>
  <c r="K72" i="77" s="1"/>
  <c r="AB99" i="77"/>
  <c r="Z99" i="77"/>
  <c r="U99" i="77"/>
  <c r="U125" i="77"/>
  <c r="R156" i="77"/>
  <c r="T37" i="78"/>
  <c r="S37" i="78"/>
  <c r="R37" i="78"/>
  <c r="R61" i="78"/>
  <c r="T61" i="78"/>
  <c r="S61" i="78"/>
  <c r="I134" i="78"/>
  <c r="R157" i="78"/>
  <c r="K165" i="78"/>
  <c r="AA35" i="79"/>
  <c r="AA47" i="79" s="1"/>
  <c r="Y35" i="79"/>
  <c r="U35" i="79"/>
  <c r="S128" i="79"/>
  <c r="I137" i="79"/>
  <c r="AG89" i="80"/>
  <c r="AB89" i="80"/>
  <c r="V89" i="80"/>
  <c r="AI162" i="82"/>
  <c r="AA162" i="82"/>
  <c r="U162" i="82"/>
  <c r="M75" i="79"/>
  <c r="AB99" i="79"/>
  <c r="M138" i="79"/>
  <c r="Z171" i="79"/>
  <c r="T43" i="80"/>
  <c r="S43" i="80"/>
  <c r="AG90" i="80"/>
  <c r="AB90" i="80"/>
  <c r="W90" i="80"/>
  <c r="Q107" i="80"/>
  <c r="AB105" i="80"/>
  <c r="AD42" i="81"/>
  <c r="AD53" i="81" s="1"/>
  <c r="Z42" i="81"/>
  <c r="U42" i="81"/>
  <c r="AC72" i="81"/>
  <c r="S72" i="81"/>
  <c r="R72" i="81"/>
  <c r="S111" i="81"/>
  <c r="AC142" i="81"/>
  <c r="Z142" i="81"/>
  <c r="T142" i="81"/>
  <c r="V73" i="82"/>
  <c r="AB73" i="82"/>
  <c r="AB93" i="82" s="1"/>
  <c r="Z73" i="82"/>
  <c r="AD76" i="82"/>
  <c r="T76" i="82"/>
  <c r="S76" i="82"/>
  <c r="L134" i="82"/>
  <c r="I134" i="82"/>
  <c r="T42" i="83"/>
  <c r="S42" i="83"/>
  <c r="T106" i="85"/>
  <c r="R106" i="85"/>
  <c r="Q44" i="78"/>
  <c r="Q103" i="78"/>
  <c r="S96" i="78" s="1"/>
  <c r="I168" i="78"/>
  <c r="I113" i="79"/>
  <c r="Q138" i="79"/>
  <c r="R126" i="79" s="1"/>
  <c r="AD37" i="80"/>
  <c r="W37" i="80"/>
  <c r="V51" i="80"/>
  <c r="AH51" i="80"/>
  <c r="AH58" i="80" s="1"/>
  <c r="AB51" i="80"/>
  <c r="J101" i="80"/>
  <c r="M103" i="80"/>
  <c r="I104" i="80" s="1"/>
  <c r="AD127" i="80"/>
  <c r="AB127" i="80"/>
  <c r="W127" i="80"/>
  <c r="T214" i="80"/>
  <c r="S214" i="80"/>
  <c r="K52" i="81"/>
  <c r="AD181" i="81"/>
  <c r="Y181" i="81"/>
  <c r="U181" i="81"/>
  <c r="AD42" i="82"/>
  <c r="AA42" i="82"/>
  <c r="U42" i="82"/>
  <c r="T120" i="82"/>
  <c r="S120" i="82"/>
  <c r="T126" i="82"/>
  <c r="S126" i="82"/>
  <c r="T154" i="83"/>
  <c r="U64" i="84"/>
  <c r="AC64" i="84"/>
  <c r="Y64" i="84"/>
  <c r="R39" i="85"/>
  <c r="T39" i="85"/>
  <c r="M105" i="77"/>
  <c r="Z108" i="77" s="1"/>
  <c r="M132" i="78"/>
  <c r="M47" i="79"/>
  <c r="T46" i="80"/>
  <c r="S46" i="80"/>
  <c r="W80" i="80"/>
  <c r="AD80" i="80"/>
  <c r="AB80" i="80"/>
  <c r="V86" i="80"/>
  <c r="K101" i="80"/>
  <c r="AA105" i="80"/>
  <c r="W169" i="80"/>
  <c r="AD169" i="80"/>
  <c r="AB169" i="80"/>
  <c r="S176" i="80"/>
  <c r="AD73" i="81"/>
  <c r="S73" i="81"/>
  <c r="S112" i="81"/>
  <c r="T38" i="82"/>
  <c r="S42" i="82"/>
  <c r="R135" i="82"/>
  <c r="T117" i="82"/>
  <c r="S117" i="82"/>
  <c r="T123" i="82"/>
  <c r="S123" i="82"/>
  <c r="M204" i="82"/>
  <c r="Q190" i="80"/>
  <c r="T166" i="80"/>
  <c r="T170" i="80"/>
  <c r="Q195" i="80"/>
  <c r="T218" i="80"/>
  <c r="S218" i="80"/>
  <c r="AB37" i="81"/>
  <c r="Z37" i="81"/>
  <c r="T37" i="81"/>
  <c r="S44" i="81"/>
  <c r="S113" i="81"/>
  <c r="S144" i="81"/>
  <c r="S176" i="81"/>
  <c r="R176" i="81"/>
  <c r="Q188" i="81"/>
  <c r="R194" i="81"/>
  <c r="AD39" i="82"/>
  <c r="Z39" i="82"/>
  <c r="V39" i="82"/>
  <c r="Z77" i="82"/>
  <c r="V77" i="82"/>
  <c r="T152" i="82"/>
  <c r="S152" i="82"/>
  <c r="R169" i="82"/>
  <c r="L40" i="84"/>
  <c r="S126" i="84"/>
  <c r="Q73" i="77"/>
  <c r="T47" i="80"/>
  <c r="S47" i="80"/>
  <c r="Q64" i="80"/>
  <c r="AB61" i="80"/>
  <c r="AC59" i="80"/>
  <c r="T93" i="80"/>
  <c r="AA134" i="80"/>
  <c r="AF134" i="80"/>
  <c r="AF147" i="80" s="1"/>
  <c r="K149" i="80"/>
  <c r="R166" i="80"/>
  <c r="AE177" i="80"/>
  <c r="AB177" i="80"/>
  <c r="V177" i="80"/>
  <c r="M190" i="80"/>
  <c r="S45" i="81"/>
  <c r="S75" i="81"/>
  <c r="T75" i="81" s="1"/>
  <c r="Z75" i="81" s="1"/>
  <c r="R75" i="81"/>
  <c r="AE75" i="81"/>
  <c r="AE85" i="81" s="1"/>
  <c r="R114" i="81"/>
  <c r="M124" i="81"/>
  <c r="S145" i="81"/>
  <c r="R145" i="81"/>
  <c r="M155" i="81"/>
  <c r="R57" i="82"/>
  <c r="S35" i="82" s="1"/>
  <c r="T35" i="82"/>
  <c r="T47" i="82"/>
  <c r="T158" i="82"/>
  <c r="S158" i="82"/>
  <c r="U47" i="83"/>
  <c r="AG47" i="83"/>
  <c r="AG58" i="83" s="1"/>
  <c r="Z47" i="83"/>
  <c r="R141" i="83"/>
  <c r="Q108" i="77"/>
  <c r="Q106" i="78"/>
  <c r="T78" i="80"/>
  <c r="AB87" i="80"/>
  <c r="AE87" i="80"/>
  <c r="AE102" i="80" s="1"/>
  <c r="L101" i="80"/>
  <c r="T125" i="80"/>
  <c r="Q147" i="80"/>
  <c r="R125" i="80"/>
  <c r="W134" i="80"/>
  <c r="M147" i="80"/>
  <c r="S177" i="80"/>
  <c r="T220" i="80"/>
  <c r="S220" i="80"/>
  <c r="S108" i="81"/>
  <c r="Q124" i="81"/>
  <c r="R108" i="81"/>
  <c r="S114" i="81"/>
  <c r="S177" i="81"/>
  <c r="L137" i="82"/>
  <c r="K137" i="82"/>
  <c r="J137" i="82"/>
  <c r="T198" i="82"/>
  <c r="R58" i="83"/>
  <c r="L106" i="84"/>
  <c r="J106" i="84"/>
  <c r="I106" i="84"/>
  <c r="K106" i="84"/>
  <c r="AC112" i="86"/>
  <c r="Y112" i="86"/>
  <c r="T112" i="86"/>
  <c r="J75" i="77"/>
  <c r="J134" i="78"/>
  <c r="J49" i="79"/>
  <c r="J167" i="79"/>
  <c r="AE40" i="80"/>
  <c r="AE58" i="80" s="1"/>
  <c r="AA40" i="80"/>
  <c r="V40" i="80"/>
  <c r="T83" i="80"/>
  <c r="J146" i="80"/>
  <c r="T167" i="80"/>
  <c r="S167" i="80"/>
  <c r="R167" i="80"/>
  <c r="Q233" i="80"/>
  <c r="AB38" i="81"/>
  <c r="Y38" i="81"/>
  <c r="T38" i="81"/>
  <c r="S46" i="81"/>
  <c r="AH76" i="81"/>
  <c r="AH85" i="81" s="1"/>
  <c r="S76" i="81"/>
  <c r="S115" i="81"/>
  <c r="Q155" i="81"/>
  <c r="R160" i="81" s="1"/>
  <c r="S139" i="81"/>
  <c r="R139" i="81"/>
  <c r="S146" i="81"/>
  <c r="R146" i="81"/>
  <c r="S178" i="81"/>
  <c r="R178" i="81"/>
  <c r="M188" i="81"/>
  <c r="Z191" i="81" s="1"/>
  <c r="AC36" i="82"/>
  <c r="T36" i="82"/>
  <c r="S153" i="82"/>
  <c r="T153" i="82"/>
  <c r="S159" i="82"/>
  <c r="T159" i="82"/>
  <c r="T164" i="82"/>
  <c r="T194" i="82"/>
  <c r="T48" i="83"/>
  <c r="R60" i="77"/>
  <c r="R63" i="77"/>
  <c r="Q47" i="78"/>
  <c r="R156" i="78"/>
  <c r="Y171" i="79"/>
  <c r="S36" i="80"/>
  <c r="I57" i="80"/>
  <c r="M58" i="80"/>
  <c r="T131" i="80"/>
  <c r="S131" i="80"/>
  <c r="T173" i="80"/>
  <c r="AG179" i="80"/>
  <c r="AG190" i="80" s="1"/>
  <c r="AB179" i="80"/>
  <c r="W179" i="80"/>
  <c r="T212" i="80"/>
  <c r="S212" i="80"/>
  <c r="Q228" i="80"/>
  <c r="Q234" i="80"/>
  <c r="S39" i="81"/>
  <c r="S70" i="81"/>
  <c r="R70" i="81"/>
  <c r="R109" i="81"/>
  <c r="R147" i="81"/>
  <c r="R192" i="81"/>
  <c r="T44" i="82"/>
  <c r="AI48" i="82"/>
  <c r="Z48" i="82"/>
  <c r="L56" i="82"/>
  <c r="K56" i="82"/>
  <c r="I56" i="82"/>
  <c r="AA60" i="82"/>
  <c r="Z60" i="82"/>
  <c r="AB36" i="80"/>
  <c r="AD36" i="80"/>
  <c r="AE41" i="80"/>
  <c r="AB41" i="80"/>
  <c r="V41" i="80"/>
  <c r="AG48" i="80"/>
  <c r="AB48" i="80"/>
  <c r="J57" i="80"/>
  <c r="T84" i="80"/>
  <c r="Q109" i="80"/>
  <c r="AG136" i="80"/>
  <c r="AG147" i="80" s="1"/>
  <c r="AB136" i="80"/>
  <c r="V136" i="80"/>
  <c r="S40" i="81"/>
  <c r="R77" i="81"/>
  <c r="AB109" i="81"/>
  <c r="AB124" i="81" s="1"/>
  <c r="Z109" i="81"/>
  <c r="T109" i="81"/>
  <c r="S116" i="81"/>
  <c r="S140" i="81"/>
  <c r="R140" i="81"/>
  <c r="AF147" i="81"/>
  <c r="AF155" i="81" s="1"/>
  <c r="AF198" i="81" s="1"/>
  <c r="AB147" i="81"/>
  <c r="Y147" i="81"/>
  <c r="V147" i="81"/>
  <c r="S179" i="81"/>
  <c r="R179" i="81"/>
  <c r="U48" i="82"/>
  <c r="Z81" i="82"/>
  <c r="U81" i="82"/>
  <c r="AF81" i="82"/>
  <c r="AF93" i="82" s="1"/>
  <c r="R141" i="82"/>
  <c r="R35" i="79"/>
  <c r="R63" i="79"/>
  <c r="T99" i="79"/>
  <c r="R101" i="79"/>
  <c r="K170" i="79"/>
  <c r="W36" i="80"/>
  <c r="S41" i="80"/>
  <c r="V48" i="80"/>
  <c r="K57" i="80"/>
  <c r="L60" i="80"/>
  <c r="T79" i="80"/>
  <c r="S168" i="80"/>
  <c r="T181" i="80"/>
  <c r="S181" i="80"/>
  <c r="S71" i="81"/>
  <c r="R71" i="81"/>
  <c r="L87" i="81"/>
  <c r="S110" i="81"/>
  <c r="R110" i="81"/>
  <c r="AD180" i="81"/>
  <c r="AD188" i="81" s="1"/>
  <c r="Z180" i="81"/>
  <c r="U180" i="81"/>
  <c r="AF45" i="82"/>
  <c r="AF57" i="82" s="1"/>
  <c r="AA45" i="82"/>
  <c r="U45" i="82"/>
  <c r="AD93" i="82"/>
  <c r="R173" i="83"/>
  <c r="Z93" i="84"/>
  <c r="T93" i="84"/>
  <c r="AA93" i="84"/>
  <c r="M59" i="80"/>
  <c r="Q102" i="80"/>
  <c r="S79" i="80" s="1"/>
  <c r="T76" i="80"/>
  <c r="T126" i="80"/>
  <c r="AH138" i="80"/>
  <c r="AH147" i="80" s="1"/>
  <c r="AB138" i="80"/>
  <c r="V138" i="80"/>
  <c r="AB150" i="80"/>
  <c r="T168" i="80"/>
  <c r="AF174" i="80"/>
  <c r="AA174" i="80"/>
  <c r="R213" i="80"/>
  <c r="AB231" i="80"/>
  <c r="S41" i="81"/>
  <c r="I52" i="81"/>
  <c r="AG78" i="81"/>
  <c r="AG85" i="81" s="1"/>
  <c r="S78" i="81"/>
  <c r="R78" i="81"/>
  <c r="S141" i="81"/>
  <c r="AG148" i="81"/>
  <c r="AG155" i="81" s="1"/>
  <c r="Y148" i="81"/>
  <c r="V148" i="81"/>
  <c r="T41" i="82"/>
  <c r="S41" i="82"/>
  <c r="S45" i="82"/>
  <c r="J92" i="82"/>
  <c r="AA96" i="82"/>
  <c r="T155" i="82"/>
  <c r="S155" i="82"/>
  <c r="T159" i="83"/>
  <c r="AE176" i="80"/>
  <c r="AE190" i="80" s="1"/>
  <c r="S213" i="80"/>
  <c r="M228" i="80"/>
  <c r="S35" i="81"/>
  <c r="S77" i="81"/>
  <c r="M85" i="81"/>
  <c r="Y88" i="81" s="1"/>
  <c r="S117" i="81"/>
  <c r="M125" i="81"/>
  <c r="T37" i="82"/>
  <c r="T40" i="82"/>
  <c r="T43" i="82"/>
  <c r="T46" i="82"/>
  <c r="Z49" i="82"/>
  <c r="AE80" i="82"/>
  <c r="AJ86" i="82"/>
  <c r="AJ93" i="82" s="1"/>
  <c r="T161" i="82"/>
  <c r="S161" i="82"/>
  <c r="Z196" i="82"/>
  <c r="M205" i="82"/>
  <c r="Z46" i="83"/>
  <c r="R101" i="83"/>
  <c r="T123" i="83"/>
  <c r="T163" i="83"/>
  <c r="Y44" i="84"/>
  <c r="R63" i="84"/>
  <c r="AC124" i="84"/>
  <c r="Y124" i="84"/>
  <c r="U124" i="84"/>
  <c r="I163" i="84"/>
  <c r="S44" i="85"/>
  <c r="T44" i="85"/>
  <c r="S72" i="86"/>
  <c r="J149" i="80"/>
  <c r="T213" i="80"/>
  <c r="M53" i="81"/>
  <c r="R69" i="81"/>
  <c r="Q85" i="81"/>
  <c r="R74" i="81" s="1"/>
  <c r="AI49" i="82"/>
  <c r="AA75" i="82"/>
  <c r="V75" i="82"/>
  <c r="T122" i="82"/>
  <c r="R175" i="82"/>
  <c r="V40" i="83"/>
  <c r="S119" i="83"/>
  <c r="T119" i="83"/>
  <c r="T128" i="83"/>
  <c r="T153" i="83"/>
  <c r="T158" i="83"/>
  <c r="S32" i="84"/>
  <c r="R32" i="84"/>
  <c r="S63" i="84"/>
  <c r="S45" i="86"/>
  <c r="Q53" i="81"/>
  <c r="R41" i="81" s="1"/>
  <c r="S69" i="81"/>
  <c r="M156" i="81"/>
  <c r="S118" i="82"/>
  <c r="T197" i="82"/>
  <c r="U37" i="83"/>
  <c r="AA40" i="83"/>
  <c r="U50" i="83"/>
  <c r="AI50" i="83"/>
  <c r="AA50" i="83"/>
  <c r="R100" i="83"/>
  <c r="AF124" i="83"/>
  <c r="AF135" i="83" s="1"/>
  <c r="Z124" i="83"/>
  <c r="U124" i="83"/>
  <c r="S33" i="84"/>
  <c r="R33" i="84"/>
  <c r="K40" i="84"/>
  <c r="Q71" i="84"/>
  <c r="S58" i="84"/>
  <c r="L70" i="84"/>
  <c r="S156" i="84"/>
  <c r="K163" i="84"/>
  <c r="M162" i="84"/>
  <c r="T38" i="85"/>
  <c r="T71" i="85"/>
  <c r="T105" i="85"/>
  <c r="I230" i="80"/>
  <c r="I55" i="81"/>
  <c r="Z79" i="82"/>
  <c r="U79" i="82"/>
  <c r="Z85" i="82"/>
  <c r="W85" i="82"/>
  <c r="W93" i="82" s="1"/>
  <c r="S156" i="82"/>
  <c r="U44" i="83"/>
  <c r="AE44" i="83"/>
  <c r="Z44" i="83"/>
  <c r="AA77" i="83"/>
  <c r="V77" i="83"/>
  <c r="AD77" i="83"/>
  <c r="T120" i="83"/>
  <c r="R140" i="83"/>
  <c r="R30" i="84"/>
  <c r="S44" i="84"/>
  <c r="E44" i="66" s="1"/>
  <c r="R38" i="84"/>
  <c r="R34" i="84"/>
  <c r="S59" i="84"/>
  <c r="R59" i="84"/>
  <c r="Q104" i="84"/>
  <c r="R94" i="84" s="1"/>
  <c r="S94" i="84"/>
  <c r="K133" i="84"/>
  <c r="Q55" i="85"/>
  <c r="AE181" i="85"/>
  <c r="Z181" i="85"/>
  <c r="U181" i="85"/>
  <c r="S41" i="86"/>
  <c r="S74" i="89"/>
  <c r="I192" i="80"/>
  <c r="J55" i="81"/>
  <c r="AE79" i="82"/>
  <c r="AA83" i="82"/>
  <c r="AI85" i="82"/>
  <c r="S127" i="82"/>
  <c r="O169" i="82"/>
  <c r="T156" i="82"/>
  <c r="L171" i="82"/>
  <c r="K171" i="82"/>
  <c r="K203" i="82"/>
  <c r="V41" i="83"/>
  <c r="AD41" i="83"/>
  <c r="AA41" i="83"/>
  <c r="Z80" i="83"/>
  <c r="V80" i="83"/>
  <c r="AD80" i="83"/>
  <c r="Z83" i="83"/>
  <c r="U83" i="83"/>
  <c r="AF83" i="83"/>
  <c r="AF95" i="83" s="1"/>
  <c r="AA86" i="83"/>
  <c r="U86" i="83"/>
  <c r="AI86" i="83"/>
  <c r="T125" i="83"/>
  <c r="AA138" i="83"/>
  <c r="T160" i="83"/>
  <c r="S60" i="84"/>
  <c r="S65" i="84"/>
  <c r="R65" i="84"/>
  <c r="I87" i="81"/>
  <c r="AI83" i="82"/>
  <c r="AI93" i="82" s="1"/>
  <c r="T125" i="82"/>
  <c r="S125" i="82"/>
  <c r="U127" i="82"/>
  <c r="T151" i="82"/>
  <c r="S151" i="82"/>
  <c r="J171" i="82"/>
  <c r="O204" i="82"/>
  <c r="Z207" i="82"/>
  <c r="U38" i="83"/>
  <c r="AC38" i="83"/>
  <c r="AA38" i="83"/>
  <c r="R63" i="83"/>
  <c r="T75" i="83"/>
  <c r="R95" i="83"/>
  <c r="AD121" i="83"/>
  <c r="Z121" i="83"/>
  <c r="V121" i="83"/>
  <c r="T155" i="83"/>
  <c r="S66" i="84"/>
  <c r="R66" i="84"/>
  <c r="Z108" i="85"/>
  <c r="U108" i="85"/>
  <c r="AD108" i="85"/>
  <c r="AD117" i="85" s="1"/>
  <c r="S34" i="86"/>
  <c r="Q51" i="86"/>
  <c r="Y114" i="86"/>
  <c r="T114" i="86"/>
  <c r="AE114" i="86"/>
  <c r="AE124" i="86" s="1"/>
  <c r="Q230" i="80"/>
  <c r="J190" i="81"/>
  <c r="AA127" i="82"/>
  <c r="T163" i="82"/>
  <c r="S163" i="82"/>
  <c r="T195" i="82"/>
  <c r="T45" i="83"/>
  <c r="S45" i="83"/>
  <c r="AD78" i="83"/>
  <c r="AA78" i="83"/>
  <c r="V78" i="83"/>
  <c r="O168" i="83"/>
  <c r="R174" i="83"/>
  <c r="AA29" i="84"/>
  <c r="AA41" i="84" s="1"/>
  <c r="Z29" i="84"/>
  <c r="T95" i="84"/>
  <c r="AB95" i="84"/>
  <c r="Z95" i="84"/>
  <c r="T41" i="85"/>
  <c r="S41" i="85"/>
  <c r="Q81" i="85"/>
  <c r="T66" i="85"/>
  <c r="R66" i="85"/>
  <c r="T138" i="85"/>
  <c r="Q193" i="85"/>
  <c r="Y76" i="86"/>
  <c r="T76" i="86"/>
  <c r="AF76" i="86"/>
  <c r="AF83" i="86" s="1"/>
  <c r="I92" i="82"/>
  <c r="M93" i="82"/>
  <c r="T119" i="82"/>
  <c r="S119" i="82"/>
  <c r="T154" i="82"/>
  <c r="S154" i="82"/>
  <c r="T160" i="82"/>
  <c r="S160" i="82"/>
  <c r="R210" i="82"/>
  <c r="S78" i="83"/>
  <c r="T81" i="83"/>
  <c r="T84" i="83"/>
  <c r="T87" i="83"/>
  <c r="S87" i="83"/>
  <c r="T117" i="83"/>
  <c r="R135" i="83"/>
  <c r="S120" i="83" s="1"/>
  <c r="T126" i="83"/>
  <c r="S126" i="83"/>
  <c r="R168" i="83"/>
  <c r="S161" i="83" s="1"/>
  <c r="T151" i="83"/>
  <c r="T156" i="83"/>
  <c r="T161" i="83"/>
  <c r="T29" i="84"/>
  <c r="S35" i="84"/>
  <c r="R35" i="84"/>
  <c r="S121" i="84"/>
  <c r="R121" i="84"/>
  <c r="T110" i="85"/>
  <c r="AA176" i="85"/>
  <c r="U176" i="85"/>
  <c r="S116" i="86"/>
  <c r="M58" i="82"/>
  <c r="Z78" i="82"/>
  <c r="V78" i="82"/>
  <c r="AA84" i="82"/>
  <c r="U84" i="82"/>
  <c r="J134" i="82"/>
  <c r="Z138" i="82"/>
  <c r="T157" i="82"/>
  <c r="S157" i="82"/>
  <c r="S196" i="82"/>
  <c r="AI199" i="82"/>
  <c r="AA199" i="82"/>
  <c r="R209" i="82"/>
  <c r="T39" i="83"/>
  <c r="S39" i="83"/>
  <c r="AI58" i="83"/>
  <c r="T122" i="83"/>
  <c r="S96" i="84"/>
  <c r="R96" i="84"/>
  <c r="M131" i="84"/>
  <c r="J130" i="84" s="1"/>
  <c r="I130" i="84"/>
  <c r="Z75" i="85"/>
  <c r="W75" i="85"/>
  <c r="AF75" i="85"/>
  <c r="AF81" i="85" s="1"/>
  <c r="Y36" i="86"/>
  <c r="T36" i="86"/>
  <c r="AC36" i="86" s="1"/>
  <c r="AC147" i="86"/>
  <c r="Y147" i="86"/>
  <c r="T147" i="86"/>
  <c r="J59" i="82"/>
  <c r="R93" i="82"/>
  <c r="S75" i="82" s="1"/>
  <c r="AA82" i="82"/>
  <c r="V82" i="82"/>
  <c r="K134" i="82"/>
  <c r="I137" i="82"/>
  <c r="AA138" i="82"/>
  <c r="T36" i="83"/>
  <c r="S36" i="83"/>
  <c r="T88" i="83"/>
  <c r="AC118" i="83"/>
  <c r="AA118" i="83"/>
  <c r="U118" i="83"/>
  <c r="AI127" i="83"/>
  <c r="AA127" i="83"/>
  <c r="U127" i="83"/>
  <c r="S152" i="83"/>
  <c r="T157" i="83"/>
  <c r="T162" i="83"/>
  <c r="Z30" i="84"/>
  <c r="U30" i="84"/>
  <c r="AA30" i="84"/>
  <c r="R39" i="84"/>
  <c r="AC123" i="84"/>
  <c r="Y123" i="84"/>
  <c r="U123" i="84"/>
  <c r="Z80" i="82"/>
  <c r="AH82" i="82"/>
  <c r="AH93" i="82" s="1"/>
  <c r="AI84" i="82"/>
  <c r="Z86" i="82"/>
  <c r="M94" i="82"/>
  <c r="J95" i="82" s="1"/>
  <c r="T128" i="82"/>
  <c r="S128" i="82"/>
  <c r="T193" i="82"/>
  <c r="U196" i="82"/>
  <c r="U46" i="83"/>
  <c r="AA49" i="83"/>
  <c r="S118" i="83"/>
  <c r="T152" i="83"/>
  <c r="AB31" i="84"/>
  <c r="Z31" i="84"/>
  <c r="T31" i="84"/>
  <c r="S62" i="84"/>
  <c r="R62" i="84"/>
  <c r="I70" i="84"/>
  <c r="U97" i="84"/>
  <c r="AC97" i="84"/>
  <c r="AC104" i="84" s="1"/>
  <c r="Y97" i="84"/>
  <c r="R123" i="84"/>
  <c r="T178" i="85"/>
  <c r="S178" i="85"/>
  <c r="S125" i="84"/>
  <c r="R125" i="84"/>
  <c r="J160" i="84"/>
  <c r="J52" i="85"/>
  <c r="AC70" i="85"/>
  <c r="V70" i="85"/>
  <c r="T74" i="85"/>
  <c r="T109" i="85"/>
  <c r="AE141" i="85"/>
  <c r="AA141" i="85"/>
  <c r="AE180" i="85"/>
  <c r="AA180" i="85"/>
  <c r="U180" i="85"/>
  <c r="AC71" i="86"/>
  <c r="T71" i="86"/>
  <c r="S75" i="86"/>
  <c r="R75" i="86"/>
  <c r="S115" i="86"/>
  <c r="Q129" i="86"/>
  <c r="S146" i="86"/>
  <c r="Q165" i="86"/>
  <c r="S183" i="86"/>
  <c r="AB37" i="87"/>
  <c r="AA37" i="87"/>
  <c r="U75" i="87"/>
  <c r="AB75" i="87"/>
  <c r="Z75" i="87"/>
  <c r="AD120" i="87"/>
  <c r="U120" i="87"/>
  <c r="Z120" i="87"/>
  <c r="AE196" i="87"/>
  <c r="U196" i="87"/>
  <c r="AA196" i="87"/>
  <c r="S37" i="83"/>
  <c r="S43" i="83"/>
  <c r="S49" i="83"/>
  <c r="R29" i="84"/>
  <c r="M72" i="84"/>
  <c r="S120" i="84"/>
  <c r="Q131" i="84"/>
  <c r="R120" i="84"/>
  <c r="AA37" i="85"/>
  <c r="K52" i="85"/>
  <c r="J116" i="85"/>
  <c r="T137" i="85"/>
  <c r="U141" i="85"/>
  <c r="S176" i="85"/>
  <c r="S40" i="86"/>
  <c r="R40" i="86"/>
  <c r="Y44" i="86"/>
  <c r="T44" i="86"/>
  <c r="S111" i="86"/>
  <c r="K126" i="86"/>
  <c r="J126" i="86"/>
  <c r="R152" i="86"/>
  <c r="Y184" i="86"/>
  <c r="T184" i="86"/>
  <c r="S189" i="86"/>
  <c r="U37" i="87"/>
  <c r="T44" i="87"/>
  <c r="L58" i="87"/>
  <c r="M41" i="84"/>
  <c r="Z44" i="84" s="1"/>
  <c r="AB37" i="85"/>
  <c r="L52" i="85"/>
  <c r="AA70" i="85"/>
  <c r="M117" i="85"/>
  <c r="T142" i="85"/>
  <c r="M150" i="85"/>
  <c r="J149" i="85" s="1"/>
  <c r="I149" i="85"/>
  <c r="S181" i="85"/>
  <c r="AF44" i="86"/>
  <c r="Y71" i="86"/>
  <c r="K123" i="86"/>
  <c r="Z127" i="86"/>
  <c r="I123" i="86"/>
  <c r="S152" i="86"/>
  <c r="I159" i="86"/>
  <c r="I162" i="86"/>
  <c r="R184" i="86"/>
  <c r="S190" i="86"/>
  <c r="T76" i="87"/>
  <c r="T115" i="87"/>
  <c r="R115" i="87"/>
  <c r="Q141" i="87"/>
  <c r="T161" i="87"/>
  <c r="S35" i="88"/>
  <c r="S47" i="88" s="1"/>
  <c r="S153" i="84"/>
  <c r="L160" i="84"/>
  <c r="K160" i="84"/>
  <c r="Y164" i="84"/>
  <c r="T35" i="85"/>
  <c r="S35" i="85"/>
  <c r="R35" i="85"/>
  <c r="Q50" i="85"/>
  <c r="S66" i="85" s="1"/>
  <c r="T111" i="85"/>
  <c r="AE143" i="85"/>
  <c r="V143" i="85"/>
  <c r="T177" i="85"/>
  <c r="S177" i="85"/>
  <c r="S117" i="86"/>
  <c r="AF153" i="86"/>
  <c r="Y153" i="86"/>
  <c r="K159" i="86"/>
  <c r="Y163" i="86"/>
  <c r="S185" i="86"/>
  <c r="S196" i="86" s="1"/>
  <c r="S191" i="86"/>
  <c r="T39" i="87"/>
  <c r="S39" i="87"/>
  <c r="AA45" i="87"/>
  <c r="U45" i="87"/>
  <c r="K55" i="87"/>
  <c r="M56" i="87"/>
  <c r="T122" i="87"/>
  <c r="S140" i="96"/>
  <c r="R140" i="96"/>
  <c r="M71" i="84"/>
  <c r="K70" i="84" s="1"/>
  <c r="T98" i="84"/>
  <c r="Q161" i="84"/>
  <c r="AA42" i="85"/>
  <c r="T67" i="85"/>
  <c r="R67" i="85"/>
  <c r="T76" i="85"/>
  <c r="S76" i="85"/>
  <c r="T102" i="85"/>
  <c r="R102" i="85"/>
  <c r="Q117" i="85"/>
  <c r="T139" i="85"/>
  <c r="S139" i="85"/>
  <c r="S143" i="85"/>
  <c r="Q156" i="85"/>
  <c r="T182" i="85"/>
  <c r="R37" i="86"/>
  <c r="Q57" i="86"/>
  <c r="R73" i="86"/>
  <c r="S77" i="86"/>
  <c r="K82" i="86"/>
  <c r="J82" i="86"/>
  <c r="I82" i="86"/>
  <c r="J85" i="86"/>
  <c r="Q124" i="86"/>
  <c r="R117" i="86" s="1"/>
  <c r="S108" i="86"/>
  <c r="I126" i="86"/>
  <c r="T153" i="86"/>
  <c r="Z163" i="86"/>
  <c r="S186" i="86"/>
  <c r="R186" i="86"/>
  <c r="AE45" i="87"/>
  <c r="W162" i="87"/>
  <c r="AG162" i="87"/>
  <c r="AG168" i="87" s="1"/>
  <c r="Z171" i="87"/>
  <c r="S69" i="95"/>
  <c r="I171" i="82"/>
  <c r="Y98" i="84"/>
  <c r="R124" i="84"/>
  <c r="AE42" i="85"/>
  <c r="J49" i="85"/>
  <c r="S67" i="85"/>
  <c r="T72" i="85"/>
  <c r="K83" i="85"/>
  <c r="Z143" i="85"/>
  <c r="Q187" i="85"/>
  <c r="T174" i="85"/>
  <c r="R174" i="85"/>
  <c r="S37" i="86"/>
  <c r="Q56" i="86"/>
  <c r="J53" i="86"/>
  <c r="S68" i="86"/>
  <c r="R68" i="86"/>
  <c r="S73" i="86"/>
  <c r="K85" i="86"/>
  <c r="Y127" i="86"/>
  <c r="S148" i="86"/>
  <c r="Q202" i="86"/>
  <c r="M197" i="86"/>
  <c r="U40" i="87"/>
  <c r="AD40" i="87"/>
  <c r="Z40" i="87"/>
  <c r="T78" i="87"/>
  <c r="S41" i="92"/>
  <c r="M104" i="84"/>
  <c r="T43" i="85"/>
  <c r="S43" i="85"/>
  <c r="S68" i="85"/>
  <c r="Q87" i="85"/>
  <c r="L83" i="85"/>
  <c r="R103" i="85"/>
  <c r="T107" i="85"/>
  <c r="K119" i="85"/>
  <c r="J119" i="85"/>
  <c r="I119" i="85"/>
  <c r="Q150" i="85"/>
  <c r="S142" i="85" s="1"/>
  <c r="T135" i="85"/>
  <c r="R135" i="85"/>
  <c r="T144" i="85"/>
  <c r="S144" i="85"/>
  <c r="M188" i="85"/>
  <c r="K53" i="86"/>
  <c r="R69" i="86"/>
  <c r="AI78" i="86"/>
  <c r="AI83" i="86" s="1"/>
  <c r="S78" i="86"/>
  <c r="R78" i="86"/>
  <c r="L85" i="86"/>
  <c r="AC109" i="86"/>
  <c r="T109" i="86"/>
  <c r="S113" i="86"/>
  <c r="S149" i="86"/>
  <c r="R149" i="86"/>
  <c r="S154" i="86"/>
  <c r="R154" i="86"/>
  <c r="Q166" i="86"/>
  <c r="S187" i="86"/>
  <c r="Q201" i="86"/>
  <c r="K198" i="86"/>
  <c r="Z46" i="87"/>
  <c r="U46" i="87"/>
  <c r="AE46" i="87"/>
  <c r="Z73" i="87"/>
  <c r="U73" i="87"/>
  <c r="AB73" i="87"/>
  <c r="T101" i="88"/>
  <c r="AC101" i="88"/>
  <c r="AC107" i="88" s="1"/>
  <c r="Z101" i="88"/>
  <c r="Q170" i="91"/>
  <c r="M42" i="84"/>
  <c r="T36" i="85"/>
  <c r="AB68" i="85"/>
  <c r="AA68" i="85"/>
  <c r="M151" i="85"/>
  <c r="K152" i="85" s="1"/>
  <c r="T179" i="85"/>
  <c r="S38" i="86"/>
  <c r="R38" i="86"/>
  <c r="AA68" i="86"/>
  <c r="AA83" i="86" s="1"/>
  <c r="AB69" i="86"/>
  <c r="AB83" i="86" s="1"/>
  <c r="Z69" i="86"/>
  <c r="Q83" i="86"/>
  <c r="R77" i="86" s="1"/>
  <c r="AG118" i="86"/>
  <c r="AG124" i="86" s="1"/>
  <c r="Y118" i="86"/>
  <c r="U118" i="86"/>
  <c r="U124" i="86" s="1"/>
  <c r="Y155" i="86"/>
  <c r="V155" i="86"/>
  <c r="Q56" i="87"/>
  <c r="R35" i="87"/>
  <c r="S35" i="87"/>
  <c r="T41" i="87"/>
  <c r="T79" i="87"/>
  <c r="T118" i="87"/>
  <c r="S118" i="87"/>
  <c r="S38" i="83"/>
  <c r="S41" i="83"/>
  <c r="S44" i="83"/>
  <c r="S47" i="83"/>
  <c r="S50" i="83"/>
  <c r="R64" i="84"/>
  <c r="R95" i="84"/>
  <c r="S122" i="84"/>
  <c r="R122" i="84"/>
  <c r="U154" i="84"/>
  <c r="R36" i="85"/>
  <c r="AA53" i="85"/>
  <c r="U68" i="85"/>
  <c r="U73" i="85"/>
  <c r="J80" i="85"/>
  <c r="I80" i="85"/>
  <c r="Z84" i="85"/>
  <c r="T103" i="85"/>
  <c r="R136" i="85"/>
  <c r="AD140" i="85"/>
  <c r="AD150" i="85" s="1"/>
  <c r="Z140" i="85"/>
  <c r="U140" i="85"/>
  <c r="S145" i="85"/>
  <c r="Q192" i="85"/>
  <c r="T69" i="86"/>
  <c r="T74" i="86"/>
  <c r="Y109" i="86"/>
  <c r="S150" i="86"/>
  <c r="R155" i="86"/>
  <c r="AA182" i="86"/>
  <c r="AA196" i="86" s="1"/>
  <c r="Z182" i="86"/>
  <c r="T35" i="87"/>
  <c r="S42" i="87"/>
  <c r="T42" i="87"/>
  <c r="Y154" i="84"/>
  <c r="V40" i="85"/>
  <c r="T69" i="85"/>
  <c r="S69" i="85"/>
  <c r="Z73" i="85"/>
  <c r="T145" i="85"/>
  <c r="AB175" i="85"/>
  <c r="Z175" i="85"/>
  <c r="U175" i="85"/>
  <c r="S43" i="86"/>
  <c r="K50" i="86"/>
  <c r="J50" i="86"/>
  <c r="I50" i="86"/>
  <c r="S70" i="86"/>
  <c r="R70" i="86"/>
  <c r="Y74" i="86"/>
  <c r="S110" i="86"/>
  <c r="R110" i="86"/>
  <c r="Q160" i="86"/>
  <c r="R146" i="86" s="1"/>
  <c r="S145" i="86"/>
  <c r="AG155" i="86"/>
  <c r="AG160" i="86" s="1"/>
  <c r="T182" i="86"/>
  <c r="AH188" i="86"/>
  <c r="AH196" i="86" s="1"/>
  <c r="Y188" i="86"/>
  <c r="V188" i="86"/>
  <c r="J195" i="86"/>
  <c r="T36" i="87"/>
  <c r="R36" i="87"/>
  <c r="S47" i="87"/>
  <c r="T47" i="87"/>
  <c r="S155" i="84"/>
  <c r="R155" i="84"/>
  <c r="I160" i="84"/>
  <c r="I52" i="85"/>
  <c r="T104" i="85"/>
  <c r="Q122" i="85"/>
  <c r="Z136" i="85"/>
  <c r="U136" i="85"/>
  <c r="R175" i="85"/>
  <c r="S35" i="86"/>
  <c r="R35" i="86"/>
  <c r="S151" i="86"/>
  <c r="R151" i="86"/>
  <c r="U43" i="87"/>
  <c r="AE43" i="87"/>
  <c r="Z43" i="87"/>
  <c r="K58" i="87"/>
  <c r="S120" i="87"/>
  <c r="S39" i="88"/>
  <c r="K91" i="87"/>
  <c r="T199" i="87"/>
  <c r="S199" i="87"/>
  <c r="S34" i="88"/>
  <c r="S38" i="88"/>
  <c r="AB100" i="88"/>
  <c r="U100" i="88"/>
  <c r="R129" i="88"/>
  <c r="S129" i="88"/>
  <c r="S157" i="88"/>
  <c r="R157" i="88"/>
  <c r="Z39" i="89"/>
  <c r="T39" i="89"/>
  <c r="J198" i="86"/>
  <c r="T114" i="87"/>
  <c r="R114" i="87"/>
  <c r="T117" i="87"/>
  <c r="S117" i="87"/>
  <c r="T124" i="87"/>
  <c r="T154" i="87"/>
  <c r="AB154" i="87" s="1"/>
  <c r="S154" i="87"/>
  <c r="S69" i="88"/>
  <c r="AA39" i="89"/>
  <c r="T41" i="90"/>
  <c r="T46" i="90"/>
  <c r="Q81" i="91"/>
  <c r="AB39" i="92"/>
  <c r="Y39" i="92"/>
  <c r="T39" i="92"/>
  <c r="I83" i="85"/>
  <c r="AG56" i="87"/>
  <c r="S73" i="87"/>
  <c r="R73" i="87"/>
  <c r="M89" i="87"/>
  <c r="I88" i="87"/>
  <c r="AD121" i="87"/>
  <c r="U121" i="87"/>
  <c r="T158" i="87"/>
  <c r="AE158" i="87" s="1"/>
  <c r="AE168" i="87" s="1"/>
  <c r="S162" i="87"/>
  <c r="AA192" i="87"/>
  <c r="U192" i="87"/>
  <c r="I207" i="87"/>
  <c r="M206" i="87"/>
  <c r="R70" i="88"/>
  <c r="S70" i="88"/>
  <c r="Y100" i="88"/>
  <c r="Q139" i="88"/>
  <c r="T158" i="88"/>
  <c r="AB158" i="88"/>
  <c r="U40" i="89"/>
  <c r="U51" i="89" s="1"/>
  <c r="AA40" i="89"/>
  <c r="J49" i="92"/>
  <c r="W82" i="87"/>
  <c r="W89" i="87" s="1"/>
  <c r="Q93" i="87" s="1"/>
  <c r="Q89" i="87"/>
  <c r="S77" i="87" s="1"/>
  <c r="AA121" i="87"/>
  <c r="J137" i="87"/>
  <c r="M136" i="87"/>
  <c r="T155" i="87"/>
  <c r="AC155" i="87" s="1"/>
  <c r="AC168" i="87" s="1"/>
  <c r="S155" i="87"/>
  <c r="U159" i="87"/>
  <c r="Z159" i="87" s="1"/>
  <c r="T159" i="87"/>
  <c r="AE159" i="87" s="1"/>
  <c r="L170" i="87"/>
  <c r="I170" i="87"/>
  <c r="AB192" i="87"/>
  <c r="K207" i="87"/>
  <c r="K106" i="88"/>
  <c r="I106" i="88"/>
  <c r="M165" i="88"/>
  <c r="K166" i="88" s="1"/>
  <c r="J166" i="88"/>
  <c r="T37" i="90"/>
  <c r="R53" i="90"/>
  <c r="S46" i="90" s="1"/>
  <c r="T42" i="90"/>
  <c r="I53" i="86"/>
  <c r="Z59" i="87"/>
  <c r="Z82" i="87"/>
  <c r="U155" i="87"/>
  <c r="AA155" i="87" s="1"/>
  <c r="AA168" i="87" s="1"/>
  <c r="J170" i="87"/>
  <c r="Q210" i="87"/>
  <c r="Y40" i="88"/>
  <c r="U40" i="88"/>
  <c r="K78" i="88"/>
  <c r="AC76" i="89"/>
  <c r="AC85" i="89" s="1"/>
  <c r="AC125" i="89" s="1"/>
  <c r="Z76" i="89"/>
  <c r="T76" i="89"/>
  <c r="I85" i="86"/>
  <c r="Q196" i="86"/>
  <c r="R187" i="86" s="1"/>
  <c r="S40" i="87"/>
  <c r="S46" i="87"/>
  <c r="S74" i="87"/>
  <c r="U125" i="87"/>
  <c r="Q135" i="87"/>
  <c r="T152" i="87"/>
  <c r="R152" i="87"/>
  <c r="M168" i="87"/>
  <c r="I167" i="87"/>
  <c r="R190" i="87"/>
  <c r="Q205" i="87"/>
  <c r="T190" i="87"/>
  <c r="AC193" i="87"/>
  <c r="AC205" i="87" s="1"/>
  <c r="AA193" i="87"/>
  <c r="S197" i="87"/>
  <c r="M205" i="87"/>
  <c r="Z208" i="87" s="1"/>
  <c r="I204" i="87"/>
  <c r="R36" i="88"/>
  <c r="S66" i="88"/>
  <c r="S109" i="89"/>
  <c r="T38" i="90"/>
  <c r="S38" i="90"/>
  <c r="R163" i="91"/>
  <c r="R162" i="91"/>
  <c r="R157" i="91"/>
  <c r="S168" i="91"/>
  <c r="E45" i="50" s="1"/>
  <c r="R74" i="87"/>
  <c r="T80" i="87"/>
  <c r="S152" i="87"/>
  <c r="U156" i="87"/>
  <c r="AA156" i="87" s="1"/>
  <c r="T156" i="87"/>
  <c r="AD156" i="87" s="1"/>
  <c r="AD168" i="87" s="1"/>
  <c r="S190" i="87"/>
  <c r="T197" i="87"/>
  <c r="Z36" i="88"/>
  <c r="U36" i="88"/>
  <c r="AD40" i="88"/>
  <c r="AD47" i="88" s="1"/>
  <c r="S97" i="88"/>
  <c r="AD102" i="88"/>
  <c r="AD107" i="88" s="1"/>
  <c r="U102" i="88"/>
  <c r="Y102" i="88"/>
  <c r="Y167" i="88"/>
  <c r="AB74" i="87"/>
  <c r="Z74" i="87"/>
  <c r="Z83" i="87"/>
  <c r="W83" i="87"/>
  <c r="AD119" i="87"/>
  <c r="AD135" i="87" s="1"/>
  <c r="U119" i="87"/>
  <c r="U168" i="87"/>
  <c r="Z152" i="87"/>
  <c r="Z168" i="87" s="1"/>
  <c r="Q168" i="87"/>
  <c r="S198" i="87"/>
  <c r="U67" i="88"/>
  <c r="AB67" i="88"/>
  <c r="Y67" i="88"/>
  <c r="S98" i="88"/>
  <c r="S78" i="89"/>
  <c r="R78" i="89"/>
  <c r="S40" i="85"/>
  <c r="S73" i="85"/>
  <c r="R42" i="86"/>
  <c r="R74" i="86"/>
  <c r="R112" i="86"/>
  <c r="R182" i="86"/>
  <c r="U38" i="87"/>
  <c r="U74" i="87"/>
  <c r="U77" i="87"/>
  <c r="AG83" i="87"/>
  <c r="AG89" i="87" s="1"/>
  <c r="AG215" i="87" s="1"/>
  <c r="T123" i="87"/>
  <c r="T126" i="87"/>
  <c r="S126" i="87"/>
  <c r="Q139" i="87"/>
  <c r="U153" i="87"/>
  <c r="Z153" i="87" s="1"/>
  <c r="R153" i="87"/>
  <c r="T194" i="87"/>
  <c r="S194" i="87"/>
  <c r="T198" i="87"/>
  <c r="R37" i="88"/>
  <c r="K49" i="88"/>
  <c r="R67" i="88"/>
  <c r="S127" i="88"/>
  <c r="R90" i="90"/>
  <c r="AA38" i="87"/>
  <c r="J58" i="87"/>
  <c r="S75" i="87"/>
  <c r="AD77" i="87"/>
  <c r="AD89" i="87" s="1"/>
  <c r="Z81" i="87"/>
  <c r="U81" i="87"/>
  <c r="M90" i="87"/>
  <c r="T153" i="87"/>
  <c r="AB153" i="87" s="1"/>
  <c r="K170" i="87"/>
  <c r="Q211" i="87"/>
  <c r="AA208" i="87"/>
  <c r="Q47" i="88"/>
  <c r="R33" i="88" s="1"/>
  <c r="S37" i="88"/>
  <c r="L49" i="88"/>
  <c r="S63" i="88"/>
  <c r="Q76" i="88"/>
  <c r="R63" i="88"/>
  <c r="S68" i="88"/>
  <c r="R123" i="88"/>
  <c r="Q51" i="89"/>
  <c r="S54" i="89" s="1"/>
  <c r="E32" i="60" s="1"/>
  <c r="S37" i="89"/>
  <c r="AE195" i="87"/>
  <c r="U195" i="87"/>
  <c r="AA33" i="88"/>
  <c r="Y33" i="88"/>
  <c r="T33" i="88"/>
  <c r="I46" i="88"/>
  <c r="T123" i="88"/>
  <c r="AA123" i="88"/>
  <c r="Z123" i="88"/>
  <c r="Y128" i="88"/>
  <c r="AD128" i="88"/>
  <c r="U128" i="88"/>
  <c r="Y38" i="89"/>
  <c r="Y51" i="89" s="1"/>
  <c r="T38" i="89"/>
  <c r="AA38" i="89"/>
  <c r="Q122" i="89"/>
  <c r="T45" i="90"/>
  <c r="S45" i="90"/>
  <c r="R190" i="90"/>
  <c r="S102" i="92"/>
  <c r="AA64" i="88"/>
  <c r="K109" i="88"/>
  <c r="M135" i="88"/>
  <c r="J136" i="88" s="1"/>
  <c r="R138" i="88"/>
  <c r="Z167" i="88"/>
  <c r="AA73" i="89"/>
  <c r="Y73" i="89"/>
  <c r="T73" i="89"/>
  <c r="S77" i="89"/>
  <c r="S108" i="89"/>
  <c r="J115" i="89"/>
  <c r="Y119" i="89"/>
  <c r="T71" i="90"/>
  <c r="S71" i="90"/>
  <c r="T75" i="90"/>
  <c r="S75" i="90"/>
  <c r="AC107" i="90"/>
  <c r="AC120" i="90" s="1"/>
  <c r="U107" i="90"/>
  <c r="AD110" i="90"/>
  <c r="V110" i="90"/>
  <c r="AF113" i="90"/>
  <c r="U113" i="90"/>
  <c r="AD174" i="90"/>
  <c r="V174" i="90"/>
  <c r="R123" i="91"/>
  <c r="Y71" i="93"/>
  <c r="V71" i="93"/>
  <c r="AB71" i="93"/>
  <c r="I134" i="87"/>
  <c r="M77" i="88"/>
  <c r="I78" i="88" s="1"/>
  <c r="S96" i="88"/>
  <c r="Q107" i="88"/>
  <c r="R102" i="88" s="1"/>
  <c r="M108" i="88"/>
  <c r="I166" i="88"/>
  <c r="R73" i="89"/>
  <c r="Z119" i="89"/>
  <c r="J83" i="90"/>
  <c r="S113" i="90"/>
  <c r="R120" i="90"/>
  <c r="S109" i="90" s="1"/>
  <c r="T140" i="90"/>
  <c r="S174" i="90"/>
  <c r="T178" i="90"/>
  <c r="I74" i="91"/>
  <c r="M75" i="91"/>
  <c r="Y78" i="91" s="1"/>
  <c r="Q113" i="91"/>
  <c r="AA123" i="91"/>
  <c r="Y123" i="91"/>
  <c r="T123" i="91"/>
  <c r="S82" i="92"/>
  <c r="E55" i="51" s="1"/>
  <c r="R77" i="92"/>
  <c r="S131" i="92"/>
  <c r="R131" i="92"/>
  <c r="K75" i="88"/>
  <c r="Q164" i="88"/>
  <c r="Q85" i="89"/>
  <c r="T72" i="90"/>
  <c r="S72" i="90"/>
  <c r="T76" i="90"/>
  <c r="S76" i="90"/>
  <c r="R148" i="90"/>
  <c r="S158" i="91"/>
  <c r="R158" i="91"/>
  <c r="M47" i="88"/>
  <c r="Z50" i="88" s="1"/>
  <c r="U65" i="88"/>
  <c r="R101" i="88"/>
  <c r="AB126" i="88"/>
  <c r="R155" i="88"/>
  <c r="R158" i="88"/>
  <c r="M164" i="88"/>
  <c r="AB41" i="89"/>
  <c r="AB51" i="89" s="1"/>
  <c r="U41" i="89"/>
  <c r="AE45" i="89"/>
  <c r="AE51" i="89" s="1"/>
  <c r="T45" i="89"/>
  <c r="T137" i="90"/>
  <c r="T141" i="90"/>
  <c r="S141" i="90"/>
  <c r="Q47" i="91"/>
  <c r="S36" i="91"/>
  <c r="R36" i="91"/>
  <c r="L49" i="91"/>
  <c r="S125" i="91"/>
  <c r="R125" i="91"/>
  <c r="Q134" i="91"/>
  <c r="J135" i="91"/>
  <c r="R159" i="91"/>
  <c r="S159" i="91"/>
  <c r="S42" i="93"/>
  <c r="R42" i="93"/>
  <c r="Z65" i="88"/>
  <c r="AB124" i="88"/>
  <c r="Z124" i="88"/>
  <c r="S155" i="88"/>
  <c r="AD110" i="89"/>
  <c r="AD116" i="89" s="1"/>
  <c r="Z110" i="89"/>
  <c r="T39" i="90"/>
  <c r="T43" i="90"/>
  <c r="S43" i="90"/>
  <c r="T47" i="90"/>
  <c r="M121" i="90"/>
  <c r="K122" i="90" s="1"/>
  <c r="J150" i="90"/>
  <c r="T42" i="91"/>
  <c r="AC42" i="91"/>
  <c r="Y42" i="91"/>
  <c r="Z66" i="91"/>
  <c r="AC67" i="91"/>
  <c r="Y67" i="91"/>
  <c r="AB164" i="92"/>
  <c r="Z164" i="92"/>
  <c r="T164" i="92"/>
  <c r="S75" i="89"/>
  <c r="R75" i="89"/>
  <c r="R79" i="89"/>
  <c r="Z88" i="89"/>
  <c r="U110" i="89"/>
  <c r="I55" i="90"/>
  <c r="T69" i="90"/>
  <c r="R84" i="90"/>
  <c r="S74" i="90" s="1"/>
  <c r="T73" i="90"/>
  <c r="T77" i="90"/>
  <c r="S77" i="90"/>
  <c r="J122" i="90"/>
  <c r="Z151" i="90"/>
  <c r="U67" i="91"/>
  <c r="U75" i="91" s="1"/>
  <c r="AA37" i="92"/>
  <c r="Z37" i="92"/>
  <c r="T37" i="92"/>
  <c r="T160" i="87"/>
  <c r="AE160" i="87" s="1"/>
  <c r="S191" i="87"/>
  <c r="T99" i="88"/>
  <c r="U124" i="88"/>
  <c r="Y79" i="89"/>
  <c r="S111" i="89"/>
  <c r="T138" i="90"/>
  <c r="T142" i="90"/>
  <c r="AF176" i="90"/>
  <c r="AA176" i="90"/>
  <c r="V176" i="90"/>
  <c r="Q52" i="91"/>
  <c r="R101" i="91"/>
  <c r="S136" i="92"/>
  <c r="R136" i="92"/>
  <c r="Z99" i="88"/>
  <c r="Q134" i="88"/>
  <c r="S122" i="88"/>
  <c r="Z137" i="88"/>
  <c r="S156" i="88"/>
  <c r="R156" i="88"/>
  <c r="S159" i="88"/>
  <c r="R159" i="88"/>
  <c r="AE79" i="89"/>
  <c r="M117" i="89"/>
  <c r="I118" i="89" s="1"/>
  <c r="T36" i="90"/>
  <c r="S36" i="90"/>
  <c r="T40" i="90"/>
  <c r="T44" i="90"/>
  <c r="M54" i="90"/>
  <c r="J55" i="90" s="1"/>
  <c r="R154" i="90"/>
  <c r="S38" i="91"/>
  <c r="R38" i="91"/>
  <c r="AC101" i="91"/>
  <c r="Y101" i="91"/>
  <c r="U101" i="91"/>
  <c r="U108" i="91" s="1"/>
  <c r="AE44" i="92"/>
  <c r="AE50" i="92" s="1"/>
  <c r="Y44" i="92"/>
  <c r="V44" i="92"/>
  <c r="V50" i="92" s="1"/>
  <c r="X112" i="93"/>
  <c r="Q117" i="93"/>
  <c r="R125" i="88"/>
  <c r="Q116" i="89"/>
  <c r="R108" i="89" s="1"/>
  <c r="S107" i="89"/>
  <c r="K118" i="89"/>
  <c r="L55" i="90"/>
  <c r="T70" i="90"/>
  <c r="T74" i="90"/>
  <c r="T78" i="90"/>
  <c r="S78" i="90"/>
  <c r="R126" i="90"/>
  <c r="AF139" i="90"/>
  <c r="AA139" i="90"/>
  <c r="V139" i="90"/>
  <c r="I147" i="90"/>
  <c r="S64" i="91"/>
  <c r="Z111" i="91"/>
  <c r="R128" i="91"/>
  <c r="AA127" i="93"/>
  <c r="AA139" i="93" s="1"/>
  <c r="Y127" i="93"/>
  <c r="T127" i="93"/>
  <c r="I109" i="88"/>
  <c r="S125" i="88"/>
  <c r="R128" i="88"/>
  <c r="Q168" i="88"/>
  <c r="R168" i="88" s="1"/>
  <c r="AD43" i="89"/>
  <c r="AD51" i="89" s="1"/>
  <c r="U43" i="89"/>
  <c r="Q91" i="89"/>
  <c r="T106" i="90"/>
  <c r="S106" i="90"/>
  <c r="T109" i="90"/>
  <c r="T112" i="90"/>
  <c r="S112" i="90"/>
  <c r="K119" i="90"/>
  <c r="I119" i="90"/>
  <c r="Z123" i="90"/>
  <c r="T173" i="90"/>
  <c r="R184" i="90"/>
  <c r="S173" i="90" s="1"/>
  <c r="T177" i="90"/>
  <c r="S177" i="90"/>
  <c r="J186" i="90"/>
  <c r="S69" i="91"/>
  <c r="R69" i="91"/>
  <c r="S103" i="91"/>
  <c r="AB128" i="91"/>
  <c r="Y128" i="91"/>
  <c r="V128" i="91"/>
  <c r="V134" i="91" s="1"/>
  <c r="R39" i="92"/>
  <c r="M79" i="92"/>
  <c r="I78" i="92"/>
  <c r="I115" i="89"/>
  <c r="M84" i="90"/>
  <c r="K183" i="90"/>
  <c r="R124" i="91"/>
  <c r="S36" i="92"/>
  <c r="Q50" i="92"/>
  <c r="R40" i="92" s="1"/>
  <c r="M50" i="92"/>
  <c r="T67" i="92"/>
  <c r="AA67" i="92"/>
  <c r="AB72" i="92"/>
  <c r="Y72" i="92"/>
  <c r="V72" i="92"/>
  <c r="V79" i="92" s="1"/>
  <c r="J78" i="92"/>
  <c r="T103" i="92"/>
  <c r="Y103" i="92"/>
  <c r="Z130" i="92"/>
  <c r="T130" i="92"/>
  <c r="AB130" i="92"/>
  <c r="AA35" i="93"/>
  <c r="T35" i="93"/>
  <c r="Z35" i="93"/>
  <c r="S131" i="93"/>
  <c r="R131" i="93"/>
  <c r="Q139" i="93"/>
  <c r="J49" i="91"/>
  <c r="S65" i="91"/>
  <c r="S68" i="91"/>
  <c r="S98" i="91"/>
  <c r="R98" i="91"/>
  <c r="Q108" i="91"/>
  <c r="S124" i="91"/>
  <c r="R37" i="92"/>
  <c r="S40" i="92"/>
  <c r="Z67" i="92"/>
  <c r="R72" i="92"/>
  <c r="AB103" i="92"/>
  <c r="S165" i="92"/>
  <c r="R35" i="93"/>
  <c r="S41" i="93"/>
  <c r="S167" i="93"/>
  <c r="R167" i="93"/>
  <c r="I87" i="89"/>
  <c r="I86" i="90"/>
  <c r="K150" i="90"/>
  <c r="AA151" i="90"/>
  <c r="R99" i="91"/>
  <c r="R102" i="91"/>
  <c r="Q114" i="91"/>
  <c r="R156" i="91"/>
  <c r="AB68" i="92"/>
  <c r="Z68" i="92"/>
  <c r="T68" i="92"/>
  <c r="M141" i="92"/>
  <c r="K140" i="92" s="1"/>
  <c r="M172" i="92"/>
  <c r="I173" i="92"/>
  <c r="Q52" i="94"/>
  <c r="R67" i="94"/>
  <c r="S67" i="94"/>
  <c r="J86" i="90"/>
  <c r="S37" i="91"/>
  <c r="R37" i="91"/>
  <c r="S40" i="91"/>
  <c r="R40" i="91"/>
  <c r="M48" i="91"/>
  <c r="K49" i="91" s="1"/>
  <c r="S99" i="91"/>
  <c r="S102" i="91"/>
  <c r="S156" i="91"/>
  <c r="Z53" i="92"/>
  <c r="Q112" i="92"/>
  <c r="S99" i="92"/>
  <c r="R99" i="92"/>
  <c r="S132" i="92"/>
  <c r="J173" i="92"/>
  <c r="S72" i="93"/>
  <c r="S165" i="94"/>
  <c r="R165" i="94"/>
  <c r="AA187" i="90"/>
  <c r="I46" i="91"/>
  <c r="R66" i="91"/>
  <c r="Y168" i="91"/>
  <c r="AD45" i="92"/>
  <c r="Y45" i="92"/>
  <c r="R69" i="92"/>
  <c r="R105" i="92"/>
  <c r="S105" i="92"/>
  <c r="AB68" i="93"/>
  <c r="T68" i="93"/>
  <c r="Y68" i="93"/>
  <c r="AA64" i="95"/>
  <c r="AA77" i="95" s="1"/>
  <c r="Y64" i="95"/>
  <c r="T64" i="95"/>
  <c r="S103" i="95"/>
  <c r="R103" i="95"/>
  <c r="S175" i="90"/>
  <c r="R41" i="91"/>
  <c r="Q75" i="91"/>
  <c r="R65" i="91" s="1"/>
  <c r="S126" i="91"/>
  <c r="R126" i="91"/>
  <c r="T38" i="92"/>
  <c r="AB38" i="92"/>
  <c r="S42" i="92"/>
  <c r="R42" i="92"/>
  <c r="Y69" i="92"/>
  <c r="AB69" i="92"/>
  <c r="T69" i="92"/>
  <c r="AD74" i="92"/>
  <c r="Y74" i="92"/>
  <c r="M80" i="92"/>
  <c r="I81" i="92" s="1"/>
  <c r="AB100" i="92"/>
  <c r="Z100" i="92"/>
  <c r="T100" i="92"/>
  <c r="AB38" i="93"/>
  <c r="Y38" i="93"/>
  <c r="T38" i="93"/>
  <c r="S104" i="93"/>
  <c r="K48" i="94"/>
  <c r="J48" i="94"/>
  <c r="I79" i="95"/>
  <c r="L79" i="95"/>
  <c r="T175" i="90"/>
  <c r="S41" i="91"/>
  <c r="I49" i="91"/>
  <c r="S63" i="91"/>
  <c r="AB66" i="91"/>
  <c r="I77" i="91"/>
  <c r="M109" i="91"/>
  <c r="J110" i="91"/>
  <c r="Z38" i="92"/>
  <c r="U74" i="92"/>
  <c r="AC69" i="93"/>
  <c r="AC77" i="93" s="1"/>
  <c r="Z69" i="93"/>
  <c r="Q112" i="93"/>
  <c r="S99" i="93"/>
  <c r="S132" i="94"/>
  <c r="Q51" i="91"/>
  <c r="T100" i="91"/>
  <c r="AA100" i="91"/>
  <c r="K110" i="91"/>
  <c r="T157" i="91"/>
  <c r="AA157" i="91"/>
  <c r="M166" i="91"/>
  <c r="J166" i="91"/>
  <c r="S70" i="92"/>
  <c r="AB101" i="92"/>
  <c r="Y101" i="92"/>
  <c r="T101" i="92"/>
  <c r="Q116" i="92"/>
  <c r="AB134" i="92"/>
  <c r="Y134" i="92"/>
  <c r="I170" i="92"/>
  <c r="S39" i="93"/>
  <c r="M113" i="93"/>
  <c r="L114" i="93" s="1"/>
  <c r="U108" i="90"/>
  <c r="V111" i="90"/>
  <c r="U114" i="90"/>
  <c r="R67" i="91"/>
  <c r="K77" i="91"/>
  <c r="Y137" i="91"/>
  <c r="Z157" i="91"/>
  <c r="J52" i="92"/>
  <c r="S66" i="92"/>
  <c r="S71" i="92"/>
  <c r="R71" i="92"/>
  <c r="AA129" i="92"/>
  <c r="AA141" i="92" s="1"/>
  <c r="Z129" i="92"/>
  <c r="T129" i="92"/>
  <c r="V134" i="92"/>
  <c r="J143" i="92"/>
  <c r="K170" i="92"/>
  <c r="M171" i="92"/>
  <c r="S64" i="93"/>
  <c r="S107" i="93"/>
  <c r="K114" i="93"/>
  <c r="S101" i="94"/>
  <c r="R101" i="94"/>
  <c r="L77" i="91"/>
  <c r="Y100" i="91"/>
  <c r="S127" i="91"/>
  <c r="R127" i="91"/>
  <c r="S43" i="92"/>
  <c r="R43" i="92"/>
  <c r="K52" i="92"/>
  <c r="Q84" i="92"/>
  <c r="S34" i="93"/>
  <c r="Q47" i="93"/>
  <c r="R41" i="93" s="1"/>
  <c r="R34" i="93"/>
  <c r="AA65" i="93"/>
  <c r="Y65" i="93"/>
  <c r="T65" i="93"/>
  <c r="Q144" i="94"/>
  <c r="M142" i="92"/>
  <c r="Z144" i="92" s="1"/>
  <c r="R166" i="93"/>
  <c r="K78" i="92"/>
  <c r="S104" i="92"/>
  <c r="R104" i="92"/>
  <c r="AE179" i="92"/>
  <c r="I79" i="93"/>
  <c r="S103" i="93"/>
  <c r="R127" i="93"/>
  <c r="S162" i="93"/>
  <c r="R162" i="93"/>
  <c r="S166" i="93"/>
  <c r="S66" i="94"/>
  <c r="W75" i="94"/>
  <c r="Q80" i="94"/>
  <c r="S102" i="94"/>
  <c r="R102" i="94"/>
  <c r="S133" i="94"/>
  <c r="I52" i="92"/>
  <c r="K114" i="92"/>
  <c r="S162" i="92"/>
  <c r="Q171" i="92"/>
  <c r="R132" i="93"/>
  <c r="S132" i="93"/>
  <c r="S34" i="94"/>
  <c r="Q46" i="94"/>
  <c r="R34" i="94"/>
  <c r="M75" i="94"/>
  <c r="K76" i="94" s="1"/>
  <c r="J76" i="94"/>
  <c r="R99" i="94"/>
  <c r="S99" i="94"/>
  <c r="Y128" i="94"/>
  <c r="T128" i="94"/>
  <c r="AA128" i="94"/>
  <c r="S66" i="95"/>
  <c r="Q165" i="95"/>
  <c r="S158" i="95"/>
  <c r="R158" i="95"/>
  <c r="M113" i="92"/>
  <c r="R135" i="92"/>
  <c r="S36" i="93"/>
  <c r="J49" i="93"/>
  <c r="AB66" i="93"/>
  <c r="T66" i="93"/>
  <c r="M78" i="93"/>
  <c r="J79" i="93" s="1"/>
  <c r="Z100" i="93"/>
  <c r="T100" i="93"/>
  <c r="S35" i="94"/>
  <c r="R35" i="94"/>
  <c r="S135" i="92"/>
  <c r="K49" i="93"/>
  <c r="I76" i="93"/>
  <c r="S105" i="93"/>
  <c r="R105" i="93"/>
  <c r="AB128" i="93"/>
  <c r="Z128" i="93"/>
  <c r="T128" i="93"/>
  <c r="S133" i="93"/>
  <c r="R133" i="93"/>
  <c r="Q51" i="94"/>
  <c r="AA63" i="94"/>
  <c r="Z63" i="94"/>
  <c r="T63" i="94"/>
  <c r="M110" i="94"/>
  <c r="S129" i="94"/>
  <c r="Q140" i="91"/>
  <c r="M47" i="93"/>
  <c r="L49" i="93"/>
  <c r="AD70" i="93"/>
  <c r="AD77" i="93" s="1"/>
  <c r="Z70" i="93"/>
  <c r="T70" i="93"/>
  <c r="AA100" i="93"/>
  <c r="AB129" i="93"/>
  <c r="Y129" i="93"/>
  <c r="T129" i="93"/>
  <c r="R164" i="93"/>
  <c r="T36" i="94"/>
  <c r="AA36" i="94"/>
  <c r="Y36" i="94"/>
  <c r="AA64" i="94"/>
  <c r="Y64" i="94"/>
  <c r="T64" i="94"/>
  <c r="AB37" i="93"/>
  <c r="T37" i="93"/>
  <c r="Z40" i="93"/>
  <c r="T40" i="93"/>
  <c r="Q77" i="93"/>
  <c r="R63" i="93" s="1"/>
  <c r="S63" i="93"/>
  <c r="S67" i="93"/>
  <c r="R106" i="93"/>
  <c r="R134" i="93"/>
  <c r="AC164" i="93"/>
  <c r="AC172" i="93" s="1"/>
  <c r="T164" i="93"/>
  <c r="Z164" i="93"/>
  <c r="K140" i="94"/>
  <c r="J140" i="94"/>
  <c r="Q179" i="94"/>
  <c r="S132" i="95"/>
  <c r="R45" i="92"/>
  <c r="S133" i="92"/>
  <c r="Y144" i="92"/>
  <c r="Z163" i="92"/>
  <c r="Z171" i="92" s="1"/>
  <c r="Y166" i="92"/>
  <c r="T166" i="92"/>
  <c r="E17" i="93"/>
  <c r="Z37" i="93"/>
  <c r="AC40" i="93"/>
  <c r="AC47" i="93" s="1"/>
  <c r="Y80" i="93"/>
  <c r="S101" i="93"/>
  <c r="S106" i="93"/>
  <c r="Q115" i="93"/>
  <c r="AE134" i="93"/>
  <c r="AE139" i="93" s="1"/>
  <c r="V134" i="93"/>
  <c r="M140" i="93"/>
  <c r="R160" i="93"/>
  <c r="S160" i="93"/>
  <c r="Q172" i="93"/>
  <c r="Y175" i="93"/>
  <c r="AF69" i="94"/>
  <c r="AF74" i="94" s="1"/>
  <c r="Y69" i="94"/>
  <c r="V69" i="94"/>
  <c r="V74" i="94" s="1"/>
  <c r="Y99" i="95"/>
  <c r="T99" i="95"/>
  <c r="AA99" i="95"/>
  <c r="R101" i="92"/>
  <c r="R128" i="92"/>
  <c r="R68" i="93"/>
  <c r="Z80" i="93"/>
  <c r="AB102" i="93"/>
  <c r="T102" i="93"/>
  <c r="T130" i="93"/>
  <c r="Y130" i="93"/>
  <c r="S161" i="93"/>
  <c r="R161" i="93"/>
  <c r="X75" i="94"/>
  <c r="Q79" i="94"/>
  <c r="Q116" i="94"/>
  <c r="S74" i="94"/>
  <c r="Q178" i="94"/>
  <c r="I47" i="95"/>
  <c r="Z51" i="95"/>
  <c r="Y51" i="95"/>
  <c r="AC130" i="95"/>
  <c r="Z130" i="95"/>
  <c r="T130" i="95"/>
  <c r="S68" i="96"/>
  <c r="M139" i="93"/>
  <c r="K138" i="93" s="1"/>
  <c r="I141" i="93"/>
  <c r="Y39" i="94"/>
  <c r="T39" i="94"/>
  <c r="Y77" i="94"/>
  <c r="AA126" i="94"/>
  <c r="Q173" i="94"/>
  <c r="S161" i="94"/>
  <c r="R161" i="94"/>
  <c r="J79" i="95"/>
  <c r="M173" i="93"/>
  <c r="R63" i="94"/>
  <c r="Q48" i="95"/>
  <c r="S35" i="95"/>
  <c r="I110" i="95"/>
  <c r="M111" i="95"/>
  <c r="M51" i="96"/>
  <c r="J52" i="96" s="1"/>
  <c r="I49" i="93"/>
  <c r="Z37" i="94"/>
  <c r="S103" i="94"/>
  <c r="R103" i="94"/>
  <c r="R127" i="94"/>
  <c r="AC130" i="94"/>
  <c r="AC138" i="94" s="1"/>
  <c r="U130" i="94"/>
  <c r="U138" i="94" s="1"/>
  <c r="S40" i="95"/>
  <c r="S104" i="95"/>
  <c r="R104" i="95"/>
  <c r="S112" i="96"/>
  <c r="Q120" i="96"/>
  <c r="L76" i="94"/>
  <c r="S127" i="94"/>
  <c r="R163" i="94"/>
  <c r="M174" i="94"/>
  <c r="M77" i="95"/>
  <c r="Y80" i="95" s="1"/>
  <c r="S127" i="95"/>
  <c r="R127" i="95"/>
  <c r="Q138" i="95"/>
  <c r="Q141" i="92"/>
  <c r="R38" i="94"/>
  <c r="K45" i="94"/>
  <c r="I45" i="94"/>
  <c r="L48" i="94"/>
  <c r="I112" i="94"/>
  <c r="M111" i="94"/>
  <c r="Z130" i="94"/>
  <c r="I137" i="94"/>
  <c r="S163" i="94"/>
  <c r="S42" i="95"/>
  <c r="L49" i="95"/>
  <c r="S105" i="95"/>
  <c r="R105" i="95"/>
  <c r="R106" i="92"/>
  <c r="R38" i="93"/>
  <c r="R69" i="93"/>
  <c r="Q142" i="93"/>
  <c r="R165" i="93"/>
  <c r="S38" i="94"/>
  <c r="M74" i="94"/>
  <c r="Z77" i="94" s="1"/>
  <c r="Y100" i="94"/>
  <c r="T100" i="94"/>
  <c r="R163" i="93"/>
  <c r="T165" i="93"/>
  <c r="Q74" i="94"/>
  <c r="R129" i="94" s="1"/>
  <c r="Q115" i="94"/>
  <c r="S131" i="94"/>
  <c r="R131" i="94"/>
  <c r="M138" i="94"/>
  <c r="K137" i="94" s="1"/>
  <c r="AB164" i="94"/>
  <c r="AB173" i="94" s="1"/>
  <c r="Z164" i="94"/>
  <c r="T164" i="94"/>
  <c r="S168" i="94"/>
  <c r="R168" i="94"/>
  <c r="Q54" i="95"/>
  <c r="Q143" i="95"/>
  <c r="R36" i="94"/>
  <c r="AB65" i="94"/>
  <c r="AB74" i="94" s="1"/>
  <c r="T65" i="94"/>
  <c r="Q138" i="94"/>
  <c r="Q53" i="95"/>
  <c r="M49" i="95"/>
  <c r="Q77" i="95"/>
  <c r="K79" i="95"/>
  <c r="S131" i="95"/>
  <c r="S44" i="96"/>
  <c r="I140" i="94"/>
  <c r="S68" i="95"/>
  <c r="R68" i="95"/>
  <c r="R99" i="95"/>
  <c r="I137" i="95"/>
  <c r="S159" i="95"/>
  <c r="L85" i="96"/>
  <c r="M84" i="96"/>
  <c r="S113" i="96"/>
  <c r="S139" i="96"/>
  <c r="I48" i="94"/>
  <c r="S65" i="95"/>
  <c r="R65" i="95"/>
  <c r="K110" i="95"/>
  <c r="S35" i="96"/>
  <c r="Q50" i="96"/>
  <c r="R40" i="96" s="1"/>
  <c r="S40" i="96"/>
  <c r="S75" i="96"/>
  <c r="R164" i="94"/>
  <c r="I175" i="94"/>
  <c r="S100" i="95"/>
  <c r="R100" i="95"/>
  <c r="Q111" i="95"/>
  <c r="S128" i="95"/>
  <c r="R128" i="95"/>
  <c r="S160" i="95"/>
  <c r="R160" i="95"/>
  <c r="Q171" i="95"/>
  <c r="S36" i="96"/>
  <c r="R36" i="96"/>
  <c r="R41" i="96"/>
  <c r="AC70" i="96"/>
  <c r="Y70" i="96"/>
  <c r="T70" i="96"/>
  <c r="S141" i="96"/>
  <c r="AE61" i="97"/>
  <c r="Z61" i="97"/>
  <c r="U61" i="97"/>
  <c r="S41" i="96"/>
  <c r="I49" i="96"/>
  <c r="AA62" i="94"/>
  <c r="AB36" i="95"/>
  <c r="AB48" i="95" s="1"/>
  <c r="V70" i="95"/>
  <c r="AE70" i="95"/>
  <c r="AE77" i="95" s="1"/>
  <c r="AE174" i="95" s="1"/>
  <c r="S101" i="95"/>
  <c r="R101" i="95"/>
  <c r="Z141" i="95"/>
  <c r="R37" i="96"/>
  <c r="R42" i="96"/>
  <c r="K49" i="96"/>
  <c r="M50" i="96"/>
  <c r="Z53" i="96" s="1"/>
  <c r="AC109" i="96"/>
  <c r="Y109" i="96"/>
  <c r="T109" i="96"/>
  <c r="L154" i="96"/>
  <c r="J154" i="96"/>
  <c r="I154" i="96"/>
  <c r="Y167" i="94"/>
  <c r="V167" i="94"/>
  <c r="S37" i="95"/>
  <c r="S129" i="95"/>
  <c r="R129" i="95"/>
  <c r="AC37" i="96"/>
  <c r="Z37" i="96"/>
  <c r="AD42" i="96"/>
  <c r="Z42" i="96"/>
  <c r="K82" i="96"/>
  <c r="AF63" i="97"/>
  <c r="Z63" i="97"/>
  <c r="U63" i="97"/>
  <c r="T163" i="97"/>
  <c r="R37" i="94"/>
  <c r="R68" i="94"/>
  <c r="R98" i="94"/>
  <c r="Q110" i="94"/>
  <c r="S162" i="94"/>
  <c r="R162" i="94"/>
  <c r="R167" i="94"/>
  <c r="S41" i="95"/>
  <c r="Q52" i="95"/>
  <c r="Y114" i="95"/>
  <c r="K167" i="95"/>
  <c r="J167" i="95"/>
  <c r="T37" i="96"/>
  <c r="U42" i="96"/>
  <c r="S106" i="96"/>
  <c r="S144" i="96"/>
  <c r="AE167" i="94"/>
  <c r="AE173" i="94" s="1"/>
  <c r="AE184" i="94" s="1"/>
  <c r="M173" i="94"/>
  <c r="AF71" i="95"/>
  <c r="AF77" i="95" s="1"/>
  <c r="AF174" i="95" s="1"/>
  <c r="Y71" i="95"/>
  <c r="V71" i="95"/>
  <c r="S102" i="95"/>
  <c r="R102" i="95"/>
  <c r="Z114" i="95"/>
  <c r="Q170" i="95"/>
  <c r="S179" i="96"/>
  <c r="S38" i="95"/>
  <c r="S67" i="96"/>
  <c r="R67" i="96"/>
  <c r="Z137" i="96"/>
  <c r="T137" i="96"/>
  <c r="AB137" i="96"/>
  <c r="AB152" i="96" s="1"/>
  <c r="S174" i="96"/>
  <c r="Q189" i="96"/>
  <c r="R176" i="97"/>
  <c r="AA34" i="96"/>
  <c r="Y34" i="96"/>
  <c r="R74" i="96"/>
  <c r="M120" i="96"/>
  <c r="S136" i="96"/>
  <c r="R136" i="96"/>
  <c r="Q152" i="96"/>
  <c r="R139" i="96" s="1"/>
  <c r="AA30" i="97"/>
  <c r="V30" i="97"/>
  <c r="T62" i="97"/>
  <c r="AF106" i="97"/>
  <c r="T130" i="97"/>
  <c r="S130" i="97"/>
  <c r="T34" i="96"/>
  <c r="T39" i="96"/>
  <c r="S71" i="96"/>
  <c r="S74" i="96"/>
  <c r="M83" i="96"/>
  <c r="I82" i="96" s="1"/>
  <c r="K154" i="96"/>
  <c r="S175" i="96"/>
  <c r="AC30" i="97"/>
  <c r="AC40" i="97" s="1"/>
  <c r="N73" i="97"/>
  <c r="L74" i="97" s="1"/>
  <c r="R118" i="99"/>
  <c r="AC58" i="97"/>
  <c r="AA58" i="97"/>
  <c r="T126" i="97"/>
  <c r="T159" i="97"/>
  <c r="R172" i="97"/>
  <c r="S163" i="97" s="1"/>
  <c r="S159" i="97"/>
  <c r="Q45" i="98"/>
  <c r="R34" i="98"/>
  <c r="S34" i="98"/>
  <c r="T96" i="98"/>
  <c r="Y96" i="98"/>
  <c r="AC96" i="98"/>
  <c r="S149" i="98"/>
  <c r="Q83" i="95"/>
  <c r="Q55" i="96"/>
  <c r="Q126" i="96"/>
  <c r="Q157" i="96"/>
  <c r="S181" i="96"/>
  <c r="V58" i="97"/>
  <c r="S64" i="97"/>
  <c r="T64" i="97"/>
  <c r="R77" i="97"/>
  <c r="AE132" i="97"/>
  <c r="Z132" i="97"/>
  <c r="U132" i="97"/>
  <c r="N140" i="97"/>
  <c r="AA175" i="97"/>
  <c r="S120" i="99"/>
  <c r="Q163" i="99"/>
  <c r="K47" i="95"/>
  <c r="AD72" i="96"/>
  <c r="U72" i="96"/>
  <c r="R110" i="96"/>
  <c r="M152" i="96"/>
  <c r="Y176" i="96"/>
  <c r="AA176" i="96"/>
  <c r="T176" i="96"/>
  <c r="K191" i="96"/>
  <c r="L42" i="97"/>
  <c r="N41" i="97"/>
  <c r="S133" i="97"/>
  <c r="T133" i="97"/>
  <c r="I113" i="95"/>
  <c r="I164" i="95"/>
  <c r="S38" i="96"/>
  <c r="R38" i="96"/>
  <c r="AA107" i="96"/>
  <c r="AA120" i="96" s="1"/>
  <c r="T107" i="96"/>
  <c r="T110" i="96"/>
  <c r="S138" i="96"/>
  <c r="S142" i="96"/>
  <c r="J191" i="96"/>
  <c r="T65" i="97"/>
  <c r="S65" i="97"/>
  <c r="K71" i="97"/>
  <c r="AE101" i="97"/>
  <c r="Z101" i="97"/>
  <c r="U101" i="97"/>
  <c r="Z165" i="97"/>
  <c r="AF165" i="97"/>
  <c r="U165" i="97"/>
  <c r="I140" i="95"/>
  <c r="S43" i="96"/>
  <c r="R43" i="96"/>
  <c r="K52" i="96"/>
  <c r="S66" i="96"/>
  <c r="Q83" i="96"/>
  <c r="R68" i="96" s="1"/>
  <c r="AC69" i="96"/>
  <c r="Z69" i="96"/>
  <c r="T69" i="96"/>
  <c r="Y86" i="96"/>
  <c r="Y110" i="96"/>
  <c r="S114" i="96"/>
  <c r="Z177" i="96"/>
  <c r="AC177" i="96"/>
  <c r="AC189" i="96" s="1"/>
  <c r="T96" i="97"/>
  <c r="S96" i="97"/>
  <c r="L108" i="97"/>
  <c r="N107" i="97"/>
  <c r="J108" i="97" s="1"/>
  <c r="AG134" i="97"/>
  <c r="AA134" i="97"/>
  <c r="W134" i="97"/>
  <c r="AB92" i="98"/>
  <c r="U92" i="98"/>
  <c r="Y92" i="98"/>
  <c r="R69" i="96"/>
  <c r="R73" i="96"/>
  <c r="I85" i="96"/>
  <c r="Z86" i="96"/>
  <c r="S143" i="96"/>
  <c r="R143" i="96"/>
  <c r="T177" i="96"/>
  <c r="Q194" i="96"/>
  <c r="T32" i="97"/>
  <c r="S32" i="97"/>
  <c r="T60" i="97"/>
  <c r="S60" i="97"/>
  <c r="R72" i="97"/>
  <c r="R111" i="97"/>
  <c r="U36" i="98"/>
  <c r="AB36" i="98"/>
  <c r="AB45" i="98" s="1"/>
  <c r="Y36" i="98"/>
  <c r="S73" i="96"/>
  <c r="J85" i="96"/>
  <c r="S111" i="96"/>
  <c r="Z192" i="96"/>
  <c r="R40" i="97"/>
  <c r="S29" i="97"/>
  <c r="R46" i="97"/>
  <c r="J71" i="97"/>
  <c r="M71" i="97"/>
  <c r="T135" i="97"/>
  <c r="I52" i="96"/>
  <c r="Y53" i="96"/>
  <c r="K85" i="96"/>
  <c r="M121" i="96"/>
  <c r="K122" i="96" s="1"/>
  <c r="M189" i="96"/>
  <c r="I188" i="96" s="1"/>
  <c r="T29" i="97"/>
  <c r="S61" i="97"/>
  <c r="T98" i="97"/>
  <c r="S98" i="97"/>
  <c r="AF172" i="97"/>
  <c r="S116" i="98"/>
  <c r="Q123" i="98"/>
  <c r="R116" i="98" s="1"/>
  <c r="Q195" i="96"/>
  <c r="L71" i="97"/>
  <c r="Z162" i="97"/>
  <c r="U162" i="97"/>
  <c r="I191" i="96"/>
  <c r="T33" i="97"/>
  <c r="S59" i="97"/>
  <c r="S99" i="97"/>
  <c r="R177" i="97"/>
  <c r="M45" i="98"/>
  <c r="J44" i="98" s="1"/>
  <c r="S148" i="98"/>
  <c r="R73" i="99"/>
  <c r="AA110" i="99"/>
  <c r="AA125" i="99" s="1"/>
  <c r="Y110" i="99"/>
  <c r="T110" i="99"/>
  <c r="S97" i="97"/>
  <c r="R140" i="97"/>
  <c r="I68" i="98"/>
  <c r="M69" i="98"/>
  <c r="L68" i="98" s="1"/>
  <c r="S93" i="98"/>
  <c r="K98" i="98"/>
  <c r="Y102" i="98"/>
  <c r="AA112" i="99"/>
  <c r="Y112" i="99"/>
  <c r="T112" i="99"/>
  <c r="S148" i="99"/>
  <c r="R148" i="99"/>
  <c r="AA57" i="97"/>
  <c r="V97" i="97"/>
  <c r="K105" i="97"/>
  <c r="T125" i="97"/>
  <c r="T160" i="97"/>
  <c r="S61" i="98"/>
  <c r="Q69" i="98"/>
  <c r="R65" i="98" s="1"/>
  <c r="R61" i="98"/>
  <c r="Q153" i="98"/>
  <c r="S144" i="98"/>
  <c r="R144" i="98"/>
  <c r="S34" i="97"/>
  <c r="V72" i="97"/>
  <c r="Z97" i="97"/>
  <c r="L105" i="97"/>
  <c r="R39" i="98"/>
  <c r="Q99" i="98"/>
  <c r="K125" i="98"/>
  <c r="L125" i="98"/>
  <c r="S145" i="98"/>
  <c r="R145" i="98"/>
  <c r="S30" i="97"/>
  <c r="T34" i="97"/>
  <c r="AB57" i="97"/>
  <c r="AB72" i="97" s="1"/>
  <c r="U100" i="97"/>
  <c r="M105" i="97"/>
  <c r="Z109" i="97"/>
  <c r="T128" i="97"/>
  <c r="T131" i="97"/>
  <c r="S131" i="97"/>
  <c r="AA166" i="97"/>
  <c r="S39" i="98"/>
  <c r="V119" i="98"/>
  <c r="Y119" i="98"/>
  <c r="T178" i="96"/>
  <c r="U180" i="96"/>
  <c r="Z43" i="97"/>
  <c r="S63" i="97"/>
  <c r="S66" i="97"/>
  <c r="R78" i="97"/>
  <c r="R106" i="97"/>
  <c r="AF100" i="97"/>
  <c r="AE166" i="97"/>
  <c r="J47" i="98"/>
  <c r="Z62" i="98"/>
  <c r="U62" i="98"/>
  <c r="AE119" i="98"/>
  <c r="AE123" i="98" s="1"/>
  <c r="Y178" i="96"/>
  <c r="Z180" i="96"/>
  <c r="W66" i="97"/>
  <c r="N172" i="97"/>
  <c r="L171" i="97" s="1"/>
  <c r="AB62" i="98"/>
  <c r="AB69" i="98" s="1"/>
  <c r="R147" i="98"/>
  <c r="S47" i="99"/>
  <c r="Q90" i="99"/>
  <c r="N40" i="97"/>
  <c r="K39" i="97" s="1"/>
  <c r="K42" i="97"/>
  <c r="Z75" i="97"/>
  <c r="K108" i="97"/>
  <c r="AA109" i="97"/>
  <c r="N141" i="97"/>
  <c r="AD161" i="97"/>
  <c r="AD172" i="97" s="1"/>
  <c r="AD182" i="97" s="1"/>
  <c r="Z161" i="97"/>
  <c r="AA164" i="97"/>
  <c r="Z167" i="97"/>
  <c r="AG167" i="97"/>
  <c r="AG172" i="97" s="1"/>
  <c r="Q50" i="98"/>
  <c r="S90" i="98"/>
  <c r="I125" i="98"/>
  <c r="S147" i="98"/>
  <c r="AA36" i="99"/>
  <c r="Z36" i="99"/>
  <c r="T36" i="99"/>
  <c r="S41" i="99"/>
  <c r="T45" i="99"/>
  <c r="AI45" i="99"/>
  <c r="Y45" i="99"/>
  <c r="Z56" i="99"/>
  <c r="Q91" i="99"/>
  <c r="Z111" i="99"/>
  <c r="AA111" i="99"/>
  <c r="T111" i="99"/>
  <c r="T118" i="99"/>
  <c r="AH118" i="99"/>
  <c r="AH125" i="99" s="1"/>
  <c r="Z118" i="99"/>
  <c r="Q158" i="99"/>
  <c r="R145" i="99" s="1"/>
  <c r="S143" i="99"/>
  <c r="R143" i="99"/>
  <c r="Y161" i="99"/>
  <c r="L47" i="98"/>
  <c r="Y63" i="98"/>
  <c r="U63" i="98"/>
  <c r="R37" i="99"/>
  <c r="S37" i="99"/>
  <c r="AI46" i="99"/>
  <c r="Y46" i="99"/>
  <c r="T46" i="99"/>
  <c r="AC72" i="99"/>
  <c r="AC85" i="99" s="1"/>
  <c r="Y72" i="99"/>
  <c r="T72" i="99"/>
  <c r="R112" i="99"/>
  <c r="S119" i="99"/>
  <c r="R119" i="99"/>
  <c r="AC37" i="98"/>
  <c r="T37" i="98"/>
  <c r="Q74" i="98"/>
  <c r="K155" i="98"/>
  <c r="Q58" i="99"/>
  <c r="Z73" i="99"/>
  <c r="T73" i="99"/>
  <c r="S113" i="99"/>
  <c r="R113" i="99"/>
  <c r="S150" i="99"/>
  <c r="R150" i="99"/>
  <c r="R91" i="98"/>
  <c r="S91" i="98"/>
  <c r="Y120" i="98"/>
  <c r="V120" i="98"/>
  <c r="Z126" i="98"/>
  <c r="S38" i="99"/>
  <c r="T68" i="99"/>
  <c r="AA68" i="99"/>
  <c r="Y68" i="99"/>
  <c r="Z151" i="99"/>
  <c r="V151" i="99"/>
  <c r="R35" i="98"/>
  <c r="Z37" i="98"/>
  <c r="T40" i="98"/>
  <c r="Y94" i="98"/>
  <c r="Y117" i="98"/>
  <c r="Y123" i="98" s="1"/>
  <c r="R69" i="99"/>
  <c r="S74" i="99"/>
  <c r="S78" i="99"/>
  <c r="S114" i="99"/>
  <c r="S145" i="99"/>
  <c r="AJ151" i="99"/>
  <c r="AJ158" i="99" s="1"/>
  <c r="U35" i="98"/>
  <c r="Y40" i="98"/>
  <c r="AC94" i="98"/>
  <c r="AC117" i="98"/>
  <c r="AC123" i="98" s="1"/>
  <c r="AF120" i="98"/>
  <c r="AF123" i="98" s="1"/>
  <c r="AF163" i="98" s="1"/>
  <c r="AC48" i="99"/>
  <c r="Y48" i="99"/>
  <c r="T48" i="99"/>
  <c r="M54" i="99"/>
  <c r="Z69" i="99"/>
  <c r="T69" i="99"/>
  <c r="R75" i="99"/>
  <c r="AD115" i="99"/>
  <c r="AD125" i="99" s="1"/>
  <c r="Y115" i="99"/>
  <c r="T115" i="99"/>
  <c r="R152" i="99"/>
  <c r="S57" i="97"/>
  <c r="S67" i="97"/>
  <c r="S95" i="97"/>
  <c r="S100" i="97"/>
  <c r="Z35" i="98"/>
  <c r="R38" i="98"/>
  <c r="Y95" i="98"/>
  <c r="T95" i="98"/>
  <c r="M100" i="98"/>
  <c r="I101" i="98" s="1"/>
  <c r="Z115" i="98"/>
  <c r="T118" i="98"/>
  <c r="T123" i="98" s="1"/>
  <c r="Q125" i="98" s="1"/>
  <c r="Z118" i="98"/>
  <c r="S146" i="98"/>
  <c r="R146" i="98"/>
  <c r="T39" i="99"/>
  <c r="AC39" i="99"/>
  <c r="AG43" i="99"/>
  <c r="AG53" i="99" s="1"/>
  <c r="AC43" i="99"/>
  <c r="Y43" i="99"/>
  <c r="Q59" i="99"/>
  <c r="Z88" i="99"/>
  <c r="R116" i="99"/>
  <c r="S116" i="99"/>
  <c r="AC146" i="99"/>
  <c r="AC158" i="99" s="1"/>
  <c r="Y146" i="99"/>
  <c r="T146" i="99"/>
  <c r="Y152" i="99"/>
  <c r="V152" i="99"/>
  <c r="AK152" i="99"/>
  <c r="AK158" i="99" s="1"/>
  <c r="AK168" i="99" s="1"/>
  <c r="T95" i="97"/>
  <c r="S38" i="98"/>
  <c r="Q51" i="98"/>
  <c r="R62" i="98"/>
  <c r="AC64" i="98"/>
  <c r="AC69" i="98" s="1"/>
  <c r="M70" i="98"/>
  <c r="AC150" i="98"/>
  <c r="T150" i="98"/>
  <c r="Q53" i="99"/>
  <c r="Y39" i="99"/>
  <c r="V43" i="99"/>
  <c r="R70" i="99"/>
  <c r="S70" i="99"/>
  <c r="Y75" i="99"/>
  <c r="S35" i="99"/>
  <c r="S44" i="99"/>
  <c r="S71" i="99"/>
  <c r="S85" i="99" s="1"/>
  <c r="R71" i="99"/>
  <c r="AG75" i="99"/>
  <c r="AG85" i="99" s="1"/>
  <c r="Y79" i="99"/>
  <c r="S117" i="99"/>
  <c r="R117" i="99"/>
  <c r="Q125" i="99"/>
  <c r="S153" i="99"/>
  <c r="N173" i="97"/>
  <c r="K174" i="97" s="1"/>
  <c r="D22" i="98"/>
  <c r="R36" i="98"/>
  <c r="I47" i="98"/>
  <c r="Z48" i="98"/>
  <c r="Y65" i="98"/>
  <c r="V65" i="98"/>
  <c r="V69" i="98" s="1"/>
  <c r="J68" i="98"/>
  <c r="AA115" i="98"/>
  <c r="AA123" i="98" s="1"/>
  <c r="M123" i="98"/>
  <c r="I122" i="98"/>
  <c r="Y150" i="98"/>
  <c r="Y40" i="99"/>
  <c r="AD40" i="99"/>
  <c r="AD53" i="99" s="1"/>
  <c r="AD168" i="99" s="1"/>
  <c r="T40" i="99"/>
  <c r="S76" i="99"/>
  <c r="R76" i="99"/>
  <c r="S80" i="99"/>
  <c r="R110" i="99"/>
  <c r="Q164" i="99"/>
  <c r="T147" i="99"/>
  <c r="Z147" i="99"/>
  <c r="R147" i="99"/>
  <c r="R68" i="99"/>
  <c r="Q85" i="99"/>
  <c r="J71" i="98"/>
  <c r="J125" i="98"/>
  <c r="R115" i="99"/>
  <c r="I98" i="98"/>
  <c r="Z156" i="98"/>
  <c r="T42" i="99"/>
  <c r="R111" i="99"/>
  <c r="R144" i="99"/>
  <c r="R151" i="99"/>
  <c r="M159" i="99"/>
  <c r="Y42" i="99"/>
  <c r="K47" i="98"/>
  <c r="Z42" i="99"/>
  <c r="T144" i="99"/>
  <c r="R149" i="99"/>
  <c r="S149" i="99"/>
  <c r="Q130" i="99"/>
  <c r="T99" i="92" l="1"/>
  <c r="S112" i="92"/>
  <c r="AA99" i="92"/>
  <c r="AA112" i="92" s="1"/>
  <c r="Z99" i="92"/>
  <c r="AC131" i="93"/>
  <c r="AC139" i="93" s="1"/>
  <c r="Z131" i="93"/>
  <c r="T131" i="93"/>
  <c r="S139" i="93"/>
  <c r="S192" i="96"/>
  <c r="E63" i="55" s="1"/>
  <c r="R180" i="96"/>
  <c r="R187" i="96"/>
  <c r="R176" i="96"/>
  <c r="R181" i="96"/>
  <c r="R178" i="96"/>
  <c r="R175" i="96"/>
  <c r="R177" i="96"/>
  <c r="R174" i="96"/>
  <c r="W197" i="86"/>
  <c r="X197" i="86"/>
  <c r="Y162" i="92"/>
  <c r="T162" i="92"/>
  <c r="S171" i="92"/>
  <c r="AA162" i="92"/>
  <c r="AA171" i="92" s="1"/>
  <c r="Y119" i="99"/>
  <c r="AI119" i="99"/>
  <c r="AI125" i="99" s="1"/>
  <c r="T119" i="99"/>
  <c r="AC148" i="98"/>
  <c r="T148" i="98"/>
  <c r="Y148" i="98"/>
  <c r="Z34" i="98"/>
  <c r="Z45" i="98" s="1"/>
  <c r="Z46" i="98" s="1"/>
  <c r="U34" i="98"/>
  <c r="U45" i="98" s="1"/>
  <c r="S45" i="98"/>
  <c r="W46" i="98" s="1"/>
  <c r="AA34" i="98"/>
  <c r="AA45" i="98" s="1"/>
  <c r="R45" i="95"/>
  <c r="S49" i="95"/>
  <c r="S51" i="95"/>
  <c r="E47" i="54" s="1"/>
  <c r="R46" i="95"/>
  <c r="R36" i="95"/>
  <c r="R42" i="95"/>
  <c r="R35" i="95"/>
  <c r="R37" i="95"/>
  <c r="R41" i="95"/>
  <c r="R40" i="95"/>
  <c r="R39" i="95"/>
  <c r="R38" i="95"/>
  <c r="AB36" i="90"/>
  <c r="Z36" i="90"/>
  <c r="T53" i="90"/>
  <c r="Y54" i="90" s="1"/>
  <c r="U36" i="90"/>
  <c r="AF131" i="97"/>
  <c r="U131" i="97"/>
  <c r="AA131" i="97"/>
  <c r="S102" i="98"/>
  <c r="E46" i="57" s="1"/>
  <c r="R97" i="98"/>
  <c r="R94" i="98"/>
  <c r="R93" i="98"/>
  <c r="R95" i="98"/>
  <c r="R96" i="98"/>
  <c r="R90" i="98"/>
  <c r="R92" i="98"/>
  <c r="Z65" i="97"/>
  <c r="W65" i="97"/>
  <c r="AG65" i="97"/>
  <c r="AG72" i="97" s="1"/>
  <c r="T72" i="97"/>
  <c r="W133" i="97"/>
  <c r="AG133" i="97"/>
  <c r="AG140" i="97" s="1"/>
  <c r="AA133" i="97"/>
  <c r="R75" i="95"/>
  <c r="S80" i="95"/>
  <c r="E48" i="54" s="1"/>
  <c r="R74" i="95"/>
  <c r="R67" i="95"/>
  <c r="S78" i="95"/>
  <c r="R64" i="95"/>
  <c r="R71" i="95"/>
  <c r="R69" i="95"/>
  <c r="R66" i="95"/>
  <c r="R70" i="95"/>
  <c r="AD42" i="95"/>
  <c r="Y42" i="95"/>
  <c r="T42" i="95"/>
  <c r="S77" i="93"/>
  <c r="AA63" i="93"/>
  <c r="Y63" i="93"/>
  <c r="Y77" i="93" s="1"/>
  <c r="Y78" i="93" s="1"/>
  <c r="T63" i="93"/>
  <c r="K109" i="94"/>
  <c r="I109" i="94"/>
  <c r="Y113" i="94"/>
  <c r="Z113" i="94"/>
  <c r="L167" i="91"/>
  <c r="K167" i="91"/>
  <c r="I167" i="91"/>
  <c r="AC38" i="96"/>
  <c r="AC50" i="96" s="1"/>
  <c r="Y38" i="96"/>
  <c r="T38" i="96"/>
  <c r="K46" i="93"/>
  <c r="Z50" i="93"/>
  <c r="I46" i="93"/>
  <c r="AB113" i="99"/>
  <c r="AB125" i="99" s="1"/>
  <c r="Z113" i="99"/>
  <c r="Z125" i="99" s="1"/>
  <c r="Z126" i="99" s="1"/>
  <c r="U113" i="99"/>
  <c r="U125" i="99" s="1"/>
  <c r="S125" i="99"/>
  <c r="U163" i="97"/>
  <c r="AE163" i="97"/>
  <c r="AE172" i="97" s="1"/>
  <c r="Z163" i="97"/>
  <c r="AE72" i="97"/>
  <c r="I172" i="94"/>
  <c r="Z176" i="94"/>
  <c r="Y176" i="94"/>
  <c r="K172" i="94"/>
  <c r="AA101" i="93"/>
  <c r="Y101" i="93"/>
  <c r="T101" i="93"/>
  <c r="AD132" i="95"/>
  <c r="Y132" i="95"/>
  <c r="T132" i="95"/>
  <c r="Y155" i="96"/>
  <c r="I151" i="96"/>
  <c r="AB145" i="98"/>
  <c r="Z145" i="98"/>
  <c r="U145" i="98"/>
  <c r="AB116" i="98"/>
  <c r="AB123" i="98" s="1"/>
  <c r="U116" i="98"/>
  <c r="U123" i="98" s="1"/>
  <c r="Q126" i="98" s="1"/>
  <c r="Z116" i="98"/>
  <c r="S123" i="98"/>
  <c r="T75" i="97"/>
  <c r="E57" i="56" s="1"/>
  <c r="S70" i="97"/>
  <c r="S69" i="97"/>
  <c r="K151" i="96"/>
  <c r="AG117" i="99"/>
  <c r="AG125" i="99" s="1"/>
  <c r="Y117" i="99"/>
  <c r="V117" i="99"/>
  <c r="V125" i="99" s="1"/>
  <c r="R50" i="99"/>
  <c r="S54" i="99"/>
  <c r="R36" i="99"/>
  <c r="S56" i="99"/>
  <c r="R51" i="99"/>
  <c r="R45" i="99"/>
  <c r="R41" i="99"/>
  <c r="R40" i="99"/>
  <c r="R39" i="99"/>
  <c r="R43" i="99"/>
  <c r="R46" i="99"/>
  <c r="R42" i="99"/>
  <c r="R48" i="99"/>
  <c r="R44" i="99"/>
  <c r="R47" i="99"/>
  <c r="R35" i="99"/>
  <c r="R38" i="99"/>
  <c r="L142" i="97"/>
  <c r="M142" i="97"/>
  <c r="J142" i="97"/>
  <c r="K142" i="97"/>
  <c r="Z155" i="96"/>
  <c r="K119" i="96"/>
  <c r="I119" i="96"/>
  <c r="Z123" i="96"/>
  <c r="Y123" i="96"/>
  <c r="AF75" i="96"/>
  <c r="AF83" i="96" s="1"/>
  <c r="Y75" i="96"/>
  <c r="U75" i="96"/>
  <c r="AC38" i="94"/>
  <c r="AC46" i="94" s="1"/>
  <c r="Z38" i="94"/>
  <c r="U38" i="94"/>
  <c r="U46" i="94" s="1"/>
  <c r="AE167" i="93"/>
  <c r="AE172" i="93" s="1"/>
  <c r="Y167" i="93"/>
  <c r="V167" i="93"/>
  <c r="W48" i="88"/>
  <c r="X48" i="88"/>
  <c r="J74" i="97"/>
  <c r="K74" i="97"/>
  <c r="M74" i="97"/>
  <c r="J139" i="97"/>
  <c r="Z143" i="97"/>
  <c r="K139" i="97"/>
  <c r="L139" i="97"/>
  <c r="AA143" i="97"/>
  <c r="M139" i="97"/>
  <c r="S115" i="93"/>
  <c r="E58" i="52" s="1"/>
  <c r="S113" i="93"/>
  <c r="R110" i="93"/>
  <c r="R99" i="93"/>
  <c r="R102" i="93"/>
  <c r="R101" i="93"/>
  <c r="R103" i="93"/>
  <c r="R104" i="93"/>
  <c r="R107" i="93"/>
  <c r="R100" i="93"/>
  <c r="Y50" i="93"/>
  <c r="V112" i="79"/>
  <c r="W112" i="79"/>
  <c r="X112" i="79"/>
  <c r="R179" i="96"/>
  <c r="T103" i="94"/>
  <c r="AD103" i="94"/>
  <c r="AD110" i="94" s="1"/>
  <c r="Y103" i="94"/>
  <c r="Y110" i="94" s="1"/>
  <c r="Y111" i="94" s="1"/>
  <c r="Y124" i="98"/>
  <c r="K71" i="98"/>
  <c r="I71" i="98"/>
  <c r="L71" i="98"/>
  <c r="AE116" i="99"/>
  <c r="AE125" i="99" s="1"/>
  <c r="Z116" i="99"/>
  <c r="T116" i="99"/>
  <c r="AA37" i="99"/>
  <c r="Y37" i="99"/>
  <c r="T37" i="99"/>
  <c r="AC147" i="98"/>
  <c r="AC153" i="98" s="1"/>
  <c r="Z147" i="98"/>
  <c r="T147" i="98"/>
  <c r="AD41" i="96"/>
  <c r="Y41" i="96"/>
  <c r="U41" i="96"/>
  <c r="U50" i="96" s="1"/>
  <c r="S50" i="96"/>
  <c r="Y166" i="93"/>
  <c r="V166" i="93"/>
  <c r="V172" i="93" s="1"/>
  <c r="AB166" i="93"/>
  <c r="Y127" i="91"/>
  <c r="U127" i="91"/>
  <c r="U134" i="91" s="1"/>
  <c r="AC127" i="91"/>
  <c r="AC134" i="91" s="1"/>
  <c r="X86" i="99"/>
  <c r="W86" i="99"/>
  <c r="U144" i="98"/>
  <c r="S153" i="98"/>
  <c r="AA144" i="98"/>
  <c r="AA153" i="98" s="1"/>
  <c r="Z144" i="98"/>
  <c r="R118" i="96"/>
  <c r="R117" i="96"/>
  <c r="R107" i="96"/>
  <c r="S123" i="96"/>
  <c r="E61" i="55" s="1"/>
  <c r="R106" i="96"/>
  <c r="R109" i="96"/>
  <c r="R108" i="96"/>
  <c r="R113" i="96"/>
  <c r="R111" i="96"/>
  <c r="R112" i="96"/>
  <c r="R114" i="96"/>
  <c r="AA160" i="93"/>
  <c r="AA172" i="93" s="1"/>
  <c r="Y160" i="93"/>
  <c r="T160" i="93"/>
  <c r="S172" i="93"/>
  <c r="AA37" i="91"/>
  <c r="Z37" i="91"/>
  <c r="T37" i="91"/>
  <c r="T151" i="90"/>
  <c r="E58" i="61" s="1"/>
  <c r="S146" i="90"/>
  <c r="V75" i="90"/>
  <c r="AF75" i="90"/>
  <c r="AA75" i="90"/>
  <c r="I91" i="87"/>
  <c r="L91" i="87"/>
  <c r="L189" i="85"/>
  <c r="K189" i="85"/>
  <c r="J189" i="85"/>
  <c r="Z78" i="87"/>
  <c r="U78" i="87"/>
  <c r="AE78" i="87"/>
  <c r="R159" i="84"/>
  <c r="S164" i="84"/>
  <c r="E48" i="66" s="1"/>
  <c r="R158" i="84"/>
  <c r="R154" i="84"/>
  <c r="R153" i="84"/>
  <c r="Z153" i="84"/>
  <c r="Z161" i="84" s="1"/>
  <c r="U153" i="84"/>
  <c r="S161" i="84"/>
  <c r="AB153" i="84"/>
  <c r="AB161" i="84" s="1"/>
  <c r="AC76" i="87"/>
  <c r="AC89" i="87" s="1"/>
  <c r="U76" i="87"/>
  <c r="AA76" i="87"/>
  <c r="AA89" i="87" s="1"/>
  <c r="AC178" i="85"/>
  <c r="AA178" i="85"/>
  <c r="V178" i="85"/>
  <c r="AA128" i="83"/>
  <c r="U128" i="83"/>
  <c r="AI128" i="83"/>
  <c r="AC71" i="81"/>
  <c r="AC85" i="81" s="1"/>
  <c r="Y71" i="81"/>
  <c r="T71" i="81"/>
  <c r="T70" i="81"/>
  <c r="AB70" i="81"/>
  <c r="AB85" i="81" s="1"/>
  <c r="Z70" i="81"/>
  <c r="Z158" i="81"/>
  <c r="J154" i="81"/>
  <c r="I154" i="81"/>
  <c r="L154" i="81"/>
  <c r="Y158" i="81"/>
  <c r="K154" i="81"/>
  <c r="AC111" i="81"/>
  <c r="Y111" i="81"/>
  <c r="T111" i="81"/>
  <c r="Z96" i="78"/>
  <c r="U96" i="78"/>
  <c r="AB96" i="78"/>
  <c r="T103" i="78"/>
  <c r="J84" i="81"/>
  <c r="AC159" i="79"/>
  <c r="T159" i="79"/>
  <c r="Z159" i="79"/>
  <c r="Z161" i="77"/>
  <c r="W161" i="77"/>
  <c r="AD161" i="77"/>
  <c r="AD167" i="77" s="1"/>
  <c r="T128" i="75"/>
  <c r="F71" i="46" s="1"/>
  <c r="S117" i="75"/>
  <c r="S112" i="75"/>
  <c r="S123" i="75"/>
  <c r="S116" i="75"/>
  <c r="S108" i="75"/>
  <c r="S114" i="75"/>
  <c r="S111" i="75"/>
  <c r="S118" i="75"/>
  <c r="S113" i="75"/>
  <c r="S115" i="75"/>
  <c r="AB97" i="76"/>
  <c r="Z97" i="76"/>
  <c r="U97" i="76"/>
  <c r="S162" i="73"/>
  <c r="T167" i="73"/>
  <c r="F41" i="44" s="1"/>
  <c r="S158" i="73"/>
  <c r="S153" i="73"/>
  <c r="S156" i="73"/>
  <c r="S155" i="73"/>
  <c r="S157" i="73"/>
  <c r="S154" i="73"/>
  <c r="AB119" i="73"/>
  <c r="AB130" i="73" s="1"/>
  <c r="AA119" i="73"/>
  <c r="AA130" i="73" s="1"/>
  <c r="T130" i="73"/>
  <c r="U119" i="73"/>
  <c r="AB152" i="87"/>
  <c r="AB168" i="87" s="1"/>
  <c r="T168" i="87"/>
  <c r="AF199" i="87"/>
  <c r="AF205" i="87" s="1"/>
  <c r="W199" i="87"/>
  <c r="W205" i="87" s="1"/>
  <c r="AA199" i="87"/>
  <c r="AC69" i="85"/>
  <c r="AC81" i="85" s="1"/>
  <c r="AA69" i="85"/>
  <c r="U69" i="85"/>
  <c r="Z103" i="85"/>
  <c r="U103" i="85"/>
  <c r="AB103" i="85"/>
  <c r="AC149" i="86"/>
  <c r="Z149" i="86"/>
  <c r="T149" i="86"/>
  <c r="AC107" i="85"/>
  <c r="AA107" i="85"/>
  <c r="U107" i="85"/>
  <c r="AH48" i="83"/>
  <c r="AH58" i="83" s="1"/>
  <c r="AA48" i="83"/>
  <c r="V48" i="83"/>
  <c r="Y80" i="99"/>
  <c r="T80" i="99"/>
  <c r="AC53" i="99"/>
  <c r="AH150" i="99"/>
  <c r="AH158" i="99" s="1"/>
  <c r="Z150" i="99"/>
  <c r="T150" i="99"/>
  <c r="AJ47" i="99"/>
  <c r="AJ53" i="99" s="1"/>
  <c r="Z47" i="99"/>
  <c r="V47" i="99"/>
  <c r="V53" i="99" s="1"/>
  <c r="U69" i="98"/>
  <c r="U128" i="97"/>
  <c r="AE128" i="97"/>
  <c r="AE140" i="97" s="1"/>
  <c r="AA128" i="97"/>
  <c r="Q83" i="92"/>
  <c r="R83" i="92" s="1"/>
  <c r="AF112" i="90"/>
  <c r="AF120" i="90" s="1"/>
  <c r="AA112" i="90"/>
  <c r="U112" i="90"/>
  <c r="AD136" i="92"/>
  <c r="Y136" i="92"/>
  <c r="U136" i="92"/>
  <c r="R111" i="89"/>
  <c r="V43" i="90"/>
  <c r="AE43" i="90"/>
  <c r="AE53" i="90" s="1"/>
  <c r="Z43" i="90"/>
  <c r="Y42" i="93"/>
  <c r="AE42" i="93"/>
  <c r="AE47" i="93" s="1"/>
  <c r="V42" i="93"/>
  <c r="V47" i="93" s="1"/>
  <c r="AA36" i="91"/>
  <c r="Y36" i="91"/>
  <c r="S47" i="91"/>
  <c r="T36" i="91"/>
  <c r="AB131" i="92"/>
  <c r="AB141" i="92" s="1"/>
  <c r="Y131" i="92"/>
  <c r="T131" i="92"/>
  <c r="AG178" i="90"/>
  <c r="AG184" i="90" s="1"/>
  <c r="Z178" i="90"/>
  <c r="W178" i="90"/>
  <c r="W184" i="90" s="1"/>
  <c r="S79" i="88"/>
  <c r="E48" i="59" s="1"/>
  <c r="R74" i="88"/>
  <c r="R80" i="88"/>
  <c r="R64" i="88"/>
  <c r="S77" i="88"/>
  <c r="R65" i="88"/>
  <c r="U126" i="87"/>
  <c r="AE126" i="87"/>
  <c r="R112" i="88"/>
  <c r="S133" i="87"/>
  <c r="T138" i="87"/>
  <c r="E73" i="69" s="1"/>
  <c r="S132" i="87"/>
  <c r="S116" i="87"/>
  <c r="S125" i="87"/>
  <c r="S114" i="87"/>
  <c r="S121" i="87"/>
  <c r="S124" i="87"/>
  <c r="Z157" i="88"/>
  <c r="U157" i="88"/>
  <c r="U164" i="88" s="1"/>
  <c r="AB157" i="88"/>
  <c r="Z151" i="86"/>
  <c r="T151" i="86"/>
  <c r="AE151" i="86"/>
  <c r="AE160" i="86" s="1"/>
  <c r="S53" i="87"/>
  <c r="T59" i="87"/>
  <c r="E71" i="69" s="1"/>
  <c r="S43" i="87"/>
  <c r="S38" i="87"/>
  <c r="S54" i="87"/>
  <c r="S45" i="87"/>
  <c r="S41" i="87"/>
  <c r="S37" i="87"/>
  <c r="Z38" i="86"/>
  <c r="T38" i="86"/>
  <c r="AC38" i="86" s="1"/>
  <c r="L43" i="84"/>
  <c r="K43" i="84"/>
  <c r="J43" i="84"/>
  <c r="I189" i="85"/>
  <c r="S78" i="87"/>
  <c r="T68" i="86"/>
  <c r="S83" i="86"/>
  <c r="Z39" i="87"/>
  <c r="AB39" i="87"/>
  <c r="U39" i="87"/>
  <c r="S44" i="87"/>
  <c r="L59" i="82"/>
  <c r="K59" i="82"/>
  <c r="AC35" i="84"/>
  <c r="AC41" i="84" s="1"/>
  <c r="Y35" i="84"/>
  <c r="Y41" i="84" s="1"/>
  <c r="T35" i="84"/>
  <c r="AI87" i="83"/>
  <c r="AI95" i="83" s="1"/>
  <c r="W87" i="83"/>
  <c r="V119" i="82"/>
  <c r="AC119" i="82"/>
  <c r="AC135" i="82" s="1"/>
  <c r="AA119" i="82"/>
  <c r="AD156" i="82"/>
  <c r="Z156" i="82"/>
  <c r="V156" i="82"/>
  <c r="F44" i="66"/>
  <c r="D44" i="66"/>
  <c r="S128" i="83"/>
  <c r="K206" i="82"/>
  <c r="J206" i="82"/>
  <c r="I206" i="82"/>
  <c r="L126" i="81"/>
  <c r="K126" i="81"/>
  <c r="J126" i="81"/>
  <c r="AD126" i="80"/>
  <c r="AB126" i="80"/>
  <c r="AB147" i="80" s="1"/>
  <c r="V126" i="80"/>
  <c r="W84" i="80"/>
  <c r="AF84" i="80"/>
  <c r="AA84" i="80"/>
  <c r="AC39" i="81"/>
  <c r="Y39" i="81"/>
  <c r="T39" i="81"/>
  <c r="AD194" i="82"/>
  <c r="AD204" i="82" s="1"/>
  <c r="Z194" i="82"/>
  <c r="V194" i="82"/>
  <c r="AH146" i="81"/>
  <c r="AH155" i="81" s="1"/>
  <c r="AH198" i="81" s="1"/>
  <c r="Y146" i="81"/>
  <c r="V146" i="81"/>
  <c r="V155" i="81" s="1"/>
  <c r="AA150" i="80"/>
  <c r="I146" i="80"/>
  <c r="K146" i="80"/>
  <c r="AG47" i="80"/>
  <c r="AB47" i="80"/>
  <c r="W47" i="80"/>
  <c r="AB117" i="82"/>
  <c r="AB135" i="82" s="1"/>
  <c r="V117" i="82"/>
  <c r="Z117" i="82"/>
  <c r="T135" i="82"/>
  <c r="R35" i="81"/>
  <c r="AB127" i="79"/>
  <c r="AB138" i="79" s="1"/>
  <c r="Z127" i="79"/>
  <c r="T127" i="79"/>
  <c r="S138" i="79"/>
  <c r="Q78" i="91"/>
  <c r="AF45" i="90"/>
  <c r="AA45" i="90"/>
  <c r="U45" i="90"/>
  <c r="F45" i="50"/>
  <c r="D45" i="50"/>
  <c r="AE72" i="85"/>
  <c r="AE81" i="85" s="1"/>
  <c r="AA72" i="85"/>
  <c r="U72" i="85"/>
  <c r="R82" i="99"/>
  <c r="R83" i="99"/>
  <c r="S88" i="99"/>
  <c r="S86" i="99"/>
  <c r="R77" i="99"/>
  <c r="Q73" i="98"/>
  <c r="Z172" i="97"/>
  <c r="S156" i="98"/>
  <c r="E48" i="57" s="1"/>
  <c r="R151" i="98"/>
  <c r="R150" i="98"/>
  <c r="S138" i="97"/>
  <c r="T143" i="97"/>
  <c r="E59" i="56" s="1"/>
  <c r="S137" i="97"/>
  <c r="S129" i="97"/>
  <c r="U143" i="96"/>
  <c r="AD143" i="96"/>
  <c r="Z143" i="96"/>
  <c r="R142" i="96"/>
  <c r="Y136" i="96"/>
  <c r="T136" i="96"/>
  <c r="S152" i="96"/>
  <c r="AA136" i="96"/>
  <c r="AD179" i="96"/>
  <c r="AD189" i="96" s="1"/>
  <c r="Y179" i="96"/>
  <c r="U179" i="96"/>
  <c r="U189" i="96" s="1"/>
  <c r="Y36" i="96"/>
  <c r="T36" i="96"/>
  <c r="AA36" i="96"/>
  <c r="AA50" i="96" s="1"/>
  <c r="AC65" i="95"/>
  <c r="Z65" i="95"/>
  <c r="T65" i="95"/>
  <c r="T77" i="95" s="1"/>
  <c r="Y131" i="94"/>
  <c r="T131" i="94"/>
  <c r="AD131" i="94"/>
  <c r="AD138" i="94" s="1"/>
  <c r="S144" i="92"/>
  <c r="E57" i="51" s="1"/>
  <c r="R130" i="92"/>
  <c r="R134" i="92"/>
  <c r="R139" i="92"/>
  <c r="I73" i="94"/>
  <c r="R69" i="94"/>
  <c r="R67" i="93"/>
  <c r="T105" i="93"/>
  <c r="Z105" i="93"/>
  <c r="AC105" i="93"/>
  <c r="AC112" i="93" s="1"/>
  <c r="Z35" i="94"/>
  <c r="Z46" i="94" s="1"/>
  <c r="T35" i="94"/>
  <c r="AA35" i="94"/>
  <c r="R129" i="92"/>
  <c r="R141" i="92" s="1"/>
  <c r="S174" i="92"/>
  <c r="E58" i="51" s="1"/>
  <c r="R166" i="92"/>
  <c r="R175" i="92"/>
  <c r="R169" i="92"/>
  <c r="R66" i="94"/>
  <c r="AC41" i="91"/>
  <c r="Z41" i="91"/>
  <c r="T41" i="91"/>
  <c r="AC42" i="92"/>
  <c r="AC50" i="92" s="1"/>
  <c r="Z42" i="92"/>
  <c r="T42" i="92"/>
  <c r="S115" i="92"/>
  <c r="E56" i="51" s="1"/>
  <c r="R110" i="92"/>
  <c r="R103" i="92"/>
  <c r="R165" i="91"/>
  <c r="Z124" i="91"/>
  <c r="T124" i="91"/>
  <c r="AA124" i="91"/>
  <c r="Y69" i="91"/>
  <c r="V69" i="91"/>
  <c r="V75" i="91" s="1"/>
  <c r="Z68" i="91"/>
  <c r="AB69" i="91"/>
  <c r="R72" i="99"/>
  <c r="R85" i="99" s="1"/>
  <c r="R80" i="99"/>
  <c r="J174" i="97"/>
  <c r="Y69" i="98"/>
  <c r="S125" i="97"/>
  <c r="R148" i="98"/>
  <c r="AE33" i="97"/>
  <c r="Z33" i="97"/>
  <c r="U33" i="97"/>
  <c r="R70" i="96"/>
  <c r="S38" i="97"/>
  <c r="T43" i="97"/>
  <c r="E56" i="56" s="1"/>
  <c r="S37" i="97"/>
  <c r="S35" i="97"/>
  <c r="S31" i="97"/>
  <c r="J122" i="96"/>
  <c r="AF114" i="96"/>
  <c r="AF120" i="96" s="1"/>
  <c r="AF198" i="96" s="1"/>
  <c r="Y114" i="96"/>
  <c r="V114" i="96"/>
  <c r="V120" i="96" s="1"/>
  <c r="T43" i="96"/>
  <c r="AD43" i="96"/>
  <c r="Y43" i="96"/>
  <c r="R43" i="98"/>
  <c r="S48" i="98"/>
  <c r="E44" i="57" s="1"/>
  <c r="R42" i="98"/>
  <c r="R40" i="98"/>
  <c r="R37" i="98"/>
  <c r="R45" i="98" s="1"/>
  <c r="S189" i="96"/>
  <c r="AA174" i="96"/>
  <c r="AA189" i="96" s="1"/>
  <c r="Y174" i="96"/>
  <c r="T174" i="96"/>
  <c r="R75" i="96"/>
  <c r="Y163" i="94"/>
  <c r="T163" i="94"/>
  <c r="AA163" i="94"/>
  <c r="R136" i="95"/>
  <c r="S141" i="95"/>
  <c r="E50" i="54" s="1"/>
  <c r="R135" i="95"/>
  <c r="R133" i="95"/>
  <c r="S139" i="95"/>
  <c r="I76" i="94"/>
  <c r="S175" i="93"/>
  <c r="E60" i="52" s="1"/>
  <c r="R170" i="93"/>
  <c r="R172" i="93" s="1"/>
  <c r="R132" i="95"/>
  <c r="Y67" i="93"/>
  <c r="T67" i="93"/>
  <c r="AB67" i="93"/>
  <c r="J114" i="92"/>
  <c r="L114" i="92"/>
  <c r="I114" i="92"/>
  <c r="Z115" i="92"/>
  <c r="Y115" i="92"/>
  <c r="AA99" i="94"/>
  <c r="AA110" i="94" s="1"/>
  <c r="Z99" i="94"/>
  <c r="S110" i="94"/>
  <c r="T99" i="94"/>
  <c r="R162" i="92"/>
  <c r="Z66" i="94"/>
  <c r="Z74" i="94" s="1"/>
  <c r="Z75" i="94" s="1"/>
  <c r="U66" i="94"/>
  <c r="U74" i="94" s="1"/>
  <c r="AC66" i="94"/>
  <c r="AC74" i="94" s="1"/>
  <c r="R116" i="92"/>
  <c r="AF175" i="90"/>
  <c r="AA175" i="90"/>
  <c r="V175" i="90"/>
  <c r="V184" i="90" s="1"/>
  <c r="AC103" i="95"/>
  <c r="Z103" i="95"/>
  <c r="T103" i="95"/>
  <c r="AD105" i="92"/>
  <c r="AD112" i="92" s="1"/>
  <c r="Z105" i="92"/>
  <c r="U105" i="92"/>
  <c r="U112" i="92" s="1"/>
  <c r="R68" i="92"/>
  <c r="T67" i="94"/>
  <c r="T74" i="94" s="1"/>
  <c r="AD67" i="94"/>
  <c r="AD74" i="94" s="1"/>
  <c r="Y67" i="94"/>
  <c r="Y74" i="94" s="1"/>
  <c r="Y75" i="94" s="1"/>
  <c r="AD41" i="93"/>
  <c r="AD47" i="93" s="1"/>
  <c r="Z41" i="93"/>
  <c r="Z47" i="93" s="1"/>
  <c r="Z48" i="93" s="1"/>
  <c r="T41" i="93"/>
  <c r="R105" i="91"/>
  <c r="R106" i="91"/>
  <c r="R100" i="91"/>
  <c r="R108" i="91" s="1"/>
  <c r="S111" i="91"/>
  <c r="E43" i="50" s="1"/>
  <c r="K83" i="90"/>
  <c r="AA87" i="90"/>
  <c r="Z87" i="90"/>
  <c r="AB125" i="88"/>
  <c r="Z125" i="88"/>
  <c r="T125" i="88"/>
  <c r="S116" i="89"/>
  <c r="AA107" i="89"/>
  <c r="T107" i="89"/>
  <c r="T116" i="89" s="1"/>
  <c r="Z107" i="89"/>
  <c r="Z116" i="89" s="1"/>
  <c r="Y38" i="91"/>
  <c r="T38" i="91"/>
  <c r="AA38" i="91"/>
  <c r="J118" i="89"/>
  <c r="R44" i="92"/>
  <c r="AE111" i="89"/>
  <c r="AE116" i="89" s="1"/>
  <c r="Y111" i="89"/>
  <c r="T111" i="89"/>
  <c r="S142" i="90"/>
  <c r="S39" i="90"/>
  <c r="S50" i="91"/>
  <c r="E41" i="50" s="1"/>
  <c r="R44" i="91"/>
  <c r="R45" i="91"/>
  <c r="R42" i="91"/>
  <c r="R39" i="91"/>
  <c r="R47" i="91" s="1"/>
  <c r="L83" i="90"/>
  <c r="S178" i="90"/>
  <c r="J109" i="88"/>
  <c r="Y110" i="88"/>
  <c r="AC71" i="90"/>
  <c r="AA71" i="90"/>
  <c r="U71" i="90"/>
  <c r="Y63" i="88"/>
  <c r="T63" i="88"/>
  <c r="S76" i="88"/>
  <c r="AA63" i="88"/>
  <c r="AA76" i="88" s="1"/>
  <c r="U123" i="87"/>
  <c r="Z123" i="87"/>
  <c r="AE123" i="87"/>
  <c r="S57" i="90"/>
  <c r="T171" i="87"/>
  <c r="E74" i="69" s="1"/>
  <c r="S166" i="87"/>
  <c r="S160" i="87"/>
  <c r="S156" i="87"/>
  <c r="S157" i="87"/>
  <c r="S42" i="90"/>
  <c r="S175" i="85"/>
  <c r="Y70" i="88"/>
  <c r="U70" i="88"/>
  <c r="AD70" i="88"/>
  <c r="U124" i="87"/>
  <c r="AE124" i="87"/>
  <c r="AD129" i="88"/>
  <c r="U129" i="88"/>
  <c r="U134" i="88" s="1"/>
  <c r="Q137" i="88" s="1"/>
  <c r="R137" i="88" s="1"/>
  <c r="Y129" i="88"/>
  <c r="S179" i="85"/>
  <c r="R113" i="86"/>
  <c r="I152" i="85"/>
  <c r="AD186" i="86"/>
  <c r="AD196" i="86" s="1"/>
  <c r="Y186" i="86"/>
  <c r="T186" i="86"/>
  <c r="AI191" i="86"/>
  <c r="AI196" i="86" s="1"/>
  <c r="AI206" i="86" s="1"/>
  <c r="V191" i="86"/>
  <c r="V196" i="86" s="1"/>
  <c r="Y191" i="86"/>
  <c r="R35" i="88"/>
  <c r="R190" i="86"/>
  <c r="AA153" i="85"/>
  <c r="Z44" i="87"/>
  <c r="AE44" i="87"/>
  <c r="U44" i="87"/>
  <c r="S134" i="84"/>
  <c r="E47" i="66" s="1"/>
  <c r="R129" i="84"/>
  <c r="R128" i="84"/>
  <c r="R126" i="84"/>
  <c r="R131" i="84" s="1"/>
  <c r="T146" i="86"/>
  <c r="AC146" i="86"/>
  <c r="Z146" i="86"/>
  <c r="R116" i="86"/>
  <c r="AH84" i="83"/>
  <c r="AH95" i="83" s="1"/>
  <c r="AA84" i="83"/>
  <c r="V84" i="83"/>
  <c r="AE66" i="84"/>
  <c r="AE71" i="84" s="1"/>
  <c r="Z66" i="84"/>
  <c r="U66" i="84"/>
  <c r="R156" i="84"/>
  <c r="I157" i="81"/>
  <c r="L157" i="81"/>
  <c r="K157" i="81"/>
  <c r="J157" i="81"/>
  <c r="Y117" i="81"/>
  <c r="T117" i="81"/>
  <c r="AE117" i="81"/>
  <c r="AJ164" i="82"/>
  <c r="AJ169" i="82" s="1"/>
  <c r="AJ214" i="82" s="1"/>
  <c r="Z164" i="82"/>
  <c r="W164" i="82"/>
  <c r="T76" i="77"/>
  <c r="E45" i="48" s="1"/>
  <c r="S71" i="77"/>
  <c r="S60" i="77"/>
  <c r="S63" i="77"/>
  <c r="S66" i="77"/>
  <c r="S61" i="77"/>
  <c r="S67" i="77"/>
  <c r="S65" i="77"/>
  <c r="AB156" i="77"/>
  <c r="AB167" i="77" s="1"/>
  <c r="AA156" i="77"/>
  <c r="AA167" i="77" s="1"/>
  <c r="AA168" i="77" s="1"/>
  <c r="U156" i="77"/>
  <c r="T167" i="77"/>
  <c r="T172" i="74"/>
  <c r="F43" i="45" s="1"/>
  <c r="S162" i="74"/>
  <c r="S167" i="74"/>
  <c r="S161" i="74"/>
  <c r="S164" i="74"/>
  <c r="S160" i="74"/>
  <c r="AI186" i="75"/>
  <c r="AI195" i="75" s="1"/>
  <c r="W186" i="75"/>
  <c r="W195" i="75" s="1"/>
  <c r="V170" i="74"/>
  <c r="X170" i="74"/>
  <c r="W170" i="74"/>
  <c r="Y40" i="86"/>
  <c r="T40" i="86"/>
  <c r="AD40" i="86"/>
  <c r="AD51" i="86" s="1"/>
  <c r="AI161" i="83"/>
  <c r="AA161" i="83"/>
  <c r="U161" i="83"/>
  <c r="S100" i="80"/>
  <c r="S89" i="80"/>
  <c r="T105" i="80"/>
  <c r="E68" i="64" s="1"/>
  <c r="S90" i="80"/>
  <c r="S80" i="80"/>
  <c r="S76" i="80"/>
  <c r="S77" i="80"/>
  <c r="S78" i="80"/>
  <c r="S81" i="80"/>
  <c r="S87" i="80"/>
  <c r="T128" i="79"/>
  <c r="AC128" i="79"/>
  <c r="Y128" i="79"/>
  <c r="Y138" i="79" s="1"/>
  <c r="Y139" i="79" s="1"/>
  <c r="P204" i="82"/>
  <c r="T207" i="82"/>
  <c r="E67" i="70" s="1"/>
  <c r="S194" i="82"/>
  <c r="S198" i="82"/>
  <c r="AH76" i="99"/>
  <c r="AH85" i="99" s="1"/>
  <c r="Z76" i="99"/>
  <c r="T76" i="99"/>
  <c r="AD142" i="96"/>
  <c r="Y142" i="96"/>
  <c r="U142" i="96"/>
  <c r="S169" i="97"/>
  <c r="S161" i="97"/>
  <c r="T175" i="97"/>
  <c r="E60" i="56" s="1"/>
  <c r="S170" i="97"/>
  <c r="S167" i="97"/>
  <c r="I50" i="95"/>
  <c r="J50" i="95"/>
  <c r="AA127" i="95"/>
  <c r="AA138" i="95" s="1"/>
  <c r="Y127" i="95"/>
  <c r="Y138" i="95" s="1"/>
  <c r="Y139" i="95" s="1"/>
  <c r="T127" i="95"/>
  <c r="S138" i="95"/>
  <c r="S80" i="93"/>
  <c r="E57" i="52" s="1"/>
  <c r="R71" i="93"/>
  <c r="R75" i="93"/>
  <c r="R65" i="93"/>
  <c r="R70" i="93"/>
  <c r="L79" i="93"/>
  <c r="K79" i="93"/>
  <c r="R45" i="93"/>
  <c r="S50" i="93"/>
  <c r="E56" i="52" s="1"/>
  <c r="R40" i="93"/>
  <c r="AB101" i="94"/>
  <c r="AB110" i="94" s="1"/>
  <c r="Z101" i="94"/>
  <c r="T101" i="94"/>
  <c r="J81" i="92"/>
  <c r="Y77" i="95"/>
  <c r="AC165" i="94"/>
  <c r="AC173" i="94" s="1"/>
  <c r="Z165" i="94"/>
  <c r="U165" i="94"/>
  <c r="U173" i="94" s="1"/>
  <c r="R165" i="92"/>
  <c r="AA98" i="91"/>
  <c r="Y98" i="91"/>
  <c r="S108" i="91"/>
  <c r="T98" i="91"/>
  <c r="U177" i="90"/>
  <c r="AF177" i="90"/>
  <c r="Z177" i="90"/>
  <c r="Z184" i="90" s="1"/>
  <c r="AF141" i="90"/>
  <c r="Z141" i="90"/>
  <c r="U141" i="90"/>
  <c r="AF76" i="90"/>
  <c r="AA76" i="90"/>
  <c r="U76" i="90"/>
  <c r="F55" i="51"/>
  <c r="D55" i="51"/>
  <c r="AA140" i="90"/>
  <c r="U140" i="90"/>
  <c r="AF140" i="90"/>
  <c r="AA96" i="88"/>
  <c r="Y96" i="88"/>
  <c r="Y107" i="88" s="1"/>
  <c r="Y108" i="88" s="1"/>
  <c r="T96" i="88"/>
  <c r="S107" i="88"/>
  <c r="AB37" i="88"/>
  <c r="Z37" i="88"/>
  <c r="T37" i="88"/>
  <c r="U198" i="87"/>
  <c r="AE198" i="87"/>
  <c r="AA198" i="87"/>
  <c r="Z78" i="89"/>
  <c r="T78" i="89"/>
  <c r="AE78" i="89"/>
  <c r="AE85" i="89" s="1"/>
  <c r="Q170" i="87"/>
  <c r="P53" i="90"/>
  <c r="S51" i="90"/>
  <c r="T56" i="90"/>
  <c r="E55" i="61" s="1"/>
  <c r="S58" i="90"/>
  <c r="K88" i="87"/>
  <c r="AA92" i="87"/>
  <c r="S41" i="90"/>
  <c r="AC117" i="87"/>
  <c r="AC135" i="87" s="1"/>
  <c r="AA117" i="87"/>
  <c r="AA135" i="87" s="1"/>
  <c r="U117" i="87"/>
  <c r="S160" i="86"/>
  <c r="S206" i="86" s="1"/>
  <c r="S207" i="86" s="1"/>
  <c r="AA145" i="86"/>
  <c r="AA160" i="86" s="1"/>
  <c r="Z145" i="86"/>
  <c r="T145" i="86"/>
  <c r="Z144" i="85"/>
  <c r="W144" i="85"/>
  <c r="AF144" i="85"/>
  <c r="AF150" i="85" s="1"/>
  <c r="AF196" i="85" s="1"/>
  <c r="W111" i="85"/>
  <c r="W117" i="85" s="1"/>
  <c r="AE111" i="85"/>
  <c r="Z111" i="85"/>
  <c r="AF161" i="87"/>
  <c r="AF168" i="87" s="1"/>
  <c r="W161" i="87"/>
  <c r="W168" i="87" s="1"/>
  <c r="AF189" i="86"/>
  <c r="Y189" i="86"/>
  <c r="T189" i="86"/>
  <c r="J73" i="84"/>
  <c r="I73" i="84"/>
  <c r="L73" i="84"/>
  <c r="AE74" i="85"/>
  <c r="Z74" i="85"/>
  <c r="V74" i="85"/>
  <c r="Y134" i="84"/>
  <c r="Z134" i="84"/>
  <c r="K130" i="84"/>
  <c r="AE156" i="83"/>
  <c r="Z156" i="83"/>
  <c r="U156" i="83"/>
  <c r="J91" i="87"/>
  <c r="AD155" i="83"/>
  <c r="Z155" i="83"/>
  <c r="V155" i="83"/>
  <c r="Z65" i="84"/>
  <c r="T65" i="84"/>
  <c r="R43" i="81"/>
  <c r="R38" i="81"/>
  <c r="S56" i="81"/>
  <c r="E60" i="65" s="1"/>
  <c r="R50" i="81"/>
  <c r="R51" i="81"/>
  <c r="R42" i="81"/>
  <c r="R36" i="81"/>
  <c r="R40" i="81"/>
  <c r="R58" i="81"/>
  <c r="R39" i="81"/>
  <c r="R37" i="81"/>
  <c r="AD213" i="80"/>
  <c r="V213" i="80"/>
  <c r="AB213" i="80"/>
  <c r="AI161" i="82"/>
  <c r="AA161" i="82"/>
  <c r="U161" i="82"/>
  <c r="Z77" i="81"/>
  <c r="V77" i="81"/>
  <c r="S144" i="80"/>
  <c r="S145" i="80"/>
  <c r="S143" i="80"/>
  <c r="T150" i="80"/>
  <c r="E69" i="64" s="1"/>
  <c r="S138" i="80"/>
  <c r="S125" i="80"/>
  <c r="S129" i="80"/>
  <c r="S126" i="80"/>
  <c r="S136" i="80"/>
  <c r="S127" i="80"/>
  <c r="Z135" i="78"/>
  <c r="I131" i="78"/>
  <c r="K131" i="78"/>
  <c r="AA135" i="78"/>
  <c r="V76" i="82"/>
  <c r="AA76" i="82"/>
  <c r="AA93" i="82" s="1"/>
  <c r="T93" i="82"/>
  <c r="T132" i="78"/>
  <c r="AB120" i="78"/>
  <c r="AA120" i="78"/>
  <c r="AA132" i="78" s="1"/>
  <c r="U120" i="78"/>
  <c r="AB171" i="80"/>
  <c r="W171" i="80"/>
  <c r="AD171" i="80"/>
  <c r="Q134" i="73"/>
  <c r="Z192" i="72"/>
  <c r="Y192" i="72"/>
  <c r="I188" i="72"/>
  <c r="L188" i="72"/>
  <c r="J188" i="72"/>
  <c r="K188" i="72"/>
  <c r="AE81" i="83"/>
  <c r="AE95" i="83" s="1"/>
  <c r="Z81" i="83"/>
  <c r="U81" i="83"/>
  <c r="U95" i="83" s="1"/>
  <c r="Z69" i="81"/>
  <c r="U69" i="81"/>
  <c r="S85" i="81"/>
  <c r="AF159" i="82"/>
  <c r="AF169" i="82" s="1"/>
  <c r="Z159" i="82"/>
  <c r="U159" i="82"/>
  <c r="R67" i="98"/>
  <c r="S72" i="98"/>
  <c r="E45" i="57" s="1"/>
  <c r="R64" i="98"/>
  <c r="R66" i="98"/>
  <c r="R63" i="98"/>
  <c r="R69" i="98" s="1"/>
  <c r="R141" i="96"/>
  <c r="AD68" i="95"/>
  <c r="Y68" i="95"/>
  <c r="T68" i="95"/>
  <c r="Z104" i="92"/>
  <c r="T104" i="92"/>
  <c r="AC104" i="92"/>
  <c r="AC112" i="92" s="1"/>
  <c r="S164" i="97"/>
  <c r="AB145" i="99"/>
  <c r="AB158" i="99" s="1"/>
  <c r="Z145" i="99"/>
  <c r="U145" i="99"/>
  <c r="U158" i="99" s="1"/>
  <c r="S132" i="97"/>
  <c r="AA61" i="98"/>
  <c r="AA69" i="98" s="1"/>
  <c r="Z61" i="98"/>
  <c r="Z69" i="98" s="1"/>
  <c r="T61" i="98"/>
  <c r="T69" i="98" s="1"/>
  <c r="V70" i="98" s="1"/>
  <c r="S69" i="98"/>
  <c r="W70" i="98" s="1"/>
  <c r="U172" i="97"/>
  <c r="AA135" i="97"/>
  <c r="W135" i="97"/>
  <c r="AH135" i="97"/>
  <c r="AH140" i="97" s="1"/>
  <c r="AH182" i="97" s="1"/>
  <c r="Z60" i="97"/>
  <c r="Z72" i="97" s="1"/>
  <c r="Z73" i="97" s="1"/>
  <c r="U60" i="97"/>
  <c r="U72" i="97" s="1"/>
  <c r="AF60" i="97"/>
  <c r="AF72" i="97" s="1"/>
  <c r="R138" i="96"/>
  <c r="M42" i="97"/>
  <c r="J42" i="97"/>
  <c r="T172" i="97"/>
  <c r="AB159" i="97"/>
  <c r="AB172" i="97" s="1"/>
  <c r="AA159" i="97"/>
  <c r="AA172" i="97" s="1"/>
  <c r="AA173" i="97" s="1"/>
  <c r="V159" i="97"/>
  <c r="V172" i="97" s="1"/>
  <c r="AB175" i="96"/>
  <c r="AB189" i="96" s="1"/>
  <c r="T175" i="96"/>
  <c r="Z175" i="96"/>
  <c r="Z189" i="96" s="1"/>
  <c r="Z190" i="96" s="1"/>
  <c r="L52" i="96"/>
  <c r="R144" i="96"/>
  <c r="Y41" i="95"/>
  <c r="AD41" i="95"/>
  <c r="T41" i="95"/>
  <c r="Z129" i="95"/>
  <c r="T129" i="95"/>
  <c r="AC129" i="95"/>
  <c r="AC138" i="95" s="1"/>
  <c r="AA101" i="95"/>
  <c r="Y101" i="95"/>
  <c r="Y111" i="95" s="1"/>
  <c r="Y112" i="95" s="1"/>
  <c r="T101" i="95"/>
  <c r="AC141" i="96"/>
  <c r="Y141" i="96"/>
  <c r="T141" i="96"/>
  <c r="Y160" i="95"/>
  <c r="T160" i="95"/>
  <c r="AD160" i="95"/>
  <c r="AD165" i="95" s="1"/>
  <c r="AC139" i="96"/>
  <c r="Z139" i="96"/>
  <c r="Z152" i="96" s="1"/>
  <c r="Z153" i="96" s="1"/>
  <c r="T139" i="96"/>
  <c r="R164" i="92"/>
  <c r="L112" i="94"/>
  <c r="J112" i="94"/>
  <c r="K112" i="94"/>
  <c r="I76" i="95"/>
  <c r="Y112" i="96"/>
  <c r="U112" i="96"/>
  <c r="U120" i="96" s="1"/>
  <c r="AD112" i="96"/>
  <c r="T161" i="93"/>
  <c r="Z161" i="93"/>
  <c r="Z172" i="93" s="1"/>
  <c r="Z173" i="93" s="1"/>
  <c r="AB161" i="93"/>
  <c r="AB172" i="93" s="1"/>
  <c r="AA111" i="95"/>
  <c r="K141" i="93"/>
  <c r="J141" i="93"/>
  <c r="L141" i="93"/>
  <c r="R37" i="93"/>
  <c r="R66" i="93"/>
  <c r="L81" i="92"/>
  <c r="AB162" i="93"/>
  <c r="Y162" i="93"/>
  <c r="T162" i="93"/>
  <c r="AA34" i="93"/>
  <c r="Y34" i="93"/>
  <c r="T34" i="93"/>
  <c r="S47" i="93"/>
  <c r="R110" i="89"/>
  <c r="R72" i="93"/>
  <c r="S165" i="91"/>
  <c r="AA156" i="91"/>
  <c r="Y156" i="91"/>
  <c r="T156" i="91"/>
  <c r="T165" i="91" s="1"/>
  <c r="AB165" i="92"/>
  <c r="Y165" i="92"/>
  <c r="T165" i="92"/>
  <c r="R68" i="91"/>
  <c r="L78" i="92"/>
  <c r="Z82" i="92"/>
  <c r="AB106" i="90"/>
  <c r="AB120" i="90" s="1"/>
  <c r="Z106" i="90"/>
  <c r="Z120" i="90" s="1"/>
  <c r="Z121" i="90" s="1"/>
  <c r="U106" i="90"/>
  <c r="U120" i="90" s="1"/>
  <c r="T120" i="90"/>
  <c r="Y121" i="90" s="1"/>
  <c r="K55" i="90"/>
  <c r="AB159" i="88"/>
  <c r="Y159" i="88"/>
  <c r="U159" i="88"/>
  <c r="AB75" i="89"/>
  <c r="AB85" i="89" s="1"/>
  <c r="Z75" i="89"/>
  <c r="U75" i="89"/>
  <c r="I122" i="90"/>
  <c r="J136" i="91"/>
  <c r="T148" i="90"/>
  <c r="Y149" i="90" s="1"/>
  <c r="AA137" i="90"/>
  <c r="AA148" i="90" s="1"/>
  <c r="V137" i="90"/>
  <c r="V148" i="90" s="1"/>
  <c r="AD137" i="90"/>
  <c r="Y50" i="88"/>
  <c r="L46" i="88"/>
  <c r="S134" i="91"/>
  <c r="T123" i="90"/>
  <c r="E57" i="61" s="1"/>
  <c r="S118" i="90"/>
  <c r="J78" i="88"/>
  <c r="L78" i="88"/>
  <c r="Y52" i="89"/>
  <c r="S123" i="87"/>
  <c r="R97" i="88"/>
  <c r="S119" i="87"/>
  <c r="AC38" i="90"/>
  <c r="AC53" i="90" s="1"/>
  <c r="Z38" i="90"/>
  <c r="U38" i="90"/>
  <c r="AC215" i="87"/>
  <c r="S37" i="90"/>
  <c r="L207" i="87"/>
  <c r="J207" i="87"/>
  <c r="AD41" i="90"/>
  <c r="AA41" i="90"/>
  <c r="V41" i="90"/>
  <c r="Z39" i="88"/>
  <c r="T39" i="88"/>
  <c r="AC39" i="88"/>
  <c r="AC47" i="88" s="1"/>
  <c r="S141" i="85"/>
  <c r="Z47" i="87"/>
  <c r="AE47" i="87"/>
  <c r="U47" i="87"/>
  <c r="S163" i="86"/>
  <c r="E70" i="68" s="1"/>
  <c r="R158" i="86"/>
  <c r="R157" i="86"/>
  <c r="R147" i="86"/>
  <c r="R148" i="86"/>
  <c r="R145" i="86"/>
  <c r="U35" i="87"/>
  <c r="AB35" i="87"/>
  <c r="Z35" i="87"/>
  <c r="T56" i="87"/>
  <c r="Q127" i="86"/>
  <c r="J152" i="85"/>
  <c r="AC124" i="86"/>
  <c r="Y37" i="86"/>
  <c r="T37" i="86"/>
  <c r="AC37" i="86" s="1"/>
  <c r="AB102" i="85"/>
  <c r="Z102" i="85"/>
  <c r="U102" i="85"/>
  <c r="T117" i="85"/>
  <c r="K46" i="88"/>
  <c r="S48" i="85"/>
  <c r="S47" i="85"/>
  <c r="T53" i="85"/>
  <c r="E64" i="67" s="1"/>
  <c r="S37" i="85"/>
  <c r="S42" i="85"/>
  <c r="S74" i="85"/>
  <c r="S70" i="85"/>
  <c r="S81" i="85" s="1"/>
  <c r="S38" i="85"/>
  <c r="S71" i="85"/>
  <c r="S161" i="87"/>
  <c r="Z153" i="85"/>
  <c r="R41" i="84"/>
  <c r="AF115" i="86"/>
  <c r="Z115" i="86"/>
  <c r="T115" i="86"/>
  <c r="V81" i="85"/>
  <c r="AC193" i="82"/>
  <c r="AC204" i="82" s="1"/>
  <c r="AA193" i="82"/>
  <c r="V193" i="82"/>
  <c r="P93" i="82"/>
  <c r="S84" i="82"/>
  <c r="S78" i="82"/>
  <c r="S86" i="82"/>
  <c r="S82" i="82"/>
  <c r="S80" i="82"/>
  <c r="S74" i="82"/>
  <c r="S91" i="82"/>
  <c r="S81" i="82"/>
  <c r="S77" i="82"/>
  <c r="S90" i="82"/>
  <c r="T96" i="82"/>
  <c r="E64" i="70" s="1"/>
  <c r="S83" i="82"/>
  <c r="S85" i="82"/>
  <c r="S79" i="82"/>
  <c r="S73" i="82"/>
  <c r="T168" i="83"/>
  <c r="AB151" i="83"/>
  <c r="AB168" i="83" s="1"/>
  <c r="Z151" i="83"/>
  <c r="V151" i="83"/>
  <c r="AD41" i="85"/>
  <c r="AD50" i="85" s="1"/>
  <c r="Z41" i="85"/>
  <c r="U41" i="85"/>
  <c r="AB60" i="84"/>
  <c r="AB71" i="84" s="1"/>
  <c r="Z60" i="84"/>
  <c r="T60" i="84"/>
  <c r="U93" i="82"/>
  <c r="S71" i="84"/>
  <c r="AA58" i="84"/>
  <c r="Z58" i="84"/>
  <c r="T58" i="84"/>
  <c r="T71" i="84" s="1"/>
  <c r="R73" i="84" s="1"/>
  <c r="AG45" i="86"/>
  <c r="AG51" i="86" s="1"/>
  <c r="Y45" i="86"/>
  <c r="U45" i="86"/>
  <c r="U51" i="86" s="1"/>
  <c r="S53" i="81"/>
  <c r="Z35" i="81"/>
  <c r="U35" i="81"/>
  <c r="U53" i="81" s="1"/>
  <c r="AA35" i="81"/>
  <c r="AA53" i="81" s="1"/>
  <c r="AD41" i="82"/>
  <c r="AA41" i="82"/>
  <c r="V41" i="82"/>
  <c r="AD153" i="82"/>
  <c r="AA153" i="82"/>
  <c r="V153" i="82"/>
  <c r="T115" i="81"/>
  <c r="AE115" i="81"/>
  <c r="Z115" i="81"/>
  <c r="AB177" i="81"/>
  <c r="AB188" i="81" s="1"/>
  <c r="Z177" i="81"/>
  <c r="T177" i="81"/>
  <c r="AD125" i="80"/>
  <c r="T147" i="80"/>
  <c r="AA125" i="80"/>
  <c r="V125" i="80"/>
  <c r="AD170" i="80"/>
  <c r="AB170" i="80"/>
  <c r="W170" i="80"/>
  <c r="AC38" i="82"/>
  <c r="Z38" i="82"/>
  <c r="V38" i="82"/>
  <c r="J104" i="80"/>
  <c r="I59" i="82"/>
  <c r="T65" i="79"/>
  <c r="AC65" i="79"/>
  <c r="Y65" i="79"/>
  <c r="AD35" i="80"/>
  <c r="AB35" i="80"/>
  <c r="V35" i="80"/>
  <c r="S128" i="80"/>
  <c r="AF158" i="76"/>
  <c r="AF165" i="76" s="1"/>
  <c r="U158" i="76"/>
  <c r="AB94" i="76"/>
  <c r="AB103" i="76" s="1"/>
  <c r="AA94" i="76"/>
  <c r="U94" i="76"/>
  <c r="T103" i="76"/>
  <c r="AB127" i="74"/>
  <c r="W127" i="74"/>
  <c r="R114" i="89"/>
  <c r="S119" i="89"/>
  <c r="E34" i="60" s="1"/>
  <c r="AC39" i="90"/>
  <c r="AA39" i="90"/>
  <c r="U39" i="90"/>
  <c r="S115" i="85"/>
  <c r="T120" i="85"/>
  <c r="E66" i="67" s="1"/>
  <c r="S114" i="85"/>
  <c r="S103" i="85"/>
  <c r="S110" i="85"/>
  <c r="S108" i="85"/>
  <c r="S109" i="85"/>
  <c r="S105" i="85"/>
  <c r="S106" i="85"/>
  <c r="AA35" i="88"/>
  <c r="T35" i="88"/>
  <c r="Z35" i="88"/>
  <c r="AI135" i="83"/>
  <c r="L84" i="81"/>
  <c r="Z88" i="81"/>
  <c r="K84" i="81"/>
  <c r="AC40" i="81"/>
  <c r="T40" i="81"/>
  <c r="Y40" i="81"/>
  <c r="AE126" i="84"/>
  <c r="AE131" i="84" s="1"/>
  <c r="Y126" i="84"/>
  <c r="V126" i="84"/>
  <c r="V131" i="84" s="1"/>
  <c r="R135" i="84" s="1"/>
  <c r="S141" i="79"/>
  <c r="E47" i="63" s="1"/>
  <c r="R142" i="79"/>
  <c r="R136" i="79"/>
  <c r="R131" i="79"/>
  <c r="R127" i="79"/>
  <c r="R138" i="79" s="1"/>
  <c r="R128" i="79"/>
  <c r="R130" i="79"/>
  <c r="T47" i="77"/>
  <c r="E44" i="48" s="1"/>
  <c r="S42" i="77"/>
  <c r="S38" i="77"/>
  <c r="S35" i="77"/>
  <c r="S44" i="77" s="1"/>
  <c r="S39" i="77"/>
  <c r="S37" i="77"/>
  <c r="S65" i="76"/>
  <c r="S69" i="76"/>
  <c r="T74" i="76"/>
  <c r="F41" i="47" s="1"/>
  <c r="S61" i="76"/>
  <c r="S62" i="76"/>
  <c r="S63" i="76"/>
  <c r="S64" i="76"/>
  <c r="S59" i="76"/>
  <c r="S60" i="76"/>
  <c r="Z71" i="99"/>
  <c r="U71" i="99"/>
  <c r="U85" i="99" s="1"/>
  <c r="AB71" i="99"/>
  <c r="AB85" i="99" s="1"/>
  <c r="Y38" i="98"/>
  <c r="AC38" i="98"/>
  <c r="AC45" i="98" s="1"/>
  <c r="T38" i="98"/>
  <c r="T45" i="98" s="1"/>
  <c r="Z175" i="97"/>
  <c r="K171" i="97"/>
  <c r="J171" i="97"/>
  <c r="S166" i="97"/>
  <c r="AE144" i="96"/>
  <c r="AE152" i="96" s="1"/>
  <c r="V144" i="96"/>
  <c r="V152" i="96" s="1"/>
  <c r="Y144" i="96"/>
  <c r="AB77" i="93"/>
  <c r="AA158" i="95"/>
  <c r="AA165" i="95" s="1"/>
  <c r="Y158" i="95"/>
  <c r="T158" i="95"/>
  <c r="T165" i="95" s="1"/>
  <c r="S165" i="95"/>
  <c r="V107" i="93"/>
  <c r="V112" i="93" s="1"/>
  <c r="AE107" i="93"/>
  <c r="AE112" i="93" s="1"/>
  <c r="Y107" i="93"/>
  <c r="Z71" i="92"/>
  <c r="AD71" i="92"/>
  <c r="AD79" i="92" s="1"/>
  <c r="U71" i="92"/>
  <c r="U79" i="92" s="1"/>
  <c r="AB126" i="91"/>
  <c r="AB134" i="91" s="1"/>
  <c r="Z126" i="91"/>
  <c r="T126" i="91"/>
  <c r="S77" i="95"/>
  <c r="AE72" i="93"/>
  <c r="AE77" i="93" s="1"/>
  <c r="Y72" i="93"/>
  <c r="V72" i="93"/>
  <c r="V77" i="93" s="1"/>
  <c r="AC68" i="91"/>
  <c r="T68" i="91"/>
  <c r="L49" i="92"/>
  <c r="I49" i="92"/>
  <c r="Y53" i="92"/>
  <c r="T187" i="90"/>
  <c r="E59" i="61" s="1"/>
  <c r="S182" i="90"/>
  <c r="S176" i="90"/>
  <c r="S184" i="90" s="1"/>
  <c r="R107" i="89"/>
  <c r="R116" i="89" s="1"/>
  <c r="Y139" i="93"/>
  <c r="Y140" i="93" s="1"/>
  <c r="AF77" i="90"/>
  <c r="Z77" i="90"/>
  <c r="U77" i="90"/>
  <c r="AA155" i="88"/>
  <c r="Y155" i="88"/>
  <c r="S164" i="88"/>
  <c r="T155" i="88"/>
  <c r="V72" i="90"/>
  <c r="AD72" i="90"/>
  <c r="AA72" i="90"/>
  <c r="Y108" i="89"/>
  <c r="U108" i="89"/>
  <c r="AA108" i="89"/>
  <c r="S50" i="88"/>
  <c r="E47" i="59" s="1"/>
  <c r="R51" i="88"/>
  <c r="R45" i="88"/>
  <c r="S48" i="88"/>
  <c r="R39" i="88"/>
  <c r="AD194" i="87"/>
  <c r="AD205" i="87" s="1"/>
  <c r="AA194" i="87"/>
  <c r="U194" i="87"/>
  <c r="R98" i="88"/>
  <c r="Z97" i="88"/>
  <c r="Z107" i="88" s="1"/>
  <c r="Z108" i="88" s="1"/>
  <c r="AA97" i="88"/>
  <c r="T97" i="88"/>
  <c r="R109" i="89"/>
  <c r="T205" i="87"/>
  <c r="AB190" i="87"/>
  <c r="AB205" i="87" s="1"/>
  <c r="U190" i="87"/>
  <c r="Z190" i="87"/>
  <c r="U37" i="90"/>
  <c r="AB37" i="90"/>
  <c r="Z37" i="90"/>
  <c r="Q54" i="89"/>
  <c r="AB114" i="87"/>
  <c r="T135" i="87"/>
  <c r="U114" i="87"/>
  <c r="Z114" i="87"/>
  <c r="R69" i="88"/>
  <c r="T150" i="85"/>
  <c r="AB135" i="85"/>
  <c r="AB150" i="85" s="1"/>
  <c r="Z135" i="85"/>
  <c r="Z150" i="85" s="1"/>
  <c r="Z151" i="85" s="1"/>
  <c r="U135" i="85"/>
  <c r="I198" i="86"/>
  <c r="L198" i="86"/>
  <c r="AE122" i="87"/>
  <c r="Z122" i="87"/>
  <c r="U122" i="87"/>
  <c r="AE142" i="85"/>
  <c r="AE150" i="85" s="1"/>
  <c r="Z142" i="85"/>
  <c r="U142" i="85"/>
  <c r="AA56" i="87"/>
  <c r="AB96" i="84"/>
  <c r="Z96" i="84"/>
  <c r="U96" i="84"/>
  <c r="T171" i="83"/>
  <c r="P168" i="83"/>
  <c r="S155" i="83"/>
  <c r="S151" i="83"/>
  <c r="S157" i="83"/>
  <c r="S160" i="83"/>
  <c r="S156" i="83"/>
  <c r="S162" i="83"/>
  <c r="S154" i="83"/>
  <c r="AI160" i="83"/>
  <c r="AI168" i="83" s="1"/>
  <c r="AA160" i="83"/>
  <c r="U160" i="83"/>
  <c r="AD120" i="83"/>
  <c r="AD135" i="83" s="1"/>
  <c r="Z120" i="83"/>
  <c r="V120" i="83"/>
  <c r="AD63" i="84"/>
  <c r="AD71" i="84" s="1"/>
  <c r="AD171" i="84" s="1"/>
  <c r="Z63" i="84"/>
  <c r="T63" i="84"/>
  <c r="S132" i="80"/>
  <c r="S163" i="83"/>
  <c r="AI57" i="82"/>
  <c r="Z76" i="81"/>
  <c r="V76" i="81"/>
  <c r="AD114" i="81"/>
  <c r="Y114" i="81"/>
  <c r="U114" i="81"/>
  <c r="S47" i="82"/>
  <c r="S93" i="80"/>
  <c r="S39" i="85"/>
  <c r="T106" i="78"/>
  <c r="E41" i="49" s="1"/>
  <c r="S101" i="78"/>
  <c r="S95" i="78"/>
  <c r="S98" i="78"/>
  <c r="S97" i="78"/>
  <c r="AB34" i="77"/>
  <c r="AA34" i="77"/>
  <c r="T44" i="77"/>
  <c r="U34" i="77"/>
  <c r="R129" i="79"/>
  <c r="T37" i="79"/>
  <c r="AB37" i="79"/>
  <c r="Z37" i="79"/>
  <c r="S91" i="80"/>
  <c r="AB155" i="78"/>
  <c r="Z155" i="78"/>
  <c r="U155" i="78"/>
  <c r="AC129" i="74"/>
  <c r="Z129" i="74"/>
  <c r="U129" i="74"/>
  <c r="S60" i="74"/>
  <c r="T75" i="74"/>
  <c r="F40" i="45" s="1"/>
  <c r="S70" i="74"/>
  <c r="S62" i="74"/>
  <c r="S64" i="74"/>
  <c r="S59" i="74"/>
  <c r="S61" i="74"/>
  <c r="S63" i="74"/>
  <c r="Z148" i="99"/>
  <c r="AF148" i="99"/>
  <c r="AF158" i="99" s="1"/>
  <c r="T148" i="99"/>
  <c r="Z98" i="97"/>
  <c r="Z106" i="97" s="1"/>
  <c r="Z107" i="97" s="1"/>
  <c r="U98" i="97"/>
  <c r="U106" i="97" s="1"/>
  <c r="AE98" i="97"/>
  <c r="AE106" i="97" s="1"/>
  <c r="U83" i="96"/>
  <c r="AH44" i="99"/>
  <c r="AH53" i="99" s="1"/>
  <c r="Z44" i="99"/>
  <c r="T44" i="99"/>
  <c r="R79" i="99"/>
  <c r="AA138" i="96"/>
  <c r="Y138" i="96"/>
  <c r="T138" i="96"/>
  <c r="AA64" i="97"/>
  <c r="U64" i="97"/>
  <c r="AE64" i="97"/>
  <c r="Z102" i="91"/>
  <c r="T102" i="91"/>
  <c r="AC102" i="91"/>
  <c r="AC108" i="91" s="1"/>
  <c r="V123" i="98"/>
  <c r="Q127" i="98" s="1"/>
  <c r="Q130" i="98" s="1"/>
  <c r="S160" i="97"/>
  <c r="S172" i="97" s="1"/>
  <c r="S165" i="97"/>
  <c r="Z126" i="97"/>
  <c r="V126" i="97"/>
  <c r="AC126" i="97"/>
  <c r="Y120" i="96"/>
  <c r="Y121" i="96" s="1"/>
  <c r="AB128" i="95"/>
  <c r="AB138" i="95" s="1"/>
  <c r="Z128" i="95"/>
  <c r="T128" i="95"/>
  <c r="AD113" i="96"/>
  <c r="Z113" i="96"/>
  <c r="U113" i="96"/>
  <c r="AF168" i="94"/>
  <c r="AF173" i="94" s="1"/>
  <c r="AF184" i="94" s="1"/>
  <c r="Y168" i="94"/>
  <c r="V168" i="94"/>
  <c r="V173" i="94" s="1"/>
  <c r="R163" i="92"/>
  <c r="S166" i="95"/>
  <c r="R162" i="95"/>
  <c r="R163" i="95"/>
  <c r="S168" i="95"/>
  <c r="E51" i="54" s="1"/>
  <c r="R133" i="94"/>
  <c r="L143" i="92"/>
  <c r="K143" i="92"/>
  <c r="AA66" i="92"/>
  <c r="AA79" i="92" s="1"/>
  <c r="Y66" i="92"/>
  <c r="Y79" i="92" s="1"/>
  <c r="Y80" i="92" s="1"/>
  <c r="T66" i="92"/>
  <c r="S79" i="92"/>
  <c r="K81" i="92"/>
  <c r="AA99" i="91"/>
  <c r="Z99" i="91"/>
  <c r="T99" i="91"/>
  <c r="L173" i="92"/>
  <c r="K173" i="92"/>
  <c r="K49" i="92"/>
  <c r="V135" i="91"/>
  <c r="Q138" i="91"/>
  <c r="AD173" i="90"/>
  <c r="AD184" i="90" s="1"/>
  <c r="T184" i="90"/>
  <c r="AA173" i="90"/>
  <c r="AA184" i="90" s="1"/>
  <c r="AA185" i="90" s="1"/>
  <c r="U173" i="90"/>
  <c r="W78" i="90"/>
  <c r="W84" i="90" s="1"/>
  <c r="AG78" i="90"/>
  <c r="AG84" i="90" s="1"/>
  <c r="Z78" i="90"/>
  <c r="Q54" i="92"/>
  <c r="R54" i="92" s="1"/>
  <c r="S44" i="90"/>
  <c r="AA156" i="88"/>
  <c r="Z156" i="88"/>
  <c r="Z164" i="88" s="1"/>
  <c r="Z165" i="88" s="1"/>
  <c r="T156" i="88"/>
  <c r="S73" i="90"/>
  <c r="S114" i="90"/>
  <c r="M135" i="91"/>
  <c r="R83" i="89"/>
  <c r="S88" i="89"/>
  <c r="E33" i="60" s="1"/>
  <c r="R76" i="89"/>
  <c r="S110" i="90"/>
  <c r="R77" i="89"/>
  <c r="R102" i="92"/>
  <c r="AD134" i="88"/>
  <c r="S51" i="89"/>
  <c r="Z37" i="89"/>
  <c r="Z51" i="89" s="1"/>
  <c r="Z52" i="89" s="1"/>
  <c r="T37" i="89"/>
  <c r="T51" i="89" s="1"/>
  <c r="AA37" i="89"/>
  <c r="AA51" i="89" s="1"/>
  <c r="AB98" i="88"/>
  <c r="AB107" i="88" s="1"/>
  <c r="Z98" i="88"/>
  <c r="U98" i="88"/>
  <c r="S83" i="87"/>
  <c r="AB109" i="89"/>
  <c r="AB116" i="89" s="1"/>
  <c r="AB125" i="89" s="1"/>
  <c r="Y109" i="89"/>
  <c r="U109" i="89"/>
  <c r="T208" i="87"/>
  <c r="E75" i="69" s="1"/>
  <c r="S193" i="87"/>
  <c r="S205" i="87" s="1"/>
  <c r="S196" i="87"/>
  <c r="S195" i="87"/>
  <c r="S203" i="87"/>
  <c r="S192" i="87"/>
  <c r="R194" i="86"/>
  <c r="R193" i="86"/>
  <c r="R188" i="86"/>
  <c r="S199" i="86"/>
  <c r="E71" i="68" s="1"/>
  <c r="R185" i="86"/>
  <c r="R191" i="86"/>
  <c r="R38" i="88"/>
  <c r="Y110" i="86"/>
  <c r="Y124" i="86" s="1"/>
  <c r="Y125" i="86" s="1"/>
  <c r="T110" i="86"/>
  <c r="AC110" i="86"/>
  <c r="AG145" i="85"/>
  <c r="AG150" i="85" s="1"/>
  <c r="Z145" i="85"/>
  <c r="W145" i="85"/>
  <c r="U118" i="87"/>
  <c r="AB118" i="87"/>
  <c r="T187" i="86"/>
  <c r="AF187" i="86"/>
  <c r="AF196" i="86" s="1"/>
  <c r="Z187" i="86"/>
  <c r="S148" i="85"/>
  <c r="S147" i="85"/>
  <c r="T153" i="85"/>
  <c r="E67" i="67" s="1"/>
  <c r="S140" i="85"/>
  <c r="S135" i="85"/>
  <c r="S180" i="85"/>
  <c r="S174" i="85"/>
  <c r="AE43" i="85"/>
  <c r="Z43" i="85"/>
  <c r="U43" i="85"/>
  <c r="U174" i="85"/>
  <c r="AB174" i="85"/>
  <c r="AB187" i="85" s="1"/>
  <c r="Z174" i="85"/>
  <c r="T187" i="85"/>
  <c r="AD69" i="95"/>
  <c r="Y69" i="95"/>
  <c r="T69" i="95"/>
  <c r="R108" i="86"/>
  <c r="AG76" i="85"/>
  <c r="AG81" i="85" s="1"/>
  <c r="Z76" i="85"/>
  <c r="W76" i="85"/>
  <c r="W81" i="85" s="1"/>
  <c r="S122" i="87"/>
  <c r="AF152" i="86"/>
  <c r="AF160" i="86" s="1"/>
  <c r="Y152" i="86"/>
  <c r="V152" i="86"/>
  <c r="V160" i="86" s="1"/>
  <c r="I116" i="85"/>
  <c r="Z120" i="85"/>
  <c r="AA120" i="85"/>
  <c r="S137" i="85"/>
  <c r="AH75" i="86"/>
  <c r="AH83" i="86" s="1"/>
  <c r="AH206" i="86" s="1"/>
  <c r="Y75" i="86"/>
  <c r="T75" i="86"/>
  <c r="AC62" i="84"/>
  <c r="AC71" i="84" s="1"/>
  <c r="Y62" i="84"/>
  <c r="Y71" i="84" s="1"/>
  <c r="Y72" i="84" s="1"/>
  <c r="U62" i="84"/>
  <c r="U128" i="82"/>
  <c r="AI128" i="82"/>
  <c r="AI135" i="82" s="1"/>
  <c r="AA128" i="82"/>
  <c r="AJ88" i="83"/>
  <c r="AJ95" i="83" s="1"/>
  <c r="W88" i="83"/>
  <c r="Z122" i="83"/>
  <c r="U122" i="83"/>
  <c r="U135" i="83" s="1"/>
  <c r="AE122" i="83"/>
  <c r="AE110" i="85"/>
  <c r="Z110" i="85"/>
  <c r="V110" i="85"/>
  <c r="S199" i="82"/>
  <c r="AB104" i="84"/>
  <c r="Z94" i="84"/>
  <c r="AA94" i="84"/>
  <c r="U94" i="84"/>
  <c r="AD95" i="83"/>
  <c r="U122" i="82"/>
  <c r="Z122" i="82"/>
  <c r="AE122" i="82"/>
  <c r="S86" i="80"/>
  <c r="AJ163" i="83"/>
  <c r="AJ168" i="83" s="1"/>
  <c r="Z163" i="83"/>
  <c r="W163" i="83"/>
  <c r="T104" i="84"/>
  <c r="R106" i="84" s="1"/>
  <c r="AE44" i="82"/>
  <c r="AA44" i="82"/>
  <c r="U44" i="82"/>
  <c r="Z36" i="82"/>
  <c r="U36" i="82"/>
  <c r="V93" i="80"/>
  <c r="AH93" i="80"/>
  <c r="AH102" i="80" s="1"/>
  <c r="AB93" i="80"/>
  <c r="AD144" i="81"/>
  <c r="AD155" i="81" s="1"/>
  <c r="AD198" i="81" s="1"/>
  <c r="Y144" i="81"/>
  <c r="U144" i="81"/>
  <c r="S188" i="80"/>
  <c r="T193" i="80"/>
  <c r="E70" i="64" s="1"/>
  <c r="S187" i="80"/>
  <c r="S186" i="80"/>
  <c r="S179" i="80"/>
  <c r="S169" i="80"/>
  <c r="S166" i="80"/>
  <c r="S174" i="80"/>
  <c r="S171" i="80"/>
  <c r="S170" i="80"/>
  <c r="K74" i="79"/>
  <c r="J74" i="79"/>
  <c r="Z78" i="79"/>
  <c r="Y78" i="79"/>
  <c r="I74" i="79"/>
  <c r="S47" i="79"/>
  <c r="AB97" i="78"/>
  <c r="Z97" i="78"/>
  <c r="U97" i="78"/>
  <c r="W65" i="77"/>
  <c r="W73" i="77" s="1"/>
  <c r="AB65" i="77"/>
  <c r="Z65" i="77"/>
  <c r="S64" i="77"/>
  <c r="AB124" i="77"/>
  <c r="U124" i="77"/>
  <c r="Z124" i="77"/>
  <c r="T137" i="74"/>
  <c r="T179" i="74" s="1"/>
  <c r="T180" i="74" s="1"/>
  <c r="AB125" i="74"/>
  <c r="AB137" i="74" s="1"/>
  <c r="AA125" i="74"/>
  <c r="U125" i="74"/>
  <c r="AB61" i="74"/>
  <c r="W61" i="74"/>
  <c r="R51" i="72"/>
  <c r="R41" i="72"/>
  <c r="S62" i="72"/>
  <c r="F87" i="39" s="1"/>
  <c r="R45" i="72"/>
  <c r="R50" i="72"/>
  <c r="R40" i="72"/>
  <c r="R57" i="72"/>
  <c r="R43" i="72"/>
  <c r="R38" i="72"/>
  <c r="R39" i="72"/>
  <c r="R37" i="72"/>
  <c r="R46" i="72"/>
  <c r="R42" i="72"/>
  <c r="R44" i="72"/>
  <c r="R47" i="72"/>
  <c r="R48" i="72"/>
  <c r="R36" i="72"/>
  <c r="R49" i="72"/>
  <c r="Z159" i="91"/>
  <c r="Z165" i="91" s="1"/>
  <c r="Z166" i="91" s="1"/>
  <c r="V159" i="91"/>
  <c r="V165" i="91" s="1"/>
  <c r="AB159" i="91"/>
  <c r="AB165" i="91" s="1"/>
  <c r="AD42" i="90"/>
  <c r="Z42" i="90"/>
  <c r="V42" i="90"/>
  <c r="AF43" i="86"/>
  <c r="AF51" i="86" s="1"/>
  <c r="Y43" i="86"/>
  <c r="T43" i="86"/>
  <c r="Z120" i="84"/>
  <c r="S131" i="84"/>
  <c r="T120" i="84"/>
  <c r="AA120" i="84"/>
  <c r="AE109" i="85"/>
  <c r="AE117" i="85" s="1"/>
  <c r="AA109" i="85"/>
  <c r="U109" i="85"/>
  <c r="AF116" i="86"/>
  <c r="Y116" i="86"/>
  <c r="T116" i="86"/>
  <c r="AB126" i="74"/>
  <c r="W126" i="74"/>
  <c r="V149" i="99"/>
  <c r="V158" i="99" s="1"/>
  <c r="AG149" i="99"/>
  <c r="AG158" i="99" s="1"/>
  <c r="AG168" i="99" s="1"/>
  <c r="Y149" i="99"/>
  <c r="Y158" i="99" s="1"/>
  <c r="Y159" i="99" s="1"/>
  <c r="Y146" i="98"/>
  <c r="AB146" i="98"/>
  <c r="U146" i="98"/>
  <c r="AB38" i="99"/>
  <c r="AB53" i="99" s="1"/>
  <c r="Z38" i="99"/>
  <c r="Z53" i="99" s="1"/>
  <c r="Z54" i="99" s="1"/>
  <c r="U38" i="99"/>
  <c r="U53" i="99" s="1"/>
  <c r="L44" i="98"/>
  <c r="K44" i="98"/>
  <c r="Y48" i="98"/>
  <c r="I44" i="98"/>
  <c r="T114" i="99"/>
  <c r="AC114" i="99"/>
  <c r="Y114" i="99"/>
  <c r="Z90" i="98"/>
  <c r="T90" i="98"/>
  <c r="S99" i="98"/>
  <c r="AA90" i="98"/>
  <c r="AA99" i="98" s="1"/>
  <c r="AE32" i="97"/>
  <c r="AE40" i="97" s="1"/>
  <c r="U32" i="97"/>
  <c r="Z32" i="97"/>
  <c r="Z40" i="97" s="1"/>
  <c r="V149" i="98"/>
  <c r="V153" i="98" s="1"/>
  <c r="Q157" i="98" s="1"/>
  <c r="AE149" i="98"/>
  <c r="AE153" i="98" s="1"/>
  <c r="AE163" i="98" s="1"/>
  <c r="Y149" i="98"/>
  <c r="W62" i="97"/>
  <c r="W72" i="97" s="1"/>
  <c r="AC62" i="97"/>
  <c r="AA62" i="97"/>
  <c r="AA72" i="97" s="1"/>
  <c r="AA73" i="97" s="1"/>
  <c r="AB67" i="96"/>
  <c r="AB83" i="96" s="1"/>
  <c r="Z67" i="96"/>
  <c r="T67" i="96"/>
  <c r="S53" i="96"/>
  <c r="E59" i="55" s="1"/>
  <c r="R47" i="96"/>
  <c r="R48" i="96"/>
  <c r="R39" i="96"/>
  <c r="R34" i="96"/>
  <c r="R136" i="94"/>
  <c r="S141" i="94"/>
  <c r="E55" i="53" s="1"/>
  <c r="R135" i="94"/>
  <c r="K73" i="94"/>
  <c r="L175" i="94"/>
  <c r="K175" i="94"/>
  <c r="AD104" i="95"/>
  <c r="AD111" i="95" s="1"/>
  <c r="Z104" i="95"/>
  <c r="T104" i="95"/>
  <c r="R153" i="99"/>
  <c r="R115" i="98"/>
  <c r="R78" i="99"/>
  <c r="T143" i="99"/>
  <c r="S158" i="99"/>
  <c r="AA143" i="99"/>
  <c r="AA158" i="99" s="1"/>
  <c r="Z143" i="99"/>
  <c r="Z158" i="99" s="1"/>
  <c r="Z159" i="99" s="1"/>
  <c r="AI53" i="99"/>
  <c r="S58" i="97"/>
  <c r="S72" i="97" s="1"/>
  <c r="S134" i="97"/>
  <c r="AC160" i="97"/>
  <c r="AC172" i="97" s="1"/>
  <c r="AA160" i="97"/>
  <c r="V160" i="97"/>
  <c r="S162" i="97"/>
  <c r="S33" i="97"/>
  <c r="S40" i="97" s="1"/>
  <c r="T40" i="97"/>
  <c r="AA29" i="97"/>
  <c r="AB29" i="97"/>
  <c r="AB40" i="97" s="1"/>
  <c r="V29" i="97"/>
  <c r="V40" i="97" s="1"/>
  <c r="Y192" i="96"/>
  <c r="AC96" i="97"/>
  <c r="AC106" i="97" s="1"/>
  <c r="AA96" i="97"/>
  <c r="V96" i="97"/>
  <c r="AC83" i="96"/>
  <c r="R149" i="98"/>
  <c r="S62" i="97"/>
  <c r="T106" i="96"/>
  <c r="T120" i="96" s="1"/>
  <c r="S120" i="96"/>
  <c r="AB106" i="96"/>
  <c r="AB120" i="96" s="1"/>
  <c r="Z106" i="96"/>
  <c r="Z120" i="96" s="1"/>
  <c r="Z121" i="96" s="1"/>
  <c r="T162" i="94"/>
  <c r="Z162" i="94"/>
  <c r="Z173" i="94" s="1"/>
  <c r="AA162" i="94"/>
  <c r="Y70" i="95"/>
  <c r="V77" i="95"/>
  <c r="S112" i="95"/>
  <c r="R109" i="95"/>
  <c r="S114" i="95"/>
  <c r="E49" i="54" s="1"/>
  <c r="R108" i="95"/>
  <c r="R106" i="95"/>
  <c r="R111" i="95" s="1"/>
  <c r="R35" i="96"/>
  <c r="R44" i="96"/>
  <c r="AD105" i="95"/>
  <c r="Y105" i="95"/>
  <c r="T105" i="95"/>
  <c r="R64" i="94"/>
  <c r="J175" i="94"/>
  <c r="S173" i="94"/>
  <c r="AA161" i="94"/>
  <c r="Y161" i="94"/>
  <c r="T161" i="94"/>
  <c r="T173" i="94" s="1"/>
  <c r="S111" i="95"/>
  <c r="Z172" i="92"/>
  <c r="AB129" i="94"/>
  <c r="AB138" i="94" s="1"/>
  <c r="Z129" i="94"/>
  <c r="T129" i="94"/>
  <c r="AB133" i="93"/>
  <c r="Y133" i="93"/>
  <c r="V133" i="93"/>
  <c r="V139" i="93" s="1"/>
  <c r="AC135" i="92"/>
  <c r="AC141" i="92" s="1"/>
  <c r="AC179" i="92" s="1"/>
  <c r="Y135" i="92"/>
  <c r="V135" i="92"/>
  <c r="V141" i="92" s="1"/>
  <c r="R44" i="94"/>
  <c r="S49" i="94"/>
  <c r="E52" i="53" s="1"/>
  <c r="R39" i="94"/>
  <c r="R46" i="94" s="1"/>
  <c r="Y133" i="94"/>
  <c r="V133" i="94"/>
  <c r="V138" i="94" s="1"/>
  <c r="I114" i="93"/>
  <c r="I143" i="92"/>
  <c r="AA64" i="93"/>
  <c r="Z64" i="93"/>
  <c r="Z77" i="93" s="1"/>
  <c r="Z78" i="93" s="1"/>
  <c r="T64" i="93"/>
  <c r="J114" i="93"/>
  <c r="R70" i="92"/>
  <c r="L110" i="91"/>
  <c r="I110" i="91"/>
  <c r="Y104" i="93"/>
  <c r="AB104" i="93"/>
  <c r="T104" i="93"/>
  <c r="Z78" i="91"/>
  <c r="R132" i="92"/>
  <c r="I140" i="92"/>
  <c r="Y82" i="92"/>
  <c r="AA65" i="91"/>
  <c r="T65" i="91"/>
  <c r="S139" i="90"/>
  <c r="AF44" i="90"/>
  <c r="AA44" i="90"/>
  <c r="V44" i="90"/>
  <c r="AD73" i="90"/>
  <c r="Z73" i="90"/>
  <c r="V73" i="90"/>
  <c r="AB171" i="92"/>
  <c r="S111" i="90"/>
  <c r="AB134" i="88"/>
  <c r="R132" i="91"/>
  <c r="R131" i="91"/>
  <c r="S137" i="91"/>
  <c r="E44" i="50" s="1"/>
  <c r="AA158" i="91"/>
  <c r="Y158" i="91"/>
  <c r="T158" i="91"/>
  <c r="S107" i="90"/>
  <c r="S120" i="90" s="1"/>
  <c r="AD77" i="89"/>
  <c r="AD85" i="89" s="1"/>
  <c r="AD125" i="89" s="1"/>
  <c r="Y77" i="89"/>
  <c r="U77" i="89"/>
  <c r="AB102" i="92"/>
  <c r="AB112" i="92" s="1"/>
  <c r="Y102" i="92"/>
  <c r="Y112" i="92" s="1"/>
  <c r="Y113" i="92" s="1"/>
  <c r="T102" i="92"/>
  <c r="F32" i="60"/>
  <c r="D32" i="60"/>
  <c r="S153" i="87"/>
  <c r="S168" i="87" s="1"/>
  <c r="R153" i="86"/>
  <c r="S80" i="87"/>
  <c r="S159" i="87"/>
  <c r="L137" i="87"/>
  <c r="K137" i="87"/>
  <c r="I137" i="87"/>
  <c r="AB38" i="88"/>
  <c r="Y38" i="88"/>
  <c r="Y47" i="88" s="1"/>
  <c r="Y48" i="88" s="1"/>
  <c r="U38" i="88"/>
  <c r="U47" i="88" s="1"/>
  <c r="Z36" i="87"/>
  <c r="U36" i="87"/>
  <c r="AB36" i="87"/>
  <c r="S136" i="85"/>
  <c r="S79" i="87"/>
  <c r="R80" i="86"/>
  <c r="S86" i="86"/>
  <c r="E68" i="68" s="1"/>
  <c r="R81" i="86"/>
  <c r="R71" i="86"/>
  <c r="R83" i="86" s="1"/>
  <c r="R76" i="86"/>
  <c r="AC148" i="86"/>
  <c r="Y148" i="86"/>
  <c r="Y160" i="86" s="1"/>
  <c r="Y161" i="86" s="1"/>
  <c r="T148" i="86"/>
  <c r="S184" i="85"/>
  <c r="T190" i="85"/>
  <c r="E68" i="67" s="1"/>
  <c r="S185" i="85"/>
  <c r="AA108" i="86"/>
  <c r="AA124" i="86" s="1"/>
  <c r="AA206" i="86" s="1"/>
  <c r="Z108" i="86"/>
  <c r="Z124" i="86" s="1"/>
  <c r="Z125" i="86" s="1"/>
  <c r="T108" i="86"/>
  <c r="S124" i="86"/>
  <c r="S182" i="85"/>
  <c r="S72" i="85"/>
  <c r="AA59" i="87"/>
  <c r="I55" i="87"/>
  <c r="U35" i="85"/>
  <c r="T50" i="85"/>
  <c r="AB35" i="85"/>
  <c r="Z35" i="85"/>
  <c r="R189" i="86"/>
  <c r="I95" i="82"/>
  <c r="L95" i="82"/>
  <c r="S75" i="85"/>
  <c r="AH126" i="83"/>
  <c r="AH135" i="83" s="1"/>
  <c r="AA126" i="83"/>
  <c r="V126" i="83"/>
  <c r="AE45" i="83"/>
  <c r="Z45" i="83"/>
  <c r="U45" i="83"/>
  <c r="R49" i="86"/>
  <c r="R39" i="86"/>
  <c r="R48" i="86"/>
  <c r="R36" i="86"/>
  <c r="S54" i="86"/>
  <c r="E67" i="68" s="1"/>
  <c r="R44" i="86"/>
  <c r="R43" i="86"/>
  <c r="R34" i="86"/>
  <c r="R45" i="86"/>
  <c r="R41" i="86"/>
  <c r="S86" i="83"/>
  <c r="S83" i="83"/>
  <c r="S80" i="83"/>
  <c r="S77" i="83"/>
  <c r="S93" i="83"/>
  <c r="T98" i="83"/>
  <c r="S85" i="83"/>
  <c r="S82" i="83"/>
  <c r="S79" i="83"/>
  <c r="S76" i="83"/>
  <c r="S92" i="83"/>
  <c r="P95" i="83"/>
  <c r="S75" i="83"/>
  <c r="S81" i="83"/>
  <c r="S84" i="83"/>
  <c r="S88" i="83"/>
  <c r="Z125" i="83"/>
  <c r="U125" i="83"/>
  <c r="AG125" i="83"/>
  <c r="AG135" i="83" s="1"/>
  <c r="R102" i="84"/>
  <c r="R101" i="84"/>
  <c r="R93" i="84"/>
  <c r="S107" i="84"/>
  <c r="E46" i="66" s="1"/>
  <c r="R98" i="84"/>
  <c r="R97" i="84"/>
  <c r="K95" i="82"/>
  <c r="R72" i="86"/>
  <c r="S158" i="83"/>
  <c r="AG198" i="81"/>
  <c r="AB140" i="81"/>
  <c r="AB155" i="81" s="1"/>
  <c r="T140" i="81"/>
  <c r="Z140" i="81"/>
  <c r="R46" i="81"/>
  <c r="S83" i="80"/>
  <c r="S43" i="82"/>
  <c r="R45" i="81"/>
  <c r="AD113" i="81"/>
  <c r="AD124" i="81" s="1"/>
  <c r="Z113" i="81"/>
  <c r="U113" i="81"/>
  <c r="S134" i="80"/>
  <c r="I84" i="81"/>
  <c r="L104" i="80"/>
  <c r="K104" i="80"/>
  <c r="V93" i="82"/>
  <c r="Z124" i="78"/>
  <c r="W124" i="78"/>
  <c r="AE124" i="78"/>
  <c r="AE132" i="78" s="1"/>
  <c r="Y141" i="79"/>
  <c r="L140" i="79"/>
  <c r="K140" i="79"/>
  <c r="I140" i="79"/>
  <c r="Z141" i="79"/>
  <c r="AC66" i="79"/>
  <c r="Z66" i="79"/>
  <c r="Z75" i="79" s="1"/>
  <c r="Z76" i="79" s="1"/>
  <c r="T66" i="79"/>
  <c r="AC64" i="74"/>
  <c r="Z64" i="74"/>
  <c r="U64" i="74"/>
  <c r="Z63" i="76"/>
  <c r="U63" i="76"/>
  <c r="AE63" i="76"/>
  <c r="AE71" i="76" s="1"/>
  <c r="AB97" i="74"/>
  <c r="AA97" i="74"/>
  <c r="U97" i="74"/>
  <c r="T46" i="74"/>
  <c r="F39" i="45" s="1"/>
  <c r="S41" i="74"/>
  <c r="S36" i="74"/>
  <c r="S38" i="74"/>
  <c r="S34" i="74"/>
  <c r="S37" i="74"/>
  <c r="AA34" i="76"/>
  <c r="U34" i="76"/>
  <c r="T43" i="76"/>
  <c r="AB34" i="76"/>
  <c r="S110" i="88"/>
  <c r="E49" i="59" s="1"/>
  <c r="R99" i="88"/>
  <c r="R105" i="88"/>
  <c r="R96" i="88"/>
  <c r="R107" i="88" s="1"/>
  <c r="R100" i="88"/>
  <c r="Z169" i="87"/>
  <c r="AD42" i="87"/>
  <c r="Z42" i="87"/>
  <c r="U42" i="87"/>
  <c r="U179" i="85"/>
  <c r="AD179" i="85"/>
  <c r="AD187" i="85" s="1"/>
  <c r="AD196" i="85" s="1"/>
  <c r="Z179" i="85"/>
  <c r="AC185" i="86"/>
  <c r="Z185" i="86"/>
  <c r="Z196" i="86" s="1"/>
  <c r="Z197" i="86" s="1"/>
  <c r="T185" i="86"/>
  <c r="S128" i="97"/>
  <c r="S135" i="97"/>
  <c r="Y111" i="96"/>
  <c r="T111" i="96"/>
  <c r="AC111" i="96"/>
  <c r="AC120" i="96" s="1"/>
  <c r="T40" i="96"/>
  <c r="AC40" i="96"/>
  <c r="Y40" i="96"/>
  <c r="Y50" i="96" s="1"/>
  <c r="Y51" i="96" s="1"/>
  <c r="Z80" i="95"/>
  <c r="K76" i="95"/>
  <c r="M174" i="97"/>
  <c r="L174" i="97"/>
  <c r="S53" i="99"/>
  <c r="T35" i="99"/>
  <c r="AA35" i="99"/>
  <c r="AA53" i="99" s="1"/>
  <c r="Y35" i="99"/>
  <c r="Y53" i="99" s="1"/>
  <c r="Y54" i="99" s="1"/>
  <c r="R118" i="98"/>
  <c r="Y78" i="99"/>
  <c r="V78" i="99"/>
  <c r="V85" i="99" s="1"/>
  <c r="Y153" i="99"/>
  <c r="AL153" i="99"/>
  <c r="AL158" i="99" s="1"/>
  <c r="AL168" i="99" s="1"/>
  <c r="T153" i="99"/>
  <c r="R74" i="99"/>
  <c r="S159" i="99"/>
  <c r="S161" i="99"/>
  <c r="R156" i="99"/>
  <c r="R155" i="99"/>
  <c r="R146" i="99"/>
  <c r="R158" i="99" s="1"/>
  <c r="AC120" i="99"/>
  <c r="T120" i="99"/>
  <c r="Y120" i="99"/>
  <c r="AE74" i="96"/>
  <c r="AE83" i="96" s="1"/>
  <c r="Y74" i="96"/>
  <c r="V74" i="96"/>
  <c r="V83" i="96" s="1"/>
  <c r="R126" i="94"/>
  <c r="AB35" i="96"/>
  <c r="AB50" i="96" s="1"/>
  <c r="Z35" i="96"/>
  <c r="Z50" i="96" s="1"/>
  <c r="T35" i="96"/>
  <c r="T50" i="96" s="1"/>
  <c r="AE44" i="96"/>
  <c r="AE50" i="96" s="1"/>
  <c r="V44" i="96"/>
  <c r="V50" i="96" s="1"/>
  <c r="Y44" i="96"/>
  <c r="L50" i="95"/>
  <c r="AD40" i="95"/>
  <c r="AD48" i="95" s="1"/>
  <c r="Z40" i="95"/>
  <c r="T40" i="95"/>
  <c r="R171" i="94"/>
  <c r="S176" i="94"/>
  <c r="E56" i="53" s="1"/>
  <c r="R170" i="94"/>
  <c r="R166" i="94"/>
  <c r="R173" i="94" s="1"/>
  <c r="T68" i="96"/>
  <c r="AA68" i="96"/>
  <c r="Y68" i="96"/>
  <c r="AB112" i="93"/>
  <c r="R100" i="92"/>
  <c r="R36" i="93"/>
  <c r="R47" i="93" s="1"/>
  <c r="AC66" i="95"/>
  <c r="Z66" i="95"/>
  <c r="T66" i="95"/>
  <c r="AA34" i="94"/>
  <c r="AA46" i="94" s="1"/>
  <c r="S46" i="94"/>
  <c r="T34" i="94"/>
  <c r="T46" i="94" s="1"/>
  <c r="Y34" i="94"/>
  <c r="Y46" i="94" s="1"/>
  <c r="Y47" i="94" s="1"/>
  <c r="R64" i="93"/>
  <c r="R77" i="93" s="1"/>
  <c r="AB39" i="93"/>
  <c r="AB47" i="93" s="1"/>
  <c r="Y39" i="93"/>
  <c r="T39" i="93"/>
  <c r="Y70" i="92"/>
  <c r="AB70" i="92"/>
  <c r="AB79" i="92" s="1"/>
  <c r="T70" i="92"/>
  <c r="Y132" i="94"/>
  <c r="Y138" i="94" s="1"/>
  <c r="Y139" i="94" s="1"/>
  <c r="T132" i="94"/>
  <c r="R72" i="91"/>
  <c r="S78" i="91"/>
  <c r="E42" i="50" s="1"/>
  <c r="R73" i="91"/>
  <c r="AB132" i="92"/>
  <c r="Y132" i="92"/>
  <c r="T132" i="92"/>
  <c r="R73" i="92"/>
  <c r="R67" i="92"/>
  <c r="R38" i="92"/>
  <c r="R74" i="92"/>
  <c r="R48" i="92"/>
  <c r="S53" i="92"/>
  <c r="E54" i="51" s="1"/>
  <c r="AE74" i="90"/>
  <c r="AE84" i="90" s="1"/>
  <c r="AE194" i="90" s="1"/>
  <c r="Z74" i="90"/>
  <c r="V74" i="90"/>
  <c r="S40" i="90"/>
  <c r="S53" i="90" s="1"/>
  <c r="Y122" i="88"/>
  <c r="Y134" i="88" s="1"/>
  <c r="T122" i="88"/>
  <c r="S134" i="88"/>
  <c r="AA122" i="88"/>
  <c r="AA134" i="88" s="1"/>
  <c r="Z142" i="90"/>
  <c r="AG142" i="90"/>
  <c r="AG148" i="90" s="1"/>
  <c r="W142" i="90"/>
  <c r="W148" i="90" s="1"/>
  <c r="T87" i="90"/>
  <c r="E56" i="61" s="1"/>
  <c r="S82" i="90"/>
  <c r="S108" i="90"/>
  <c r="S167" i="88"/>
  <c r="R169" i="88"/>
  <c r="R170" i="88"/>
  <c r="S165" i="88"/>
  <c r="E51" i="59" s="1"/>
  <c r="R162" i="88"/>
  <c r="R164" i="88" s="1"/>
  <c r="S85" i="89"/>
  <c r="Z80" i="87"/>
  <c r="AE80" i="87"/>
  <c r="U80" i="87"/>
  <c r="U89" i="87" s="1"/>
  <c r="Q91" i="87" s="1"/>
  <c r="R66" i="88"/>
  <c r="R76" i="88" s="1"/>
  <c r="AD69" i="88"/>
  <c r="AD76" i="88" s="1"/>
  <c r="Y69" i="88"/>
  <c r="U69" i="88"/>
  <c r="U76" i="88" s="1"/>
  <c r="R34" i="88"/>
  <c r="R47" i="88" s="1"/>
  <c r="S36" i="87"/>
  <c r="AE79" i="87"/>
  <c r="Z79" i="87"/>
  <c r="U79" i="87"/>
  <c r="T89" i="87"/>
  <c r="R41" i="92"/>
  <c r="R121" i="86"/>
  <c r="S127" i="86"/>
  <c r="E69" i="68" s="1"/>
  <c r="R122" i="86"/>
  <c r="R118" i="86"/>
  <c r="R109" i="86"/>
  <c r="R111" i="86"/>
  <c r="R114" i="86"/>
  <c r="R115" i="86"/>
  <c r="AE182" i="85"/>
  <c r="AE187" i="85" s="1"/>
  <c r="Z182" i="85"/>
  <c r="V182" i="85"/>
  <c r="T117" i="86"/>
  <c r="AF117" i="86"/>
  <c r="Y117" i="86"/>
  <c r="S115" i="87"/>
  <c r="R183" i="86"/>
  <c r="R196" i="86" s="1"/>
  <c r="S133" i="83"/>
  <c r="T138" i="83"/>
  <c r="S132" i="83"/>
  <c r="P135" i="83"/>
  <c r="S121" i="83"/>
  <c r="S124" i="83"/>
  <c r="S122" i="83"/>
  <c r="S127" i="83"/>
  <c r="S123" i="83"/>
  <c r="AH160" i="82"/>
  <c r="AH169" i="82" s="1"/>
  <c r="AA160" i="82"/>
  <c r="V160" i="82"/>
  <c r="I43" i="84"/>
  <c r="S195" i="82"/>
  <c r="AA34" i="86"/>
  <c r="AA51" i="86" s="1"/>
  <c r="Z34" i="86"/>
  <c r="S51" i="86"/>
  <c r="T34" i="86"/>
  <c r="T51" i="86" s="1"/>
  <c r="S125" i="83"/>
  <c r="R74" i="89"/>
  <c r="R85" i="89" s="1"/>
  <c r="AA95" i="83"/>
  <c r="AC105" i="85"/>
  <c r="AC117" i="85" s="1"/>
  <c r="AA105" i="85"/>
  <c r="U105" i="85"/>
  <c r="AB33" i="84"/>
  <c r="Z33" i="84"/>
  <c r="U33" i="84"/>
  <c r="U41" i="84" s="1"/>
  <c r="R44" i="84" s="1"/>
  <c r="S41" i="84"/>
  <c r="S197" i="82"/>
  <c r="AF158" i="83"/>
  <c r="AF168" i="83" s="1"/>
  <c r="Z158" i="83"/>
  <c r="U158" i="83"/>
  <c r="Y72" i="86"/>
  <c r="Y83" i="86" s="1"/>
  <c r="Y84" i="86" s="1"/>
  <c r="T72" i="86"/>
  <c r="AC72" i="86"/>
  <c r="AE123" i="83"/>
  <c r="Z123" i="83"/>
  <c r="U123" i="83"/>
  <c r="AA46" i="82"/>
  <c r="V46" i="82"/>
  <c r="AG46" i="82"/>
  <c r="AG57" i="82" s="1"/>
  <c r="S159" i="83"/>
  <c r="AC141" i="81"/>
  <c r="AC155" i="81" s="1"/>
  <c r="Y141" i="81"/>
  <c r="Y155" i="81" s="1"/>
  <c r="Y156" i="81" s="1"/>
  <c r="T141" i="81"/>
  <c r="S104" i="84"/>
  <c r="T110" i="81"/>
  <c r="AC110" i="81"/>
  <c r="Y110" i="81"/>
  <c r="Y124" i="81" s="1"/>
  <c r="I126" i="81"/>
  <c r="J187" i="81"/>
  <c r="I187" i="81"/>
  <c r="L187" i="81"/>
  <c r="K187" i="81"/>
  <c r="Y191" i="81"/>
  <c r="AD78" i="80"/>
  <c r="AB78" i="80"/>
  <c r="W78" i="80"/>
  <c r="AE45" i="81"/>
  <c r="T45" i="81"/>
  <c r="Z45" i="81" s="1"/>
  <c r="R44" i="81"/>
  <c r="AA207" i="82"/>
  <c r="L203" i="82"/>
  <c r="J203" i="82"/>
  <c r="I203" i="82"/>
  <c r="Z73" i="81"/>
  <c r="U73" i="81"/>
  <c r="S71" i="78"/>
  <c r="T76" i="78"/>
  <c r="E40" i="49" s="1"/>
  <c r="S66" i="78"/>
  <c r="S65" i="78"/>
  <c r="S62" i="78"/>
  <c r="S73" i="78" s="1"/>
  <c r="S64" i="78"/>
  <c r="S63" i="78"/>
  <c r="S36" i="77"/>
  <c r="S152" i="75"/>
  <c r="S147" i="75"/>
  <c r="T162" i="75"/>
  <c r="F72" i="46" s="1"/>
  <c r="S144" i="75"/>
  <c r="S151" i="75"/>
  <c r="S157" i="75"/>
  <c r="S156" i="75"/>
  <c r="S150" i="75"/>
  <c r="S149" i="75"/>
  <c r="S148" i="75"/>
  <c r="S143" i="75"/>
  <c r="S153" i="75"/>
  <c r="S142" i="75"/>
  <c r="S159" i="75" s="1"/>
  <c r="S146" i="75"/>
  <c r="S145" i="75"/>
  <c r="AC120" i="76"/>
  <c r="AC131" i="76" s="1"/>
  <c r="AA120" i="76"/>
  <c r="U120" i="76"/>
  <c r="T88" i="75"/>
  <c r="F70" i="46" s="1"/>
  <c r="S83" i="75"/>
  <c r="S82" i="75"/>
  <c r="AD109" i="90"/>
  <c r="AD120" i="90" s="1"/>
  <c r="AA109" i="90"/>
  <c r="AA120" i="90" s="1"/>
  <c r="AA121" i="90" s="1"/>
  <c r="V109" i="90"/>
  <c r="V120" i="90" s="1"/>
  <c r="AF148" i="90"/>
  <c r="S140" i="90"/>
  <c r="I136" i="88"/>
  <c r="Y137" i="88"/>
  <c r="K136" i="88"/>
  <c r="U46" i="90"/>
  <c r="AF46" i="90"/>
  <c r="Z46" i="90"/>
  <c r="T35" i="86"/>
  <c r="AB35" i="86"/>
  <c r="AB51" i="86" s="1"/>
  <c r="AB206" i="86" s="1"/>
  <c r="Z35" i="86"/>
  <c r="AD113" i="86"/>
  <c r="AD124" i="86" s="1"/>
  <c r="Y113" i="86"/>
  <c r="T113" i="86"/>
  <c r="S111" i="85"/>
  <c r="AG190" i="86"/>
  <c r="AG196" i="86" s="1"/>
  <c r="Y190" i="86"/>
  <c r="U190" i="86"/>
  <c r="U196" i="86" s="1"/>
  <c r="S79" i="85"/>
  <c r="T84" i="85"/>
  <c r="E65" i="67" s="1"/>
  <c r="S78" i="85"/>
  <c r="AE156" i="84"/>
  <c r="AE161" i="84" s="1"/>
  <c r="AE171" i="84" s="1"/>
  <c r="Y156" i="84"/>
  <c r="U156" i="84"/>
  <c r="AA139" i="81"/>
  <c r="AA155" i="81" s="1"/>
  <c r="S155" i="81"/>
  <c r="Z139" i="81"/>
  <c r="Z155" i="81" s="1"/>
  <c r="Z156" i="81" s="1"/>
  <c r="U139" i="81"/>
  <c r="U155" i="81" s="1"/>
  <c r="I123" i="81"/>
  <c r="Z127" i="81"/>
  <c r="L123" i="81"/>
  <c r="K123" i="81"/>
  <c r="J123" i="81"/>
  <c r="Y127" i="81"/>
  <c r="AD214" i="80"/>
  <c r="AB214" i="80"/>
  <c r="W214" i="80"/>
  <c r="W228" i="80" s="1"/>
  <c r="AJ168" i="99"/>
  <c r="W130" i="97"/>
  <c r="W140" i="97" s="1"/>
  <c r="AC130" i="97"/>
  <c r="Z130" i="97"/>
  <c r="R72" i="94"/>
  <c r="R71" i="94"/>
  <c r="S77" i="94"/>
  <c r="E53" i="53" s="1"/>
  <c r="R128" i="94"/>
  <c r="R65" i="94"/>
  <c r="R62" i="94"/>
  <c r="R74" i="94" s="1"/>
  <c r="AA34" i="97"/>
  <c r="U34" i="97"/>
  <c r="AF34" i="97"/>
  <c r="AF40" i="97" s="1"/>
  <c r="S126" i="97"/>
  <c r="I138" i="93"/>
  <c r="Z142" i="93"/>
  <c r="Y142" i="93"/>
  <c r="AA95" i="97"/>
  <c r="AA106" i="97" s="1"/>
  <c r="AA107" i="97" s="1"/>
  <c r="AB95" i="97"/>
  <c r="AB106" i="97" s="1"/>
  <c r="V95" i="97"/>
  <c r="V106" i="97" s="1"/>
  <c r="T106" i="97"/>
  <c r="Z123" i="98"/>
  <c r="Z124" i="98" s="1"/>
  <c r="L101" i="98"/>
  <c r="J101" i="98"/>
  <c r="Y39" i="98"/>
  <c r="T39" i="98"/>
  <c r="AD39" i="98"/>
  <c r="AD45" i="98" s="1"/>
  <c r="AD163" i="98" s="1"/>
  <c r="V73" i="97"/>
  <c r="R75" i="97"/>
  <c r="T125" i="99"/>
  <c r="Z73" i="96"/>
  <c r="U73" i="96"/>
  <c r="AD73" i="96"/>
  <c r="AD83" i="96" s="1"/>
  <c r="R81" i="96"/>
  <c r="S86" i="96"/>
  <c r="E60" i="55" s="1"/>
  <c r="R80" i="96"/>
  <c r="Z102" i="95"/>
  <c r="T102" i="95"/>
  <c r="AC102" i="95"/>
  <c r="AC111" i="95" s="1"/>
  <c r="Y126" i="98"/>
  <c r="K122" i="98"/>
  <c r="R123" i="99"/>
  <c r="S126" i="99"/>
  <c r="S128" i="99"/>
  <c r="R122" i="99"/>
  <c r="AA70" i="99"/>
  <c r="AA85" i="99" s="1"/>
  <c r="Y70" i="99"/>
  <c r="Y85" i="99" s="1"/>
  <c r="Y86" i="99" s="1"/>
  <c r="T70" i="99"/>
  <c r="T85" i="99" s="1"/>
  <c r="K101" i="98"/>
  <c r="Z74" i="99"/>
  <c r="Z85" i="99" s="1"/>
  <c r="Z86" i="99" s="1"/>
  <c r="AF74" i="99"/>
  <c r="AF85" i="99" s="1"/>
  <c r="Y74" i="99"/>
  <c r="T74" i="99"/>
  <c r="R114" i="99"/>
  <c r="R125" i="99" s="1"/>
  <c r="AB91" i="98"/>
  <c r="AB99" i="98" s="1"/>
  <c r="Z91" i="98"/>
  <c r="U91" i="98"/>
  <c r="U99" i="98" s="1"/>
  <c r="Q102" i="98" s="1"/>
  <c r="AE41" i="99"/>
  <c r="AE53" i="99" s="1"/>
  <c r="T41" i="99"/>
  <c r="Z41" i="99"/>
  <c r="AG182" i="97"/>
  <c r="M39" i="97"/>
  <c r="L39" i="97"/>
  <c r="J39" i="97"/>
  <c r="S104" i="97"/>
  <c r="S103" i="97"/>
  <c r="S101" i="97"/>
  <c r="S106" i="97" s="1"/>
  <c r="T109" i="97"/>
  <c r="E58" i="56" s="1"/>
  <c r="T140" i="97"/>
  <c r="Z125" i="97"/>
  <c r="Z140" i="97" s="1"/>
  <c r="Z141" i="97" s="1"/>
  <c r="AB125" i="97"/>
  <c r="AB140" i="97" s="1"/>
  <c r="V125" i="97"/>
  <c r="V140" i="97" s="1"/>
  <c r="Z93" i="98"/>
  <c r="T93" i="98"/>
  <c r="AC93" i="98"/>
  <c r="AC99" i="98" s="1"/>
  <c r="Y125" i="99"/>
  <c r="Y126" i="99" s="1"/>
  <c r="S127" i="97"/>
  <c r="K188" i="96"/>
  <c r="AA43" i="97"/>
  <c r="Y45" i="98"/>
  <c r="Y46" i="98" s="1"/>
  <c r="Y99" i="98"/>
  <c r="R66" i="96"/>
  <c r="R72" i="96"/>
  <c r="R120" i="99"/>
  <c r="AE181" i="96"/>
  <c r="AE189" i="96" s="1"/>
  <c r="AE198" i="96" s="1"/>
  <c r="Y181" i="96"/>
  <c r="V181" i="96"/>
  <c r="V189" i="96" s="1"/>
  <c r="AC72" i="97"/>
  <c r="R71" i="96"/>
  <c r="AC38" i="95"/>
  <c r="AC48" i="95" s="1"/>
  <c r="Z38" i="95"/>
  <c r="T38" i="95"/>
  <c r="S113" i="94"/>
  <c r="E54" i="53" s="1"/>
  <c r="R108" i="94"/>
  <c r="R100" i="94"/>
  <c r="AA74" i="94"/>
  <c r="AB100" i="95"/>
  <c r="AB111" i="95" s="1"/>
  <c r="Z100" i="95"/>
  <c r="Z111" i="95" s="1"/>
  <c r="Z112" i="95" s="1"/>
  <c r="T100" i="95"/>
  <c r="T111" i="95" s="1"/>
  <c r="R159" i="95"/>
  <c r="R165" i="95" s="1"/>
  <c r="R131" i="95"/>
  <c r="AB184" i="94"/>
  <c r="K50" i="95"/>
  <c r="R130" i="94"/>
  <c r="Q141" i="94"/>
  <c r="V75" i="94"/>
  <c r="Q78" i="94"/>
  <c r="AD106" i="93"/>
  <c r="AD112" i="93" s="1"/>
  <c r="T106" i="93"/>
  <c r="Z106" i="93"/>
  <c r="Z112" i="93" s="1"/>
  <c r="Z113" i="93" s="1"/>
  <c r="R133" i="92"/>
  <c r="AC180" i="93"/>
  <c r="R130" i="95"/>
  <c r="R138" i="95" s="1"/>
  <c r="Y36" i="93"/>
  <c r="T36" i="93"/>
  <c r="AA36" i="93"/>
  <c r="AD132" i="93"/>
  <c r="AD139" i="93" s="1"/>
  <c r="AD180" i="93" s="1"/>
  <c r="T132" i="93"/>
  <c r="T139" i="93" s="1"/>
  <c r="Z132" i="93"/>
  <c r="Z139" i="93" s="1"/>
  <c r="Z140" i="93" s="1"/>
  <c r="Z102" i="94"/>
  <c r="U102" i="94"/>
  <c r="U110" i="94" s="1"/>
  <c r="AC102" i="94"/>
  <c r="AC110" i="94" s="1"/>
  <c r="AB103" i="93"/>
  <c r="Y103" i="93"/>
  <c r="T103" i="93"/>
  <c r="Z43" i="92"/>
  <c r="U43" i="92"/>
  <c r="U50" i="92" s="1"/>
  <c r="AD43" i="92"/>
  <c r="AD50" i="92" s="1"/>
  <c r="Y174" i="92"/>
  <c r="Z174" i="92"/>
  <c r="R39" i="93"/>
  <c r="R66" i="92"/>
  <c r="R132" i="94"/>
  <c r="AB75" i="91"/>
  <c r="R63" i="91"/>
  <c r="S141" i="92"/>
  <c r="AC40" i="91"/>
  <c r="AC47" i="91" s="1"/>
  <c r="Y40" i="91"/>
  <c r="U40" i="91"/>
  <c r="U47" i="91" s="1"/>
  <c r="Z79" i="92"/>
  <c r="Z80" i="92" s="1"/>
  <c r="S142" i="93"/>
  <c r="E59" i="52" s="1"/>
  <c r="S140" i="93"/>
  <c r="R137" i="93"/>
  <c r="R129" i="93"/>
  <c r="R128" i="93"/>
  <c r="R139" i="93" s="1"/>
  <c r="R130" i="93"/>
  <c r="R36" i="92"/>
  <c r="R103" i="91"/>
  <c r="R64" i="91"/>
  <c r="S70" i="90"/>
  <c r="U109" i="91"/>
  <c r="Q111" i="91"/>
  <c r="U40" i="90"/>
  <c r="AD40" i="90"/>
  <c r="AD53" i="90" s="1"/>
  <c r="AA40" i="90"/>
  <c r="S137" i="88"/>
  <c r="E50" i="59" s="1"/>
  <c r="R122" i="88"/>
  <c r="R132" i="88"/>
  <c r="R126" i="88"/>
  <c r="S135" i="88"/>
  <c r="R124" i="88"/>
  <c r="S138" i="90"/>
  <c r="Z50" i="92"/>
  <c r="S69" i="90"/>
  <c r="S84" i="90" s="1"/>
  <c r="S47" i="90"/>
  <c r="AA125" i="91"/>
  <c r="AA134" i="91" s="1"/>
  <c r="Y125" i="91"/>
  <c r="Y134" i="91" s="1"/>
  <c r="Y135" i="91" s="1"/>
  <c r="T125" i="91"/>
  <c r="T134" i="91" s="1"/>
  <c r="R111" i="88"/>
  <c r="I83" i="90"/>
  <c r="T85" i="89"/>
  <c r="R68" i="88"/>
  <c r="R127" i="88"/>
  <c r="K204" i="87"/>
  <c r="AB66" i="88"/>
  <c r="AB76" i="88" s="1"/>
  <c r="T66" i="88"/>
  <c r="Z66" i="88"/>
  <c r="Z76" i="88" s="1"/>
  <c r="Z77" i="88" s="1"/>
  <c r="K167" i="87"/>
  <c r="AA171" i="87"/>
  <c r="Z92" i="87"/>
  <c r="R139" i="88"/>
  <c r="S158" i="87"/>
  <c r="T34" i="88"/>
  <c r="T47" i="88" s="1"/>
  <c r="AA34" i="88"/>
  <c r="AA47" i="88" s="1"/>
  <c r="Y34" i="88"/>
  <c r="AE56" i="87"/>
  <c r="S104" i="85"/>
  <c r="R150" i="86"/>
  <c r="Z122" i="84"/>
  <c r="U122" i="84"/>
  <c r="AB122" i="84"/>
  <c r="AB131" i="84" s="1"/>
  <c r="AD41" i="87"/>
  <c r="AD56" i="87" s="1"/>
  <c r="Z41" i="87"/>
  <c r="U41" i="87"/>
  <c r="S36" i="85"/>
  <c r="S50" i="85" s="1"/>
  <c r="AF154" i="86"/>
  <c r="Y154" i="86"/>
  <c r="U154" i="86"/>
  <c r="U160" i="86" s="1"/>
  <c r="AB41" i="92"/>
  <c r="Y41" i="92"/>
  <c r="T41" i="92"/>
  <c r="S102" i="85"/>
  <c r="AB67" i="85"/>
  <c r="Z67" i="85"/>
  <c r="U67" i="85"/>
  <c r="AC111" i="86"/>
  <c r="Z111" i="86"/>
  <c r="T111" i="86"/>
  <c r="AC183" i="86"/>
  <c r="AC196" i="86" s="1"/>
  <c r="Y183" i="86"/>
  <c r="Y196" i="86" s="1"/>
  <c r="Y197" i="86" s="1"/>
  <c r="T183" i="86"/>
  <c r="X198" i="86" s="1"/>
  <c r="AC125" i="84"/>
  <c r="AC131" i="84" s="1"/>
  <c r="Y125" i="84"/>
  <c r="Y131" i="84" s="1"/>
  <c r="T125" i="84"/>
  <c r="AI162" i="83"/>
  <c r="Z162" i="83"/>
  <c r="W162" i="83"/>
  <c r="W168" i="83" s="1"/>
  <c r="AC51" i="86"/>
  <c r="AC39" i="83"/>
  <c r="AC58" i="83" s="1"/>
  <c r="AA39" i="83"/>
  <c r="AA58" i="83" s="1"/>
  <c r="AA59" i="83" s="1"/>
  <c r="V39" i="83"/>
  <c r="AA121" i="84"/>
  <c r="Z121" i="84"/>
  <c r="U121" i="84"/>
  <c r="U131" i="84" s="1"/>
  <c r="R134" i="84" s="1"/>
  <c r="S117" i="83"/>
  <c r="S138" i="85"/>
  <c r="U125" i="82"/>
  <c r="AG125" i="82"/>
  <c r="AG135" i="82" s="1"/>
  <c r="AG214" i="82" s="1"/>
  <c r="Z125" i="82"/>
  <c r="U74" i="89"/>
  <c r="U85" i="89" s="1"/>
  <c r="AA74" i="89"/>
  <c r="AA85" i="89" s="1"/>
  <c r="Z74" i="89"/>
  <c r="Z85" i="89" s="1"/>
  <c r="Z86" i="89" s="1"/>
  <c r="Z71" i="85"/>
  <c r="U71" i="85"/>
  <c r="AD71" i="85"/>
  <c r="AD81" i="85" s="1"/>
  <c r="S153" i="83"/>
  <c r="AE116" i="81"/>
  <c r="Z116" i="81"/>
  <c r="T116" i="81"/>
  <c r="S173" i="80"/>
  <c r="AD65" i="78"/>
  <c r="AD73" i="78" s="1"/>
  <c r="Z65" i="78"/>
  <c r="W65" i="78"/>
  <c r="W73" i="78" s="1"/>
  <c r="AB121" i="78"/>
  <c r="U121" i="78"/>
  <c r="Z121" i="78"/>
  <c r="Z132" i="78" s="1"/>
  <c r="Z133" i="78" s="1"/>
  <c r="AA61" i="77"/>
  <c r="U61" i="77"/>
  <c r="AB61" i="77"/>
  <c r="AB73" i="77" s="1"/>
  <c r="T73" i="77"/>
  <c r="T138" i="77"/>
  <c r="E47" i="48" s="1"/>
  <c r="S133" i="77"/>
  <c r="S125" i="77"/>
  <c r="S127" i="77"/>
  <c r="S123" i="77"/>
  <c r="S124" i="77"/>
  <c r="S128" i="77"/>
  <c r="S129" i="77"/>
  <c r="AB59" i="74"/>
  <c r="AA59" i="74"/>
  <c r="AA72" i="74" s="1"/>
  <c r="T72" i="74"/>
  <c r="U59" i="74"/>
  <c r="U154" i="73"/>
  <c r="T164" i="73"/>
  <c r="AC154" i="73"/>
  <c r="Z154" i="73"/>
  <c r="R153" i="98"/>
  <c r="Z72" i="98"/>
  <c r="K68" i="98"/>
  <c r="Y72" i="98"/>
  <c r="R121" i="98"/>
  <c r="S126" i="98"/>
  <c r="E47" i="57" s="1"/>
  <c r="R120" i="98"/>
  <c r="R117" i="98"/>
  <c r="R119" i="98"/>
  <c r="I122" i="96"/>
  <c r="L122" i="96"/>
  <c r="AA66" i="96"/>
  <c r="AA83" i="96" s="1"/>
  <c r="Y66" i="96"/>
  <c r="T66" i="96"/>
  <c r="S83" i="96"/>
  <c r="T71" i="96"/>
  <c r="AC71" i="96"/>
  <c r="Y71" i="96"/>
  <c r="R150" i="96"/>
  <c r="S155" i="96"/>
  <c r="E62" i="55" s="1"/>
  <c r="R137" i="96"/>
  <c r="R152" i="96" s="1"/>
  <c r="R110" i="94"/>
  <c r="AA37" i="95"/>
  <c r="Y37" i="95"/>
  <c r="T37" i="95"/>
  <c r="AC159" i="95"/>
  <c r="AC165" i="95" s="1"/>
  <c r="Z159" i="95"/>
  <c r="Z165" i="95" s="1"/>
  <c r="Z166" i="95" s="1"/>
  <c r="T159" i="95"/>
  <c r="AD131" i="95"/>
  <c r="AD138" i="95" s="1"/>
  <c r="Z131" i="95"/>
  <c r="T131" i="95"/>
  <c r="Z141" i="94"/>
  <c r="Y141" i="94"/>
  <c r="AA127" i="94"/>
  <c r="AA138" i="94" s="1"/>
  <c r="Z127" i="94"/>
  <c r="Z138" i="94" s="1"/>
  <c r="Z139" i="94" s="1"/>
  <c r="T127" i="94"/>
  <c r="T138" i="94" s="1"/>
  <c r="AA35" i="95"/>
  <c r="Y35" i="95"/>
  <c r="T35" i="95"/>
  <c r="S48" i="95"/>
  <c r="S138" i="94"/>
  <c r="U133" i="92"/>
  <c r="U141" i="92" s="1"/>
  <c r="Z133" i="92"/>
  <c r="Z141" i="92" s="1"/>
  <c r="Z142" i="92" s="1"/>
  <c r="AD133" i="92"/>
  <c r="AD141" i="92" s="1"/>
  <c r="AB139" i="93"/>
  <c r="J167" i="91"/>
  <c r="S112" i="93"/>
  <c r="X113" i="93" s="1"/>
  <c r="AA99" i="93"/>
  <c r="AA112" i="93" s="1"/>
  <c r="Y99" i="93"/>
  <c r="T99" i="93"/>
  <c r="S75" i="91"/>
  <c r="Y63" i="91"/>
  <c r="Y75" i="91" s="1"/>
  <c r="Y76" i="91" s="1"/>
  <c r="T63" i="91"/>
  <c r="T75" i="91" s="1"/>
  <c r="AA63" i="91"/>
  <c r="R112" i="92"/>
  <c r="Y40" i="92"/>
  <c r="T40" i="92"/>
  <c r="AB40" i="92"/>
  <c r="AB50" i="92" s="1"/>
  <c r="AA36" i="92"/>
  <c r="AA50" i="92" s="1"/>
  <c r="Y36" i="92"/>
  <c r="T36" i="92"/>
  <c r="S50" i="92"/>
  <c r="AC103" i="91"/>
  <c r="T103" i="91"/>
  <c r="Y103" i="91"/>
  <c r="AA64" i="91"/>
  <c r="T64" i="91"/>
  <c r="Z64" i="91"/>
  <c r="Z75" i="91" s="1"/>
  <c r="Z76" i="91" s="1"/>
  <c r="AC70" i="90"/>
  <c r="AC84" i="90" s="1"/>
  <c r="AC194" i="90" s="1"/>
  <c r="Z70" i="90"/>
  <c r="U70" i="90"/>
  <c r="AD138" i="90"/>
  <c r="Z138" i="90"/>
  <c r="V138" i="90"/>
  <c r="U69" i="90"/>
  <c r="U84" i="90" s="1"/>
  <c r="T84" i="90"/>
  <c r="Y85" i="90" s="1"/>
  <c r="AB69" i="90"/>
  <c r="AB84" i="90" s="1"/>
  <c r="Z69" i="90"/>
  <c r="AC75" i="91"/>
  <c r="AF47" i="90"/>
  <c r="Z47" i="90"/>
  <c r="U47" i="90"/>
  <c r="J163" i="88"/>
  <c r="I163" i="88"/>
  <c r="S137" i="90"/>
  <c r="R134" i="91"/>
  <c r="Y85" i="89"/>
  <c r="Y86" i="89" s="1"/>
  <c r="T68" i="88"/>
  <c r="Z68" i="88"/>
  <c r="AC68" i="88"/>
  <c r="AC76" i="88" s="1"/>
  <c r="AC127" i="88"/>
  <c r="AC134" i="88" s="1"/>
  <c r="T127" i="88"/>
  <c r="Z127" i="88"/>
  <c r="Z134" i="88" s="1"/>
  <c r="AE197" i="87"/>
  <c r="AE205" i="87" s="1"/>
  <c r="Z197" i="87"/>
  <c r="U197" i="87"/>
  <c r="R40" i="88"/>
  <c r="T92" i="87"/>
  <c r="E72" i="69" s="1"/>
  <c r="S87" i="87"/>
  <c r="S82" i="87"/>
  <c r="S81" i="87"/>
  <c r="S76" i="87"/>
  <c r="S89" i="87" s="1"/>
  <c r="K163" i="88"/>
  <c r="AB104" i="85"/>
  <c r="AA104" i="85"/>
  <c r="AA117" i="85" s="1"/>
  <c r="AA118" i="85" s="1"/>
  <c r="U104" i="85"/>
  <c r="AC70" i="86"/>
  <c r="Z70" i="86"/>
  <c r="Z83" i="86" s="1"/>
  <c r="Z84" i="86" s="1"/>
  <c r="T70" i="86"/>
  <c r="AD150" i="86"/>
  <c r="AD160" i="86" s="1"/>
  <c r="T150" i="86"/>
  <c r="Y150" i="86"/>
  <c r="S56" i="87"/>
  <c r="AB36" i="85"/>
  <c r="Z36" i="85"/>
  <c r="U36" i="85"/>
  <c r="Z89" i="87"/>
  <c r="S107" i="85"/>
  <c r="AD73" i="86"/>
  <c r="AD83" i="86" s="1"/>
  <c r="Z73" i="86"/>
  <c r="T73" i="86"/>
  <c r="Z115" i="87"/>
  <c r="U115" i="87"/>
  <c r="AB115" i="87"/>
  <c r="AC152" i="83"/>
  <c r="AC168" i="83" s="1"/>
  <c r="AA152" i="83"/>
  <c r="V152" i="83"/>
  <c r="AE157" i="83"/>
  <c r="Z157" i="83"/>
  <c r="U157" i="83"/>
  <c r="S193" i="82"/>
  <c r="S204" i="82" s="1"/>
  <c r="Y51" i="86"/>
  <c r="Y52" i="86" s="1"/>
  <c r="K73" i="84"/>
  <c r="AB117" i="83"/>
  <c r="AB135" i="83" s="1"/>
  <c r="Z117" i="83"/>
  <c r="Z135" i="83" s="1"/>
  <c r="Z136" i="83" s="1"/>
  <c r="V117" i="83"/>
  <c r="T135" i="83"/>
  <c r="AD154" i="82"/>
  <c r="AA154" i="82"/>
  <c r="V154" i="82"/>
  <c r="AC138" i="85"/>
  <c r="AA138" i="85"/>
  <c r="U138" i="85"/>
  <c r="AE41" i="86"/>
  <c r="AE51" i="86" s="1"/>
  <c r="Y41" i="86"/>
  <c r="T41" i="86"/>
  <c r="AE58" i="83"/>
  <c r="AC38" i="85"/>
  <c r="AA38" i="85"/>
  <c r="AA50" i="85" s="1"/>
  <c r="AA51" i="85" s="1"/>
  <c r="U38" i="85"/>
  <c r="AD153" i="83"/>
  <c r="AA153" i="83"/>
  <c r="V153" i="83"/>
  <c r="Z40" i="82"/>
  <c r="V40" i="82"/>
  <c r="AD40" i="82"/>
  <c r="AD57" i="82" s="1"/>
  <c r="Z78" i="81"/>
  <c r="V78" i="81"/>
  <c r="P57" i="82"/>
  <c r="S49" i="82"/>
  <c r="S55" i="82"/>
  <c r="T60" i="82"/>
  <c r="E63" i="70" s="1"/>
  <c r="S54" i="82"/>
  <c r="S36" i="82"/>
  <c r="S57" i="82" s="1"/>
  <c r="S38" i="82"/>
  <c r="S46" i="82"/>
  <c r="S39" i="82"/>
  <c r="S40" i="82"/>
  <c r="S44" i="82"/>
  <c r="S37" i="82"/>
  <c r="S48" i="82"/>
  <c r="R57" i="81"/>
  <c r="AA76" i="77"/>
  <c r="Z76" i="77"/>
  <c r="I72" i="77"/>
  <c r="Y104" i="79"/>
  <c r="Y111" i="79" s="1"/>
  <c r="Y112" i="79" s="1"/>
  <c r="U104" i="79"/>
  <c r="U111" i="79" s="1"/>
  <c r="AE104" i="79"/>
  <c r="AE111" i="79" s="1"/>
  <c r="S110" i="75"/>
  <c r="Q57" i="75"/>
  <c r="S109" i="75"/>
  <c r="S56" i="83"/>
  <c r="P58" i="83"/>
  <c r="S55" i="83"/>
  <c r="T61" i="83"/>
  <c r="R128" i="81"/>
  <c r="R122" i="81"/>
  <c r="S127" i="81"/>
  <c r="E62" i="65" s="1"/>
  <c r="R121" i="81"/>
  <c r="P169" i="82"/>
  <c r="T172" i="82"/>
  <c r="E66" i="70" s="1"/>
  <c r="R181" i="81"/>
  <c r="R186" i="81"/>
  <c r="S191" i="81"/>
  <c r="E64" i="65" s="1"/>
  <c r="R180" i="81"/>
  <c r="R188" i="81" s="1"/>
  <c r="R185" i="81"/>
  <c r="T47" i="78"/>
  <c r="E39" i="49" s="1"/>
  <c r="S42" i="78"/>
  <c r="S35" i="78"/>
  <c r="S44" i="78" s="1"/>
  <c r="S38" i="78"/>
  <c r="T40" i="79"/>
  <c r="AC40" i="79"/>
  <c r="AC47" i="79" s="1"/>
  <c r="Y40" i="79"/>
  <c r="T168" i="76"/>
  <c r="F44" i="47" s="1"/>
  <c r="S163" i="76"/>
  <c r="AB36" i="81"/>
  <c r="AB53" i="81" s="1"/>
  <c r="Z36" i="81"/>
  <c r="T36" i="81"/>
  <c r="AE131" i="79"/>
  <c r="AE138" i="79" s="1"/>
  <c r="Z131" i="79"/>
  <c r="T131" i="79"/>
  <c r="V77" i="80"/>
  <c r="AD77" i="80"/>
  <c r="AB77" i="80"/>
  <c r="AB102" i="80" s="1"/>
  <c r="AB34" i="75"/>
  <c r="AB51" i="75" s="1"/>
  <c r="AA34" i="75"/>
  <c r="AA51" i="75" s="1"/>
  <c r="AA52" i="75" s="1"/>
  <c r="U34" i="75"/>
  <c r="T51" i="75"/>
  <c r="X52" i="75" s="1"/>
  <c r="S168" i="79"/>
  <c r="T158" i="79"/>
  <c r="AB158" i="79"/>
  <c r="AB168" i="79" s="1"/>
  <c r="Z158" i="79"/>
  <c r="S78" i="79"/>
  <c r="E45" i="63" s="1"/>
  <c r="R73" i="79"/>
  <c r="R62" i="79"/>
  <c r="R75" i="79" s="1"/>
  <c r="K84" i="75"/>
  <c r="I84" i="75"/>
  <c r="AA88" i="75"/>
  <c r="Z88" i="75"/>
  <c r="T169" i="78"/>
  <c r="E43" i="49" s="1"/>
  <c r="S164" i="78"/>
  <c r="S156" i="78"/>
  <c r="AC181" i="75"/>
  <c r="AC195" i="75" s="1"/>
  <c r="Z181" i="75"/>
  <c r="U181" i="75"/>
  <c r="T195" i="75"/>
  <c r="S79" i="75"/>
  <c r="T36" i="72"/>
  <c r="S59" i="72"/>
  <c r="AB36" i="72"/>
  <c r="AB59" i="72" s="1"/>
  <c r="Z36" i="72"/>
  <c r="S37" i="75"/>
  <c r="U98" i="76"/>
  <c r="AE98" i="76"/>
  <c r="AE103" i="76" s="1"/>
  <c r="Z98" i="76"/>
  <c r="Z127" i="77"/>
  <c r="W127" i="77"/>
  <c r="AB127" i="77"/>
  <c r="AC128" i="74"/>
  <c r="AA128" i="74"/>
  <c r="U128" i="74"/>
  <c r="S40" i="75"/>
  <c r="Q168" i="73"/>
  <c r="S76" i="75"/>
  <c r="S96" i="76"/>
  <c r="AB39" i="77"/>
  <c r="Z39" i="77"/>
  <c r="U39" i="77"/>
  <c r="Q151" i="72"/>
  <c r="Y43" i="72"/>
  <c r="AE43" i="72"/>
  <c r="T43" i="72"/>
  <c r="AI136" i="72"/>
  <c r="AI147" i="72" s="1"/>
  <c r="Z136" i="72"/>
  <c r="T136" i="72"/>
  <c r="Q73" i="73"/>
  <c r="V71" i="73"/>
  <c r="AJ147" i="72"/>
  <c r="AA108" i="81"/>
  <c r="AA124" i="81" s="1"/>
  <c r="Z108" i="81"/>
  <c r="S124" i="81"/>
  <c r="U108" i="81"/>
  <c r="U124" i="81" s="1"/>
  <c r="AE158" i="82"/>
  <c r="Z158" i="82"/>
  <c r="U158" i="82"/>
  <c r="K189" i="80"/>
  <c r="J189" i="80"/>
  <c r="AB193" i="80"/>
  <c r="AA193" i="80"/>
  <c r="V46" i="80"/>
  <c r="AG46" i="80"/>
  <c r="AG58" i="80" s="1"/>
  <c r="AB46" i="80"/>
  <c r="AD154" i="83"/>
  <c r="Z154" i="83"/>
  <c r="V154" i="83"/>
  <c r="Z93" i="82"/>
  <c r="Z94" i="82" s="1"/>
  <c r="AF125" i="78"/>
  <c r="AF132" i="78" s="1"/>
  <c r="W125" i="78"/>
  <c r="AB103" i="78"/>
  <c r="U97" i="77"/>
  <c r="AB97" i="77"/>
  <c r="AA97" i="77"/>
  <c r="AB38" i="79"/>
  <c r="Y38" i="79"/>
  <c r="T38" i="79"/>
  <c r="S171" i="79"/>
  <c r="E48" i="63" s="1"/>
  <c r="R166" i="79"/>
  <c r="AF237" i="80"/>
  <c r="W158" i="78"/>
  <c r="Z158" i="78"/>
  <c r="AE158" i="78"/>
  <c r="AE166" i="78" s="1"/>
  <c r="AE175" i="78" s="1"/>
  <c r="AC70" i="75"/>
  <c r="AC85" i="75" s="1"/>
  <c r="U70" i="75"/>
  <c r="Z70" i="75"/>
  <c r="S192" i="75"/>
  <c r="S193" i="75"/>
  <c r="S182" i="75"/>
  <c r="T198" i="75"/>
  <c r="F73" i="46" s="1"/>
  <c r="I197" i="75"/>
  <c r="AH79" i="75"/>
  <c r="AH85" i="75" s="1"/>
  <c r="Z79" i="75"/>
  <c r="W79" i="75"/>
  <c r="S187" i="75"/>
  <c r="AA156" i="73"/>
  <c r="AA164" i="73" s="1"/>
  <c r="U156" i="73"/>
  <c r="AC156" i="73"/>
  <c r="AC111" i="75"/>
  <c r="AC125" i="75" s="1"/>
  <c r="Z111" i="75"/>
  <c r="Z125" i="75" s="1"/>
  <c r="Z126" i="75" s="1"/>
  <c r="U111" i="75"/>
  <c r="S74" i="75"/>
  <c r="AC130" i="74"/>
  <c r="Z130" i="74"/>
  <c r="U130" i="74"/>
  <c r="AD145" i="75"/>
  <c r="AD159" i="75" s="1"/>
  <c r="AA145" i="75"/>
  <c r="U145" i="75"/>
  <c r="U183" i="75"/>
  <c r="AD183" i="75"/>
  <c r="AD195" i="75" s="1"/>
  <c r="AA183" i="75"/>
  <c r="AC60" i="76"/>
  <c r="AC71" i="76" s="1"/>
  <c r="AA60" i="76"/>
  <c r="U60" i="76"/>
  <c r="S35" i="75"/>
  <c r="AD96" i="76"/>
  <c r="AD103" i="76" s="1"/>
  <c r="AA96" i="76"/>
  <c r="U96" i="76"/>
  <c r="U59" i="76"/>
  <c r="AB59" i="76"/>
  <c r="AA59" i="76"/>
  <c r="T71" i="76"/>
  <c r="AE113" i="75"/>
  <c r="AE125" i="75" s="1"/>
  <c r="Z113" i="75"/>
  <c r="U113" i="75"/>
  <c r="AD170" i="72"/>
  <c r="Y170" i="72"/>
  <c r="T170" i="72"/>
  <c r="AI49" i="72"/>
  <c r="Y49" i="72"/>
  <c r="T49" i="72"/>
  <c r="AE131" i="72"/>
  <c r="Y131" i="72"/>
  <c r="T131" i="72"/>
  <c r="Z48" i="72"/>
  <c r="T48" i="72"/>
  <c r="AI48" i="72"/>
  <c r="AI59" i="72" s="1"/>
  <c r="AA173" i="80"/>
  <c r="W173" i="80"/>
  <c r="AF173" i="80"/>
  <c r="AF190" i="80" s="1"/>
  <c r="R148" i="81"/>
  <c r="R143" i="81"/>
  <c r="S158" i="81"/>
  <c r="E63" i="65" s="1"/>
  <c r="R153" i="81"/>
  <c r="R142" i="81"/>
  <c r="R152" i="81"/>
  <c r="AI198" i="82"/>
  <c r="AI204" i="82" s="1"/>
  <c r="AA198" i="82"/>
  <c r="U198" i="82"/>
  <c r="AE145" i="81"/>
  <c r="AE155" i="81" s="1"/>
  <c r="T145" i="81"/>
  <c r="Z145" i="81"/>
  <c r="I189" i="80"/>
  <c r="AC152" i="82"/>
  <c r="AC169" i="82" s="1"/>
  <c r="AA152" i="82"/>
  <c r="AA169" i="82" s="1"/>
  <c r="AA170" i="82" s="1"/>
  <c r="V152" i="82"/>
  <c r="U176" i="81"/>
  <c r="U188" i="81" s="1"/>
  <c r="S188" i="81"/>
  <c r="AA176" i="81"/>
  <c r="AA188" i="81" s="1"/>
  <c r="AA198" i="81" s="1"/>
  <c r="Z176" i="81"/>
  <c r="V218" i="80"/>
  <c r="AE218" i="80"/>
  <c r="AE228" i="80" s="1"/>
  <c r="AA218" i="80"/>
  <c r="AE123" i="82"/>
  <c r="U123" i="82"/>
  <c r="Z123" i="82"/>
  <c r="R112" i="81"/>
  <c r="T72" i="81"/>
  <c r="Z72" i="81"/>
  <c r="S165" i="77"/>
  <c r="S158" i="77"/>
  <c r="T170" i="77"/>
  <c r="E48" i="48" s="1"/>
  <c r="S159" i="77"/>
  <c r="AC154" i="76"/>
  <c r="AC165" i="76" s="1"/>
  <c r="AA154" i="76"/>
  <c r="U154" i="76"/>
  <c r="T165" i="76"/>
  <c r="AD129" i="77"/>
  <c r="AD135" i="77" s="1"/>
  <c r="Z129" i="77"/>
  <c r="W129" i="77"/>
  <c r="AF159" i="78"/>
  <c r="AF166" i="78" s="1"/>
  <c r="AF175" i="78" s="1"/>
  <c r="W159" i="78"/>
  <c r="U42" i="79"/>
  <c r="U47" i="79" s="1"/>
  <c r="AE42" i="79"/>
  <c r="AE47" i="79" s="1"/>
  <c r="Z42" i="79"/>
  <c r="U100" i="77"/>
  <c r="AB100" i="77"/>
  <c r="Z100" i="77"/>
  <c r="AF129" i="97"/>
  <c r="AF140" i="97" s="1"/>
  <c r="AF182" i="97" s="1"/>
  <c r="AA129" i="97"/>
  <c r="U129" i="97"/>
  <c r="AB37" i="76"/>
  <c r="Z37" i="76"/>
  <c r="Z43" i="76" s="1"/>
  <c r="Z44" i="76" s="1"/>
  <c r="U37" i="76"/>
  <c r="AI74" i="75"/>
  <c r="AI85" i="75" s="1"/>
  <c r="W74" i="75"/>
  <c r="S44" i="75"/>
  <c r="Q135" i="76"/>
  <c r="W132" i="76"/>
  <c r="AC100" i="74"/>
  <c r="Z100" i="74"/>
  <c r="Z105" i="74" s="1"/>
  <c r="U100" i="74"/>
  <c r="R219" i="72"/>
  <c r="S157" i="77"/>
  <c r="AH125" i="75"/>
  <c r="S67" i="75"/>
  <c r="AG86" i="72"/>
  <c r="AG99" i="72" s="1"/>
  <c r="T86" i="72"/>
  <c r="AJ91" i="72"/>
  <c r="AJ99" i="72" s="1"/>
  <c r="Y91" i="72"/>
  <c r="V91" i="72"/>
  <c r="Q46" i="73"/>
  <c r="Z100" i="73"/>
  <c r="AA59" i="84"/>
  <c r="Z59" i="84"/>
  <c r="U59" i="84"/>
  <c r="R69" i="84"/>
  <c r="S74" i="84"/>
  <c r="E45" i="66" s="1"/>
  <c r="R61" i="84"/>
  <c r="R68" i="84"/>
  <c r="R58" i="84"/>
  <c r="AA119" i="83"/>
  <c r="AA135" i="83" s="1"/>
  <c r="AA136" i="83" s="1"/>
  <c r="V119" i="83"/>
  <c r="AC119" i="83"/>
  <c r="AC135" i="83" s="1"/>
  <c r="AE44" i="85"/>
  <c r="AE50" i="85" s="1"/>
  <c r="Z44" i="85"/>
  <c r="V44" i="85"/>
  <c r="V50" i="85" s="1"/>
  <c r="K227" i="80"/>
  <c r="AA231" i="80"/>
  <c r="Z41" i="81"/>
  <c r="T41" i="81"/>
  <c r="AC41" i="81"/>
  <c r="AD76" i="80"/>
  <c r="AD102" i="80" s="1"/>
  <c r="AA76" i="80"/>
  <c r="AA102" i="80" s="1"/>
  <c r="AA103" i="80" s="1"/>
  <c r="V76" i="80"/>
  <c r="V102" i="80" s="1"/>
  <c r="T102" i="80"/>
  <c r="R116" i="81"/>
  <c r="R115" i="81"/>
  <c r="AH220" i="80"/>
  <c r="AH228" i="80" s="1"/>
  <c r="AH237" i="80" s="1"/>
  <c r="AB220" i="80"/>
  <c r="V220" i="80"/>
  <c r="R129" i="81"/>
  <c r="R144" i="81"/>
  <c r="AC112" i="81"/>
  <c r="T112" i="81"/>
  <c r="T124" i="81" s="1"/>
  <c r="Z112" i="81"/>
  <c r="J46" i="79"/>
  <c r="I46" i="79"/>
  <c r="Z50" i="79"/>
  <c r="AH126" i="82"/>
  <c r="AH135" i="82" s="1"/>
  <c r="V126" i="82"/>
  <c r="AA126" i="82"/>
  <c r="AC106" i="85"/>
  <c r="AA106" i="85"/>
  <c r="V106" i="85"/>
  <c r="V117" i="85" s="1"/>
  <c r="AA43" i="80"/>
  <c r="AA58" i="80" s="1"/>
  <c r="AA59" i="80" s="1"/>
  <c r="W43" i="80"/>
  <c r="W58" i="80" s="1"/>
  <c r="AF43" i="80"/>
  <c r="AF58" i="80" s="1"/>
  <c r="AG102" i="80"/>
  <c r="AG237" i="80" s="1"/>
  <c r="Z157" i="78"/>
  <c r="U157" i="78"/>
  <c r="AC157" i="78"/>
  <c r="AC166" i="78" s="1"/>
  <c r="S156" i="77"/>
  <c r="I104" i="77"/>
  <c r="T103" i="79"/>
  <c r="AD103" i="79"/>
  <c r="AD111" i="79" s="1"/>
  <c r="AD178" i="79" s="1"/>
  <c r="Z103" i="79"/>
  <c r="T75" i="79"/>
  <c r="R159" i="79"/>
  <c r="R168" i="79" s="1"/>
  <c r="S130" i="78"/>
  <c r="S122" i="78"/>
  <c r="T135" i="78"/>
  <c r="E42" i="49" s="1"/>
  <c r="AC128" i="77"/>
  <c r="AC135" i="77" s="1"/>
  <c r="U128" i="77"/>
  <c r="AD81" i="80"/>
  <c r="AB81" i="80"/>
  <c r="W81" i="80"/>
  <c r="AH153" i="75"/>
  <c r="Z153" i="75"/>
  <c r="W153" i="75"/>
  <c r="AG187" i="75"/>
  <c r="AA187" i="75"/>
  <c r="U187" i="75"/>
  <c r="AE38" i="76"/>
  <c r="AE43" i="76" s="1"/>
  <c r="Z38" i="76"/>
  <c r="U38" i="76"/>
  <c r="AE72" i="75"/>
  <c r="AE85" i="75" s="1"/>
  <c r="Z72" i="75"/>
  <c r="U72" i="75"/>
  <c r="AB37" i="77"/>
  <c r="U37" i="77"/>
  <c r="Z37" i="77"/>
  <c r="AH44" i="75"/>
  <c r="AH51" i="75" s="1"/>
  <c r="Z44" i="75"/>
  <c r="U44" i="75"/>
  <c r="Q131" i="75"/>
  <c r="AD36" i="76"/>
  <c r="AD43" i="76" s="1"/>
  <c r="AA36" i="76"/>
  <c r="U36" i="76"/>
  <c r="AB157" i="77"/>
  <c r="U157" i="77"/>
  <c r="Z157" i="77"/>
  <c r="Z167" i="77" s="1"/>
  <c r="Z168" i="77" s="1"/>
  <c r="X196" i="75"/>
  <c r="Q201" i="75"/>
  <c r="AB67" i="75"/>
  <c r="AB85" i="75" s="1"/>
  <c r="T85" i="75"/>
  <c r="AA67" i="75"/>
  <c r="U67" i="75"/>
  <c r="AH118" i="75"/>
  <c r="Z118" i="75"/>
  <c r="U118" i="75"/>
  <c r="S43" i="76"/>
  <c r="S102" i="72"/>
  <c r="F88" i="39" s="1"/>
  <c r="R90" i="72"/>
  <c r="R89" i="72"/>
  <c r="R97" i="72"/>
  <c r="R83" i="72"/>
  <c r="R78" i="72"/>
  <c r="R99" i="72" s="1"/>
  <c r="R88" i="72"/>
  <c r="Y181" i="72"/>
  <c r="AJ181" i="72"/>
  <c r="V181" i="72"/>
  <c r="V189" i="72" s="1"/>
  <c r="S70" i="73"/>
  <c r="AA38" i="73"/>
  <c r="U38" i="73"/>
  <c r="AC38" i="73" s="1"/>
  <c r="R80" i="72"/>
  <c r="AE189" i="72"/>
  <c r="AE59" i="72"/>
  <c r="R221" i="72"/>
  <c r="AC99" i="73"/>
  <c r="AA59" i="73"/>
  <c r="AA70" i="73" s="1"/>
  <c r="U59" i="73"/>
  <c r="T70" i="73"/>
  <c r="AB59" i="73"/>
  <c r="AB70" i="73" s="1"/>
  <c r="AD126" i="72"/>
  <c r="AD147" i="72" s="1"/>
  <c r="Z126" i="72"/>
  <c r="T126" i="72"/>
  <c r="Z36" i="73"/>
  <c r="Z43" i="73" s="1"/>
  <c r="U36" i="73"/>
  <c r="AC36" i="73"/>
  <c r="AH221" i="72"/>
  <c r="AH231" i="72" s="1"/>
  <c r="Z221" i="72"/>
  <c r="T221" i="72"/>
  <c r="R82" i="72"/>
  <c r="R220" i="72"/>
  <c r="R60" i="84"/>
  <c r="U58" i="83"/>
  <c r="R82" i="81"/>
  <c r="S88" i="81"/>
  <c r="E61" i="65" s="1"/>
  <c r="R83" i="81"/>
  <c r="I227" i="80"/>
  <c r="J60" i="80"/>
  <c r="K60" i="80"/>
  <c r="AH181" i="80"/>
  <c r="AH190" i="80" s="1"/>
  <c r="AB181" i="80"/>
  <c r="V181" i="80"/>
  <c r="V131" i="80"/>
  <c r="AE131" i="80"/>
  <c r="AE147" i="80" s="1"/>
  <c r="AA131" i="80"/>
  <c r="S48" i="83"/>
  <c r="AC57" i="82"/>
  <c r="R76" i="81"/>
  <c r="AD167" i="80"/>
  <c r="AB167" i="80"/>
  <c r="V167" i="80"/>
  <c r="U47" i="82"/>
  <c r="AH47" i="82"/>
  <c r="AH57" i="82" s="1"/>
  <c r="Z47" i="82"/>
  <c r="R113" i="81"/>
  <c r="T138" i="82"/>
  <c r="E65" i="70" s="1"/>
  <c r="S132" i="82"/>
  <c r="S121" i="82"/>
  <c r="S135" i="82" s="1"/>
  <c r="S133" i="82"/>
  <c r="P135" i="82"/>
  <c r="S124" i="82"/>
  <c r="R73" i="81"/>
  <c r="R85" i="81" s="1"/>
  <c r="AD120" i="82"/>
  <c r="AD135" i="82" s="1"/>
  <c r="V120" i="82"/>
  <c r="Z120" i="82"/>
  <c r="AD42" i="83"/>
  <c r="AD58" i="83" s="1"/>
  <c r="Z42" i="83"/>
  <c r="V42" i="83"/>
  <c r="K137" i="79"/>
  <c r="J137" i="79"/>
  <c r="T73" i="78"/>
  <c r="U61" i="78"/>
  <c r="AB61" i="78"/>
  <c r="AB73" i="78" s="1"/>
  <c r="AA61" i="78"/>
  <c r="AA73" i="78" s="1"/>
  <c r="T204" i="82"/>
  <c r="AB192" i="82"/>
  <c r="AB204" i="82" s="1"/>
  <c r="Z192" i="82"/>
  <c r="Z204" i="82" s="1"/>
  <c r="Z205" i="82" s="1"/>
  <c r="V192" i="82"/>
  <c r="AB75" i="79"/>
  <c r="Z64" i="77"/>
  <c r="U64" i="77"/>
  <c r="AB64" i="77"/>
  <c r="L133" i="84"/>
  <c r="I133" i="84"/>
  <c r="AA73" i="77"/>
  <c r="AA74" i="77" s="1"/>
  <c r="AA62" i="79"/>
  <c r="AA75" i="79" s="1"/>
  <c r="Y62" i="79"/>
  <c r="Y75" i="79" s="1"/>
  <c r="Y76" i="79" s="1"/>
  <c r="U62" i="79"/>
  <c r="U75" i="79" s="1"/>
  <c r="S75" i="79"/>
  <c r="Y129" i="79"/>
  <c r="T129" i="79"/>
  <c r="AC129" i="79" s="1"/>
  <c r="S161" i="77"/>
  <c r="AC160" i="77"/>
  <c r="AC167" i="77" s="1"/>
  <c r="U160" i="77"/>
  <c r="T54" i="75"/>
  <c r="F69" i="46" s="1"/>
  <c r="S78" i="75"/>
  <c r="S73" i="75"/>
  <c r="S43" i="75"/>
  <c r="S38" i="75"/>
  <c r="S70" i="75"/>
  <c r="S77" i="75"/>
  <c r="S49" i="75"/>
  <c r="S42" i="75"/>
  <c r="AG159" i="76"/>
  <c r="AG165" i="76" s="1"/>
  <c r="AG175" i="76" s="1"/>
  <c r="Z159" i="76"/>
  <c r="W159" i="76"/>
  <c r="W165" i="76" s="1"/>
  <c r="AC163" i="74"/>
  <c r="AC169" i="74" s="1"/>
  <c r="Z163" i="74"/>
  <c r="Z169" i="74" s="1"/>
  <c r="Z170" i="74" s="1"/>
  <c r="U163" i="74"/>
  <c r="S186" i="75"/>
  <c r="S195" i="75" s="1"/>
  <c r="Z37" i="75"/>
  <c r="Z51" i="75" s="1"/>
  <c r="Z52" i="75" s="1"/>
  <c r="U37" i="75"/>
  <c r="AD38" i="75"/>
  <c r="AD51" i="75" s="1"/>
  <c r="AH159" i="75"/>
  <c r="AD121" i="76"/>
  <c r="AD131" i="76" s="1"/>
  <c r="AA121" i="76"/>
  <c r="U121" i="76"/>
  <c r="S99" i="74"/>
  <c r="S103" i="74"/>
  <c r="T108" i="74"/>
  <c r="F41" i="45" s="1"/>
  <c r="AC43" i="74"/>
  <c r="S189" i="72"/>
  <c r="AC168" i="72"/>
  <c r="AC189" i="72" s="1"/>
  <c r="Z168" i="72"/>
  <c r="Z189" i="72" s="1"/>
  <c r="T168" i="72"/>
  <c r="AE146" i="75"/>
  <c r="AE159" i="75" s="1"/>
  <c r="Z146" i="75"/>
  <c r="U146" i="75"/>
  <c r="S124" i="76"/>
  <c r="S129" i="76"/>
  <c r="T134" i="76"/>
  <c r="F43" i="47" s="1"/>
  <c r="AD155" i="76"/>
  <c r="AD165" i="76" s="1"/>
  <c r="AD175" i="76" s="1"/>
  <c r="U155" i="76"/>
  <c r="AA155" i="76"/>
  <c r="V232" i="72"/>
  <c r="W232" i="72"/>
  <c r="AB64" i="79"/>
  <c r="Y64" i="79"/>
  <c r="T64" i="79"/>
  <c r="T46" i="76"/>
  <c r="F40" i="47" s="1"/>
  <c r="S41" i="76"/>
  <c r="S39" i="75"/>
  <c r="AB77" i="72"/>
  <c r="AB99" i="72" s="1"/>
  <c r="AB241" i="72" s="1"/>
  <c r="Z77" i="72"/>
  <c r="Z99" i="72" s="1"/>
  <c r="T77" i="72"/>
  <c r="S99" i="72"/>
  <c r="T102" i="73"/>
  <c r="F39" i="44" s="1"/>
  <c r="S97" i="73"/>
  <c r="S68" i="73"/>
  <c r="S62" i="73"/>
  <c r="S64" i="73"/>
  <c r="T73" i="73"/>
  <c r="F38" i="44" s="1"/>
  <c r="Q74" i="73"/>
  <c r="W71" i="73"/>
  <c r="AE82" i="72"/>
  <c r="AE99" i="72" s="1"/>
  <c r="Z82" i="72"/>
  <c r="T82" i="72"/>
  <c r="AG220" i="72"/>
  <c r="AG231" i="72" s="1"/>
  <c r="T220" i="72"/>
  <c r="S119" i="76"/>
  <c r="S131" i="76" s="1"/>
  <c r="S155" i="76"/>
  <c r="S165" i="76" s="1"/>
  <c r="AC95" i="76"/>
  <c r="AC103" i="76" s="1"/>
  <c r="U95" i="76"/>
  <c r="AA95" i="76"/>
  <c r="K197" i="75"/>
  <c r="AE39" i="75"/>
  <c r="AE51" i="75" s="1"/>
  <c r="Z39" i="75"/>
  <c r="U39" i="75"/>
  <c r="Z121" i="73"/>
  <c r="Z130" i="73" s="1"/>
  <c r="Z131" i="73" s="1"/>
  <c r="V121" i="73"/>
  <c r="V130" i="73" s="1"/>
  <c r="AC121" i="73"/>
  <c r="AC130" i="73" s="1"/>
  <c r="R92" i="72"/>
  <c r="AA35" i="73"/>
  <c r="AA43" i="73" s="1"/>
  <c r="AB35" i="73"/>
  <c r="AB43" i="73" s="1"/>
  <c r="U35" i="73"/>
  <c r="T43" i="73"/>
  <c r="AF99" i="72"/>
  <c r="AG77" i="86"/>
  <c r="AG83" i="86" s="1"/>
  <c r="Y77" i="86"/>
  <c r="T77" i="86"/>
  <c r="V139" i="85"/>
  <c r="V150" i="85" s="1"/>
  <c r="AC139" i="85"/>
  <c r="AA139" i="85"/>
  <c r="Z74" i="84"/>
  <c r="Y74" i="84"/>
  <c r="AC177" i="85"/>
  <c r="AC187" i="85" s="1"/>
  <c r="AA177" i="85"/>
  <c r="AA187" i="85" s="1"/>
  <c r="AA188" i="85" s="1"/>
  <c r="U177" i="85"/>
  <c r="AB137" i="85"/>
  <c r="AA137" i="85"/>
  <c r="U137" i="85"/>
  <c r="S46" i="83"/>
  <c r="AE157" i="82"/>
  <c r="AE169" i="82" s="1"/>
  <c r="Z157" i="82"/>
  <c r="U157" i="82"/>
  <c r="U169" i="82" s="1"/>
  <c r="AE195" i="82"/>
  <c r="AE204" i="82" s="1"/>
  <c r="Z195" i="82"/>
  <c r="U195" i="82"/>
  <c r="U204" i="82" s="1"/>
  <c r="T169" i="82"/>
  <c r="AB151" i="82"/>
  <c r="AB169" i="82" s="1"/>
  <c r="Z151" i="82"/>
  <c r="V151" i="82"/>
  <c r="AF197" i="82"/>
  <c r="AF204" i="82" s="1"/>
  <c r="AF214" i="82" s="1"/>
  <c r="Z197" i="82"/>
  <c r="U197" i="82"/>
  <c r="L52" i="81"/>
  <c r="J52" i="81"/>
  <c r="Z56" i="81"/>
  <c r="Y56" i="81"/>
  <c r="AA43" i="82"/>
  <c r="U43" i="82"/>
  <c r="AE43" i="82"/>
  <c r="AE57" i="82" s="1"/>
  <c r="AH159" i="83"/>
  <c r="AH168" i="83" s="1"/>
  <c r="AA159" i="83"/>
  <c r="V159" i="83"/>
  <c r="R141" i="81"/>
  <c r="R155" i="81" s="1"/>
  <c r="AA104" i="84"/>
  <c r="Z179" i="81"/>
  <c r="T179" i="81"/>
  <c r="AC179" i="81"/>
  <c r="S224" i="80"/>
  <c r="T231" i="80"/>
  <c r="E71" i="64" s="1"/>
  <c r="S225" i="80"/>
  <c r="S226" i="80"/>
  <c r="L57" i="80"/>
  <c r="AA61" i="80"/>
  <c r="AB83" i="80"/>
  <c r="W83" i="80"/>
  <c r="AF83" i="80"/>
  <c r="AF102" i="80" s="1"/>
  <c r="R177" i="81"/>
  <c r="R91" i="81"/>
  <c r="T190" i="80"/>
  <c r="AA166" i="80"/>
  <c r="V166" i="80"/>
  <c r="V190" i="80" s="1"/>
  <c r="AD166" i="80"/>
  <c r="AD85" i="81"/>
  <c r="AC39" i="85"/>
  <c r="AA39" i="85"/>
  <c r="U39" i="85"/>
  <c r="R172" i="79"/>
  <c r="J227" i="80"/>
  <c r="AB111" i="79"/>
  <c r="AB62" i="77"/>
  <c r="Z62" i="77"/>
  <c r="U62" i="77"/>
  <c r="R104" i="79"/>
  <c r="Z36" i="78"/>
  <c r="U36" i="78"/>
  <c r="AB36" i="78"/>
  <c r="AB44" i="78" s="1"/>
  <c r="T44" i="78"/>
  <c r="R161" i="79"/>
  <c r="AE157" i="76"/>
  <c r="AE165" i="76" s="1"/>
  <c r="Z157" i="76"/>
  <c r="U157" i="76"/>
  <c r="V34" i="80"/>
  <c r="V58" i="80" s="1"/>
  <c r="T58" i="80"/>
  <c r="AD34" i="80"/>
  <c r="AD58" i="80" s="1"/>
  <c r="AD39" i="78"/>
  <c r="AD44" i="78" s="1"/>
  <c r="AA39" i="78"/>
  <c r="AA44" i="78" s="1"/>
  <c r="AA45" i="78" s="1"/>
  <c r="U39" i="78"/>
  <c r="AB36" i="77"/>
  <c r="AA36" i="77"/>
  <c r="U36" i="77"/>
  <c r="AA129" i="80"/>
  <c r="W129" i="80"/>
  <c r="AD129" i="80"/>
  <c r="AD99" i="78"/>
  <c r="AD103" i="78" s="1"/>
  <c r="AD175" i="78" s="1"/>
  <c r="AA99" i="78"/>
  <c r="AA103" i="78" s="1"/>
  <c r="AA104" i="78" s="1"/>
  <c r="U99" i="78"/>
  <c r="U103" i="78" s="1"/>
  <c r="AD128" i="80"/>
  <c r="W128" i="80"/>
  <c r="W147" i="80" s="1"/>
  <c r="S69" i="75"/>
  <c r="AC66" i="77"/>
  <c r="AC73" i="77" s="1"/>
  <c r="U66" i="77"/>
  <c r="W62" i="74"/>
  <c r="AB62" i="74"/>
  <c r="AB126" i="77"/>
  <c r="Z126" i="77"/>
  <c r="U126" i="77"/>
  <c r="R102" i="79"/>
  <c r="AE123" i="76"/>
  <c r="AE131" i="76" s="1"/>
  <c r="U123" i="76"/>
  <c r="Z123" i="76"/>
  <c r="AB91" i="80"/>
  <c r="V91" i="80"/>
  <c r="AG91" i="80"/>
  <c r="T106" i="76"/>
  <c r="F42" i="47" s="1"/>
  <c r="S101" i="76"/>
  <c r="S75" i="75"/>
  <c r="Z62" i="76"/>
  <c r="Z71" i="76" s="1"/>
  <c r="Z72" i="76" s="1"/>
  <c r="U62" i="76"/>
  <c r="AB62" i="76"/>
  <c r="S105" i="74"/>
  <c r="R51" i="79"/>
  <c r="R45" i="79"/>
  <c r="S50" i="79"/>
  <c r="E44" i="63" s="1"/>
  <c r="J84" i="75"/>
  <c r="T131" i="76"/>
  <c r="AA119" i="76"/>
  <c r="AA131" i="76" s="1"/>
  <c r="AA132" i="76" s="1"/>
  <c r="AB119" i="76"/>
  <c r="AB131" i="76" s="1"/>
  <c r="U119" i="76"/>
  <c r="U131" i="76" s="1"/>
  <c r="S71" i="75"/>
  <c r="AK92" i="72"/>
  <c r="AK99" i="72" s="1"/>
  <c r="AJ92" i="72"/>
  <c r="V92" i="72"/>
  <c r="S91" i="73"/>
  <c r="S99" i="73" s="1"/>
  <c r="Q63" i="72"/>
  <c r="AI179" i="72"/>
  <c r="Y179" i="72"/>
  <c r="T179" i="72"/>
  <c r="AF44" i="72"/>
  <c r="AF59" i="72" s="1"/>
  <c r="Z44" i="72"/>
  <c r="T44" i="72"/>
  <c r="AD99" i="72"/>
  <c r="R81" i="72"/>
  <c r="AG134" i="72"/>
  <c r="AG147" i="72" s="1"/>
  <c r="T134" i="72"/>
  <c r="AE161" i="79"/>
  <c r="AE168" i="79" s="1"/>
  <c r="Z161" i="79"/>
  <c r="U161" i="79"/>
  <c r="U168" i="79" s="1"/>
  <c r="AC160" i="79"/>
  <c r="Y160" i="79"/>
  <c r="Y168" i="79" s="1"/>
  <c r="Y169" i="79" s="1"/>
  <c r="T160" i="79"/>
  <c r="S99" i="80"/>
  <c r="S56" i="80"/>
  <c r="S98" i="80"/>
  <c r="S55" i="80"/>
  <c r="S54" i="80"/>
  <c r="T61" i="80"/>
  <c r="E67" i="64" s="1"/>
  <c r="S51" i="80"/>
  <c r="S37" i="80"/>
  <c r="S58" i="80" s="1"/>
  <c r="S38" i="80"/>
  <c r="S114" i="79"/>
  <c r="E46" i="63" s="1"/>
  <c r="R109" i="79"/>
  <c r="R98" i="79"/>
  <c r="R111" i="79" s="1"/>
  <c r="R115" i="79"/>
  <c r="U73" i="77"/>
  <c r="AC102" i="79"/>
  <c r="AC111" i="79" s="1"/>
  <c r="Z102" i="79"/>
  <c r="T102" i="79"/>
  <c r="T111" i="79" s="1"/>
  <c r="AI148" i="75"/>
  <c r="AI159" i="75" s="1"/>
  <c r="W148" i="75"/>
  <c r="S41" i="75"/>
  <c r="T105" i="74"/>
  <c r="AB96" i="74"/>
  <c r="AB105" i="74" s="1"/>
  <c r="AA96" i="74"/>
  <c r="AA105" i="74" s="1"/>
  <c r="AA106" i="74" s="1"/>
  <c r="U96" i="74"/>
  <c r="U105" i="74" s="1"/>
  <c r="R36" i="79"/>
  <c r="R47" i="79" s="1"/>
  <c r="AD61" i="76"/>
  <c r="AD71" i="76" s="1"/>
  <c r="AA61" i="76"/>
  <c r="U61" i="76"/>
  <c r="S68" i="75"/>
  <c r="Q75" i="76"/>
  <c r="W72" i="76"/>
  <c r="AD71" i="75"/>
  <c r="AD85" i="75" s="1"/>
  <c r="AA71" i="75"/>
  <c r="U71" i="75"/>
  <c r="S189" i="75"/>
  <c r="T108" i="77"/>
  <c r="E46" i="48" s="1"/>
  <c r="S103" i="77"/>
  <c r="S105" i="77" s="1"/>
  <c r="S99" i="77"/>
  <c r="T133" i="73"/>
  <c r="F40" i="44" s="1"/>
  <c r="S128" i="73"/>
  <c r="S120" i="73"/>
  <c r="S124" i="73"/>
  <c r="T99" i="73"/>
  <c r="AA91" i="73"/>
  <c r="AA99" i="73" s="1"/>
  <c r="AA100" i="73" s="1"/>
  <c r="U91" i="73"/>
  <c r="AB91" i="73"/>
  <c r="AB99" i="73" s="1"/>
  <c r="T46" i="73"/>
  <c r="F37" i="44" s="1"/>
  <c r="S41" i="73"/>
  <c r="S37" i="73"/>
  <c r="S43" i="73" s="1"/>
  <c r="AK182" i="72"/>
  <c r="AK189" i="72" s="1"/>
  <c r="AK241" i="72" s="1"/>
  <c r="Y182" i="72"/>
  <c r="V182" i="72"/>
  <c r="AD38" i="72"/>
  <c r="Z38" i="72"/>
  <c r="T38" i="72"/>
  <c r="AD215" i="72"/>
  <c r="AD231" i="72" s="1"/>
  <c r="Y215" i="72"/>
  <c r="Y231" i="72" s="1"/>
  <c r="Y232" i="72" s="1"/>
  <c r="T215" i="72"/>
  <c r="T231" i="72" s="1"/>
  <c r="R87" i="72"/>
  <c r="AA205" i="87"/>
  <c r="AA206" i="87" s="1"/>
  <c r="AC155" i="84"/>
  <c r="AC161" i="84" s="1"/>
  <c r="Y155" i="84"/>
  <c r="Y161" i="84" s="1"/>
  <c r="U155" i="84"/>
  <c r="AA81" i="85"/>
  <c r="AB89" i="87"/>
  <c r="Y78" i="86"/>
  <c r="V78" i="86"/>
  <c r="V83" i="86" s="1"/>
  <c r="Z107" i="84"/>
  <c r="Y107" i="84"/>
  <c r="K103" i="84"/>
  <c r="J103" i="84"/>
  <c r="L103" i="84"/>
  <c r="T140" i="96"/>
  <c r="Y140" i="96"/>
  <c r="AC140" i="96"/>
  <c r="I103" i="84"/>
  <c r="J40" i="84"/>
  <c r="I40" i="84"/>
  <c r="S40" i="83"/>
  <c r="S58" i="83" s="1"/>
  <c r="Y104" i="84"/>
  <c r="Y105" i="84" s="1"/>
  <c r="AB36" i="83"/>
  <c r="AB58" i="83" s="1"/>
  <c r="Z36" i="83"/>
  <c r="V36" i="83"/>
  <c r="V58" i="83" s="1"/>
  <c r="T58" i="83"/>
  <c r="L92" i="82"/>
  <c r="Z96" i="82"/>
  <c r="Z66" i="85"/>
  <c r="U66" i="85"/>
  <c r="AB66" i="85"/>
  <c r="AB81" i="85" s="1"/>
  <c r="T81" i="85"/>
  <c r="AI163" i="82"/>
  <c r="Z163" i="82"/>
  <c r="W163" i="82"/>
  <c r="W169" i="82" s="1"/>
  <c r="AB75" i="83"/>
  <c r="AB95" i="83" s="1"/>
  <c r="Z75" i="83"/>
  <c r="Z95" i="83" s="1"/>
  <c r="T95" i="83"/>
  <c r="V75" i="83"/>
  <c r="V95" i="83" s="1"/>
  <c r="AE93" i="82"/>
  <c r="R97" i="82"/>
  <c r="W94" i="82"/>
  <c r="L163" i="84"/>
  <c r="J163" i="84"/>
  <c r="S162" i="82"/>
  <c r="S169" i="82" s="1"/>
  <c r="AB32" i="84"/>
  <c r="AB41" i="84" s="1"/>
  <c r="Z32" i="84"/>
  <c r="Z41" i="84" s="1"/>
  <c r="Z42" i="84" s="1"/>
  <c r="T32" i="84"/>
  <c r="T41" i="84" s="1"/>
  <c r="R43" i="84" s="1"/>
  <c r="R48" i="84" s="1"/>
  <c r="S122" i="82"/>
  <c r="J70" i="84"/>
  <c r="Z37" i="82"/>
  <c r="U37" i="82"/>
  <c r="AD155" i="82"/>
  <c r="Z155" i="82"/>
  <c r="V155" i="82"/>
  <c r="R117" i="81"/>
  <c r="AD168" i="80"/>
  <c r="AB168" i="80"/>
  <c r="W168" i="80"/>
  <c r="W190" i="80" s="1"/>
  <c r="Z104" i="84"/>
  <c r="Z105" i="84" s="1"/>
  <c r="AD79" i="80"/>
  <c r="AB79" i="80"/>
  <c r="W79" i="80"/>
  <c r="S84" i="80"/>
  <c r="AD212" i="80"/>
  <c r="AD228" i="80" s="1"/>
  <c r="AA212" i="80"/>
  <c r="AA228" i="80" s="1"/>
  <c r="AA229" i="80" s="1"/>
  <c r="V212" i="80"/>
  <c r="V228" i="80" s="1"/>
  <c r="T228" i="80"/>
  <c r="S48" i="80"/>
  <c r="S164" i="82"/>
  <c r="AC178" i="81"/>
  <c r="T178" i="81"/>
  <c r="Y178" i="81"/>
  <c r="Y188" i="81" s="1"/>
  <c r="AE46" i="81"/>
  <c r="Y46" i="81"/>
  <c r="Y53" i="81" s="1"/>
  <c r="Y54" i="81" s="1"/>
  <c r="T46" i="81"/>
  <c r="I60" i="80"/>
  <c r="AB35" i="82"/>
  <c r="AB57" i="82" s="1"/>
  <c r="AA35" i="82"/>
  <c r="AA57" i="82" s="1"/>
  <c r="V35" i="82"/>
  <c r="T57" i="82"/>
  <c r="AE44" i="81"/>
  <c r="T44" i="81"/>
  <c r="Z44" i="81" s="1"/>
  <c r="S216" i="80"/>
  <c r="S228" i="80" s="1"/>
  <c r="K92" i="82"/>
  <c r="R111" i="81"/>
  <c r="R124" i="81" s="1"/>
  <c r="Y47" i="79"/>
  <c r="Y48" i="79" s="1"/>
  <c r="AB37" i="78"/>
  <c r="Z37" i="78"/>
  <c r="U37" i="78"/>
  <c r="U44" i="78" s="1"/>
  <c r="R99" i="79"/>
  <c r="Z98" i="77"/>
  <c r="Z105" i="77" s="1"/>
  <c r="Z106" i="77" s="1"/>
  <c r="U98" i="77"/>
  <c r="AB98" i="77"/>
  <c r="K46" i="79"/>
  <c r="S36" i="78"/>
  <c r="Q141" i="79"/>
  <c r="U139" i="79"/>
  <c r="R160" i="79"/>
  <c r="J168" i="78"/>
  <c r="U64" i="78"/>
  <c r="AC64" i="78"/>
  <c r="AC73" i="78" s="1"/>
  <c r="Z64" i="78"/>
  <c r="Z73" i="78" s="1"/>
  <c r="Z74" i="78" s="1"/>
  <c r="S120" i="78"/>
  <c r="AC123" i="78"/>
  <c r="AC132" i="78" s="1"/>
  <c r="Z123" i="78"/>
  <c r="U123" i="78"/>
  <c r="S34" i="75"/>
  <c r="U188" i="75"/>
  <c r="AG188" i="75"/>
  <c r="Z188" i="75"/>
  <c r="AC105" i="74"/>
  <c r="R218" i="72"/>
  <c r="AB122" i="76"/>
  <c r="Z122" i="76"/>
  <c r="U122" i="76"/>
  <c r="S155" i="78"/>
  <c r="S166" i="78" s="1"/>
  <c r="AC35" i="76"/>
  <c r="AC43" i="76" s="1"/>
  <c r="AA35" i="76"/>
  <c r="U35" i="76"/>
  <c r="AB36" i="79"/>
  <c r="AB47" i="79" s="1"/>
  <c r="Z36" i="79"/>
  <c r="Z47" i="79" s="1"/>
  <c r="Z48" i="79" s="1"/>
  <c r="T36" i="79"/>
  <c r="T47" i="79" s="1"/>
  <c r="U169" i="74"/>
  <c r="T43" i="74"/>
  <c r="Z44" i="74" s="1"/>
  <c r="AB34" i="74"/>
  <c r="AA34" i="74"/>
  <c r="AA43" i="74" s="1"/>
  <c r="U34" i="74"/>
  <c r="AD80" i="72"/>
  <c r="Y80" i="72"/>
  <c r="Y99" i="72" s="1"/>
  <c r="T80" i="72"/>
  <c r="S48" i="75"/>
  <c r="AH189" i="75"/>
  <c r="AH195" i="75" s="1"/>
  <c r="AA189" i="75"/>
  <c r="U189" i="75"/>
  <c r="AB96" i="77"/>
  <c r="AB105" i="77" s="1"/>
  <c r="AA96" i="77"/>
  <c r="AA105" i="77" s="1"/>
  <c r="U96" i="77"/>
  <c r="U105" i="77" s="1"/>
  <c r="T105" i="77"/>
  <c r="AF64" i="76"/>
  <c r="AF71" i="76" s="1"/>
  <c r="U64" i="76"/>
  <c r="S137" i="74"/>
  <c r="S130" i="73"/>
  <c r="AG46" i="72"/>
  <c r="AG59" i="72" s="1"/>
  <c r="T46" i="72"/>
  <c r="AF174" i="72"/>
  <c r="Z174" i="72"/>
  <c r="T174" i="72"/>
  <c r="V100" i="73"/>
  <c r="Q102" i="73"/>
  <c r="S147" i="72"/>
  <c r="AC125" i="72"/>
  <c r="AC147" i="72" s="1"/>
  <c r="Z125" i="72"/>
  <c r="T125" i="72"/>
  <c r="T147" i="72" s="1"/>
  <c r="AH135" i="72"/>
  <c r="AH147" i="72" s="1"/>
  <c r="Z135" i="72"/>
  <c r="T135" i="72"/>
  <c r="AH87" i="72"/>
  <c r="AH99" i="72" s="1"/>
  <c r="Z87" i="72"/>
  <c r="T87" i="72"/>
  <c r="R223" i="72"/>
  <c r="S234" i="72"/>
  <c r="F91" i="39" s="1"/>
  <c r="R229" i="72"/>
  <c r="R224" i="72"/>
  <c r="R217" i="72"/>
  <c r="R212" i="72"/>
  <c r="R228" i="72"/>
  <c r="R222" i="72"/>
  <c r="AF175" i="72"/>
  <c r="Y175" i="72"/>
  <c r="T175" i="72"/>
  <c r="R216" i="72"/>
  <c r="AJ180" i="72"/>
  <c r="AJ189" i="72" s="1"/>
  <c r="AJ241" i="72" s="1"/>
  <c r="Z180" i="72"/>
  <c r="T180" i="72"/>
  <c r="AD39" i="72"/>
  <c r="Y39" i="72"/>
  <c r="Y59" i="72" s="1"/>
  <c r="Y60" i="72" s="1"/>
  <c r="T39" i="72"/>
  <c r="R144" i="72"/>
  <c r="R138" i="72"/>
  <c r="R128" i="72"/>
  <c r="S150" i="72"/>
  <c r="F89" i="39" s="1"/>
  <c r="R139" i="72"/>
  <c r="R132" i="72"/>
  <c r="R137" i="72"/>
  <c r="R127" i="72"/>
  <c r="R129" i="72"/>
  <c r="R145" i="72"/>
  <c r="AI189" i="72"/>
  <c r="AI241" i="72" s="1"/>
  <c r="AC155" i="73"/>
  <c r="V155" i="73"/>
  <c r="V164" i="73" s="1"/>
  <c r="Z155" i="73"/>
  <c r="R135" i="72"/>
  <c r="R186" i="72"/>
  <c r="R177" i="72"/>
  <c r="R172" i="72"/>
  <c r="R187" i="72"/>
  <c r="R178" i="72"/>
  <c r="R176" i="72"/>
  <c r="S192" i="72"/>
  <c r="F90" i="39" s="1"/>
  <c r="R171" i="72"/>
  <c r="R189" i="72" s="1"/>
  <c r="Y74" i="81"/>
  <c r="U74" i="81"/>
  <c r="AA178" i="79"/>
  <c r="W167" i="77"/>
  <c r="AE68" i="79"/>
  <c r="AE75" i="79" s="1"/>
  <c r="Y68" i="79"/>
  <c r="U68" i="79"/>
  <c r="AB108" i="75"/>
  <c r="AB125" i="75" s="1"/>
  <c r="AA108" i="75"/>
  <c r="AA125" i="75" s="1"/>
  <c r="U108" i="75"/>
  <c r="U125" i="75" s="1"/>
  <c r="T125" i="75"/>
  <c r="X126" i="75" s="1"/>
  <c r="AB123" i="77"/>
  <c r="AB135" i="77" s="1"/>
  <c r="AA123" i="77"/>
  <c r="AA135" i="77" s="1"/>
  <c r="T135" i="77"/>
  <c r="U123" i="77"/>
  <c r="AC144" i="75"/>
  <c r="AC159" i="75" s="1"/>
  <c r="U144" i="75"/>
  <c r="Z144" i="75"/>
  <c r="AA154" i="78"/>
  <c r="AA166" i="78" s="1"/>
  <c r="U154" i="78"/>
  <c r="U166" i="78" s="1"/>
  <c r="T166" i="78"/>
  <c r="AB154" i="78"/>
  <c r="AB166" i="78" s="1"/>
  <c r="AC65" i="74"/>
  <c r="AC72" i="74" s="1"/>
  <c r="Z65" i="74"/>
  <c r="U65" i="74"/>
  <c r="AB35" i="74"/>
  <c r="AA35" i="74"/>
  <c r="U35" i="74"/>
  <c r="S98" i="76"/>
  <c r="S103" i="76" s="1"/>
  <c r="AF185" i="75"/>
  <c r="AF195" i="75" s="1"/>
  <c r="AF204" i="75" s="1"/>
  <c r="U185" i="75"/>
  <c r="Z185" i="75"/>
  <c r="AB161" i="74"/>
  <c r="AA161" i="74"/>
  <c r="AA169" i="74" s="1"/>
  <c r="AA170" i="74" s="1"/>
  <c r="U161" i="74"/>
  <c r="AE184" i="75"/>
  <c r="AE195" i="75" s="1"/>
  <c r="Z184" i="75"/>
  <c r="U184" i="75"/>
  <c r="AB169" i="74"/>
  <c r="T159" i="75"/>
  <c r="AB141" i="75"/>
  <c r="AB159" i="75" s="1"/>
  <c r="AB204" i="75" s="1"/>
  <c r="AA141" i="75"/>
  <c r="U141" i="75"/>
  <c r="U159" i="75" s="1"/>
  <c r="Q165" i="75"/>
  <c r="T140" i="74"/>
  <c r="F42" i="45" s="1"/>
  <c r="S135" i="74"/>
  <c r="Z156" i="76"/>
  <c r="Z165" i="76" s="1"/>
  <c r="Z166" i="76" s="1"/>
  <c r="U156" i="76"/>
  <c r="AB156" i="76"/>
  <c r="AB165" i="76" s="1"/>
  <c r="Y130" i="72"/>
  <c r="Y147" i="72" s="1"/>
  <c r="Y148" i="72" s="1"/>
  <c r="T130" i="72"/>
  <c r="AE130" i="72"/>
  <c r="AE147" i="72" s="1"/>
  <c r="AD169" i="72"/>
  <c r="AD189" i="72" s="1"/>
  <c r="Z169" i="72"/>
  <c r="T169" i="72"/>
  <c r="AE216" i="72"/>
  <c r="AE231" i="72" s="1"/>
  <c r="Z216" i="72"/>
  <c r="Z231" i="72" s="1"/>
  <c r="Z232" i="72" s="1"/>
  <c r="T216" i="72"/>
  <c r="R125" i="72"/>
  <c r="R136" i="72"/>
  <c r="R129" i="98" l="1"/>
  <c r="R128" i="98"/>
  <c r="R125" i="98"/>
  <c r="T46" i="98"/>
  <c r="Q47" i="98"/>
  <c r="V46" i="98"/>
  <c r="X46" i="98"/>
  <c r="Q96" i="87"/>
  <c r="S91" i="87"/>
  <c r="T48" i="88"/>
  <c r="Q49" i="88"/>
  <c r="Q113" i="95"/>
  <c r="T112" i="95"/>
  <c r="V51" i="85"/>
  <c r="Q53" i="85"/>
  <c r="Q50" i="88"/>
  <c r="U48" i="88"/>
  <c r="W148" i="80"/>
  <c r="Q151" i="80"/>
  <c r="AE196" i="85"/>
  <c r="W82" i="85"/>
  <c r="Q85" i="85"/>
  <c r="Q57" i="99"/>
  <c r="V54" i="99"/>
  <c r="Q233" i="72"/>
  <c r="T232" i="72"/>
  <c r="V142" i="92"/>
  <c r="Q145" i="92"/>
  <c r="R145" i="92" s="1"/>
  <c r="V185" i="90"/>
  <c r="R187" i="90"/>
  <c r="T135" i="91"/>
  <c r="Q136" i="91"/>
  <c r="T86" i="99"/>
  <c r="Q87" i="99"/>
  <c r="V197" i="86"/>
  <c r="Q200" i="86"/>
  <c r="Q76" i="94"/>
  <c r="T75" i="94"/>
  <c r="U104" i="78"/>
  <c r="Q105" i="78"/>
  <c r="Q50" i="79"/>
  <c r="U48" i="79"/>
  <c r="Q46" i="78"/>
  <c r="U45" i="78"/>
  <c r="T112" i="79"/>
  <c r="Q113" i="79"/>
  <c r="T140" i="93"/>
  <c r="Q141" i="93"/>
  <c r="R137" i="83"/>
  <c r="U136" i="83"/>
  <c r="Q177" i="94"/>
  <c r="V174" i="94"/>
  <c r="W59" i="80"/>
  <c r="Q62" i="80"/>
  <c r="Q126" i="81"/>
  <c r="T125" i="81"/>
  <c r="Q79" i="88"/>
  <c r="U77" i="88"/>
  <c r="Q52" i="96"/>
  <c r="T51" i="96"/>
  <c r="T78" i="95"/>
  <c r="Q79" i="95"/>
  <c r="Q81" i="93"/>
  <c r="R81" i="93" s="1"/>
  <c r="V78" i="93"/>
  <c r="D46" i="48"/>
  <c r="F46" i="48"/>
  <c r="Q107" i="74"/>
  <c r="U106" i="74"/>
  <c r="U59" i="80"/>
  <c r="Y59" i="80"/>
  <c r="Z59" i="80"/>
  <c r="X59" i="80"/>
  <c r="Z73" i="77"/>
  <c r="Z74" i="77" s="1"/>
  <c r="AA190" i="80"/>
  <c r="AA191" i="80" s="1"/>
  <c r="X44" i="73"/>
  <c r="W44" i="73"/>
  <c r="Y44" i="73"/>
  <c r="AC241" i="72"/>
  <c r="V76" i="79"/>
  <c r="X76" i="79"/>
  <c r="W76" i="79"/>
  <c r="Z103" i="80"/>
  <c r="Y103" i="80"/>
  <c r="X103" i="80"/>
  <c r="U103" i="80"/>
  <c r="S198" i="81"/>
  <c r="S199" i="81" s="1"/>
  <c r="W189" i="81"/>
  <c r="X189" i="81"/>
  <c r="V189" i="81"/>
  <c r="W166" i="78"/>
  <c r="U51" i="75"/>
  <c r="Q114" i="79"/>
  <c r="U112" i="79"/>
  <c r="Z84" i="90"/>
  <c r="Z85" i="90" s="1"/>
  <c r="AD179" i="92"/>
  <c r="AC164" i="73"/>
  <c r="S135" i="77"/>
  <c r="W74" i="78"/>
  <c r="Q77" i="78"/>
  <c r="Q193" i="96"/>
  <c r="V190" i="96"/>
  <c r="R109" i="97"/>
  <c r="V107" i="97"/>
  <c r="AA96" i="83"/>
  <c r="Q89" i="99"/>
  <c r="V86" i="99"/>
  <c r="D49" i="59"/>
  <c r="F49" i="59"/>
  <c r="T99" i="98"/>
  <c r="Q101" i="98" s="1"/>
  <c r="U137" i="74"/>
  <c r="Q77" i="77"/>
  <c r="W74" i="77"/>
  <c r="T194" i="90"/>
  <c r="T195" i="90" s="1"/>
  <c r="Y185" i="90"/>
  <c r="X80" i="92"/>
  <c r="W80" i="92"/>
  <c r="S72" i="74"/>
  <c r="U116" i="89"/>
  <c r="R160" i="86"/>
  <c r="V149" i="90"/>
  <c r="R151" i="90"/>
  <c r="T47" i="93"/>
  <c r="U73" i="97"/>
  <c r="R74" i="97"/>
  <c r="Q161" i="99"/>
  <c r="U159" i="99"/>
  <c r="Y133" i="78"/>
  <c r="X133" i="78"/>
  <c r="V133" i="78"/>
  <c r="Y78" i="95"/>
  <c r="F67" i="70"/>
  <c r="D67" i="70"/>
  <c r="F68" i="64"/>
  <c r="D68" i="64"/>
  <c r="T177" i="77"/>
  <c r="T178" i="77" s="1"/>
  <c r="V168" i="77"/>
  <c r="Y168" i="77"/>
  <c r="X168" i="77"/>
  <c r="T196" i="86"/>
  <c r="Z117" i="89"/>
  <c r="R171" i="92"/>
  <c r="F48" i="57"/>
  <c r="D48" i="57"/>
  <c r="W84" i="86"/>
  <c r="X84" i="86"/>
  <c r="U84" i="86"/>
  <c r="Q167" i="88"/>
  <c r="R167" i="88" s="1"/>
  <c r="U165" i="88"/>
  <c r="AG194" i="90"/>
  <c r="V169" i="87"/>
  <c r="X169" i="87"/>
  <c r="Y169" i="87"/>
  <c r="G41" i="44"/>
  <c r="E41" i="44"/>
  <c r="R161" i="84"/>
  <c r="AA163" i="98"/>
  <c r="Q176" i="93"/>
  <c r="V173" i="93"/>
  <c r="U46" i="98"/>
  <c r="Q48" i="98"/>
  <c r="V160" i="75"/>
  <c r="Y160" i="75"/>
  <c r="U126" i="75"/>
  <c r="Q127" i="75"/>
  <c r="U76" i="79"/>
  <c r="Q78" i="79"/>
  <c r="Y206" i="82"/>
  <c r="V204" i="82"/>
  <c r="AA75" i="91"/>
  <c r="F62" i="55"/>
  <c r="D62" i="55"/>
  <c r="T173" i="73"/>
  <c r="T174" i="73" s="1"/>
  <c r="X165" i="73"/>
  <c r="Y165" i="73"/>
  <c r="Q127" i="99"/>
  <c r="T126" i="99"/>
  <c r="AB43" i="76"/>
  <c r="T155" i="81"/>
  <c r="AF53" i="90"/>
  <c r="F52" i="53"/>
  <c r="D52" i="53"/>
  <c r="AA40" i="97"/>
  <c r="AA41" i="97" s="1"/>
  <c r="AA168" i="99"/>
  <c r="Z99" i="98"/>
  <c r="Z100" i="98" s="1"/>
  <c r="AB174" i="91"/>
  <c r="AA137" i="74"/>
  <c r="AA138" i="74" s="1"/>
  <c r="S190" i="80"/>
  <c r="U187" i="85"/>
  <c r="F75" i="69"/>
  <c r="D75" i="69"/>
  <c r="X52" i="89"/>
  <c r="W52" i="89"/>
  <c r="T79" i="92"/>
  <c r="Z138" i="95"/>
  <c r="Z139" i="95" s="1"/>
  <c r="S103" i="78"/>
  <c r="U150" i="85"/>
  <c r="U52" i="89"/>
  <c r="Y116" i="89"/>
  <c r="Y117" i="89" s="1"/>
  <c r="Q116" i="93"/>
  <c r="V113" i="93"/>
  <c r="AB58" i="80"/>
  <c r="AB59" i="80" s="1"/>
  <c r="AA204" i="82"/>
  <c r="AA205" i="82" s="1"/>
  <c r="V53" i="90"/>
  <c r="AA149" i="90"/>
  <c r="Y47" i="93"/>
  <c r="Y48" i="93" s="1"/>
  <c r="AB198" i="96"/>
  <c r="W86" i="81"/>
  <c r="X86" i="81"/>
  <c r="X50" i="79"/>
  <c r="AE168" i="83"/>
  <c r="W150" i="85"/>
  <c r="Z185" i="90"/>
  <c r="F60" i="56"/>
  <c r="D60" i="56"/>
  <c r="W196" i="75"/>
  <c r="Q199" i="75"/>
  <c r="U167" i="77"/>
  <c r="AC160" i="86"/>
  <c r="F41" i="50"/>
  <c r="D41" i="50"/>
  <c r="T117" i="89"/>
  <c r="Q118" i="89"/>
  <c r="T110" i="94"/>
  <c r="Y70" i="98"/>
  <c r="Z173" i="97"/>
  <c r="AC53" i="81"/>
  <c r="T83" i="86"/>
  <c r="T141" i="92"/>
  <c r="AA140" i="97"/>
  <c r="AA141" i="97" s="1"/>
  <c r="W104" i="78"/>
  <c r="X104" i="78"/>
  <c r="V104" i="78"/>
  <c r="Y104" i="78"/>
  <c r="AA169" i="87"/>
  <c r="S163" i="98"/>
  <c r="S164" i="98" s="1"/>
  <c r="AB153" i="98"/>
  <c r="AB163" i="98" s="1"/>
  <c r="W126" i="99"/>
  <c r="X126" i="99"/>
  <c r="T175" i="78"/>
  <c r="T176" i="78" s="1"/>
  <c r="V167" i="78"/>
  <c r="X167" i="78"/>
  <c r="Y167" i="78"/>
  <c r="F72" i="69"/>
  <c r="D72" i="69"/>
  <c r="U164" i="73"/>
  <c r="Y166" i="73"/>
  <c r="R123" i="90"/>
  <c r="V121" i="90"/>
  <c r="F42" i="50"/>
  <c r="D42" i="50"/>
  <c r="V51" i="96"/>
  <c r="Q54" i="96"/>
  <c r="V44" i="76"/>
  <c r="W44" i="76"/>
  <c r="X44" i="76"/>
  <c r="Y44" i="76"/>
  <c r="F67" i="68"/>
  <c r="D67" i="68"/>
  <c r="F44" i="50"/>
  <c r="D44" i="50"/>
  <c r="V112" i="95"/>
  <c r="U112" i="95"/>
  <c r="W112" i="95"/>
  <c r="X112" i="95"/>
  <c r="X121" i="96"/>
  <c r="W121" i="96"/>
  <c r="X41" i="97"/>
  <c r="Y41" i="97"/>
  <c r="S168" i="99"/>
  <c r="S169" i="99" s="1"/>
  <c r="W159" i="99"/>
  <c r="X159" i="99"/>
  <c r="D55" i="53"/>
  <c r="F55" i="53"/>
  <c r="W73" i="97"/>
  <c r="R76" i="97"/>
  <c r="V166" i="91"/>
  <c r="Q169" i="91"/>
  <c r="AE135" i="82"/>
  <c r="AD173" i="88"/>
  <c r="AB174" i="95"/>
  <c r="S174" i="95"/>
  <c r="S175" i="95" s="1"/>
  <c r="U166" i="95"/>
  <c r="V166" i="95"/>
  <c r="W166" i="95"/>
  <c r="X166" i="95"/>
  <c r="G41" i="47"/>
  <c r="E41" i="47"/>
  <c r="W104" i="76"/>
  <c r="Y104" i="76"/>
  <c r="V104" i="76"/>
  <c r="X104" i="76"/>
  <c r="V147" i="80"/>
  <c r="AD169" i="82"/>
  <c r="V168" i="83"/>
  <c r="AC214" i="82"/>
  <c r="AA47" i="93"/>
  <c r="R175" i="97"/>
  <c r="V173" i="97"/>
  <c r="AB168" i="99"/>
  <c r="U85" i="81"/>
  <c r="X87" i="81"/>
  <c r="AI169" i="82"/>
  <c r="D60" i="65"/>
  <c r="F60" i="65"/>
  <c r="D57" i="52"/>
  <c r="F57" i="52"/>
  <c r="AI204" i="75"/>
  <c r="AA116" i="89"/>
  <c r="AA125" i="89" s="1"/>
  <c r="V111" i="94"/>
  <c r="W111" i="94"/>
  <c r="X111" i="94"/>
  <c r="V139" i="79"/>
  <c r="W139" i="79"/>
  <c r="X139" i="79"/>
  <c r="Y42" i="84"/>
  <c r="Y141" i="92"/>
  <c r="Y142" i="92" s="1"/>
  <c r="Y132" i="73"/>
  <c r="U130" i="73"/>
  <c r="V187" i="85"/>
  <c r="U153" i="98"/>
  <c r="Q156" i="98" s="1"/>
  <c r="AE180" i="93"/>
  <c r="U126" i="99"/>
  <c r="Q128" i="99"/>
  <c r="T77" i="93"/>
  <c r="R77" i="95"/>
  <c r="R48" i="95"/>
  <c r="Q161" i="75"/>
  <c r="U160" i="75"/>
  <c r="AH204" i="75"/>
  <c r="AB179" i="74"/>
  <c r="U191" i="80"/>
  <c r="Z191" i="80"/>
  <c r="X191" i="80"/>
  <c r="X60" i="72"/>
  <c r="U60" i="72"/>
  <c r="W60" i="72"/>
  <c r="Q87" i="86"/>
  <c r="V84" i="86"/>
  <c r="Y101" i="73"/>
  <c r="U99" i="73"/>
  <c r="Q144" i="92"/>
  <c r="U142" i="92"/>
  <c r="R147" i="72"/>
  <c r="G91" i="39"/>
  <c r="E91" i="39"/>
  <c r="S51" i="75"/>
  <c r="AC125" i="99"/>
  <c r="AC168" i="99" s="1"/>
  <c r="AA131" i="84"/>
  <c r="U57" i="82"/>
  <c r="U78" i="95"/>
  <c r="W78" i="95"/>
  <c r="X78" i="95"/>
  <c r="Q167" i="95"/>
  <c r="T166" i="95"/>
  <c r="AA147" i="80"/>
  <c r="AA148" i="80" s="1"/>
  <c r="Z71" i="84"/>
  <c r="Z72" i="84" s="1"/>
  <c r="Z168" i="83"/>
  <c r="Z169" i="83" s="1"/>
  <c r="V82" i="85"/>
  <c r="Q84" i="85"/>
  <c r="T166" i="91"/>
  <c r="Q167" i="91"/>
  <c r="AB180" i="93"/>
  <c r="Z85" i="81"/>
  <c r="Z86" i="81" s="1"/>
  <c r="X94" i="82"/>
  <c r="Y94" i="82"/>
  <c r="S147" i="80"/>
  <c r="AB228" i="80"/>
  <c r="AB229" i="80" s="1"/>
  <c r="D55" i="61"/>
  <c r="F55" i="61"/>
  <c r="AC138" i="79"/>
  <c r="F74" i="69"/>
  <c r="D74" i="69"/>
  <c r="AA84" i="90"/>
  <c r="AA85" i="90" s="1"/>
  <c r="W117" i="89"/>
  <c r="S125" i="89"/>
  <c r="S126" i="89" s="1"/>
  <c r="X117" i="89"/>
  <c r="Z110" i="94"/>
  <c r="Z111" i="94" s="1"/>
  <c r="D44" i="57"/>
  <c r="F44" i="57"/>
  <c r="D56" i="51"/>
  <c r="F56" i="51"/>
  <c r="F58" i="51"/>
  <c r="D58" i="51"/>
  <c r="Q192" i="96"/>
  <c r="U190" i="96"/>
  <c r="T138" i="79"/>
  <c r="F71" i="69"/>
  <c r="D71" i="69"/>
  <c r="U140" i="97"/>
  <c r="Y131" i="73"/>
  <c r="X131" i="73"/>
  <c r="Z103" i="76"/>
  <c r="Z104" i="76" s="1"/>
  <c r="E71" i="46"/>
  <c r="G71" i="46"/>
  <c r="W51" i="96"/>
  <c r="X51" i="96"/>
  <c r="U47" i="94"/>
  <c r="Q49" i="94"/>
  <c r="D63" i="55"/>
  <c r="F63" i="55"/>
  <c r="Y45" i="73"/>
  <c r="U43" i="73"/>
  <c r="U190" i="72"/>
  <c r="X190" i="72"/>
  <c r="W190" i="72"/>
  <c r="U170" i="82"/>
  <c r="R171" i="82"/>
  <c r="T59" i="72"/>
  <c r="AA44" i="73"/>
  <c r="G41" i="45"/>
  <c r="E41" i="45"/>
  <c r="T52" i="86"/>
  <c r="Q53" i="86"/>
  <c r="U43" i="76"/>
  <c r="Q175" i="94"/>
  <c r="T174" i="94"/>
  <c r="T121" i="96"/>
  <c r="Q122" i="96"/>
  <c r="T158" i="99"/>
  <c r="Y153" i="98"/>
  <c r="Y154" i="98" s="1"/>
  <c r="V138" i="74"/>
  <c r="X138" i="74"/>
  <c r="Y138" i="74"/>
  <c r="AE135" i="83"/>
  <c r="Q86" i="96"/>
  <c r="U84" i="96"/>
  <c r="D41" i="49"/>
  <c r="F41" i="49"/>
  <c r="U103" i="76"/>
  <c r="AE204" i="75"/>
  <c r="Y100" i="72"/>
  <c r="Y83" i="85"/>
  <c r="U81" i="85"/>
  <c r="X100" i="73"/>
  <c r="W100" i="73"/>
  <c r="Y100" i="73"/>
  <c r="Q171" i="79"/>
  <c r="U169" i="79"/>
  <c r="V132" i="76"/>
  <c r="X132" i="76"/>
  <c r="Y132" i="76"/>
  <c r="E42" i="47"/>
  <c r="G42" i="47"/>
  <c r="AE175" i="76"/>
  <c r="Q153" i="85"/>
  <c r="V151" i="85"/>
  <c r="E40" i="47"/>
  <c r="G40" i="47"/>
  <c r="T214" i="82"/>
  <c r="T215" i="82" s="1"/>
  <c r="W205" i="82"/>
  <c r="X205" i="82"/>
  <c r="Y205" i="82"/>
  <c r="Y72" i="73"/>
  <c r="U70" i="73"/>
  <c r="Z44" i="77"/>
  <c r="Z45" i="77" s="1"/>
  <c r="AG195" i="75"/>
  <c r="AG204" i="75" s="1"/>
  <c r="D42" i="49"/>
  <c r="F42" i="49"/>
  <c r="V99" i="72"/>
  <c r="Z106" i="74"/>
  <c r="D63" i="65"/>
  <c r="F63" i="65"/>
  <c r="V72" i="76"/>
  <c r="X72" i="76"/>
  <c r="Y72" i="76"/>
  <c r="AA195" i="75"/>
  <c r="AA196" i="75" s="1"/>
  <c r="F48" i="63"/>
  <c r="D48" i="63"/>
  <c r="W135" i="77"/>
  <c r="T204" i="75"/>
  <c r="T205" i="75" s="1"/>
  <c r="Y196" i="75"/>
  <c r="V196" i="75"/>
  <c r="G44" i="47"/>
  <c r="E44" i="47"/>
  <c r="F63" i="70"/>
  <c r="D63" i="70"/>
  <c r="AC150" i="85"/>
  <c r="AC83" i="86"/>
  <c r="X76" i="91"/>
  <c r="W76" i="91"/>
  <c r="X139" i="94"/>
  <c r="W139" i="94"/>
  <c r="F47" i="57"/>
  <c r="D47" i="57"/>
  <c r="Y73" i="74"/>
  <c r="X73" i="74"/>
  <c r="V73" i="74"/>
  <c r="D47" i="48"/>
  <c r="F47" i="48"/>
  <c r="Q88" i="89"/>
  <c r="U86" i="89"/>
  <c r="Z51" i="92"/>
  <c r="Q50" i="91"/>
  <c r="U48" i="91"/>
  <c r="U51" i="92"/>
  <c r="Q53" i="92"/>
  <c r="F53" i="53"/>
  <c r="D53" i="53"/>
  <c r="D65" i="67"/>
  <c r="F65" i="67"/>
  <c r="V52" i="86"/>
  <c r="W52" i="86"/>
  <c r="X52" i="86"/>
  <c r="D56" i="61"/>
  <c r="F56" i="61"/>
  <c r="F54" i="51"/>
  <c r="D54" i="51"/>
  <c r="T47" i="94"/>
  <c r="Q48" i="94"/>
  <c r="AA43" i="76"/>
  <c r="AA44" i="76" s="1"/>
  <c r="W125" i="86"/>
  <c r="X125" i="86"/>
  <c r="V125" i="86"/>
  <c r="Y173" i="94"/>
  <c r="Y174" i="94" s="1"/>
  <c r="F49" i="54"/>
  <c r="D49" i="54"/>
  <c r="R50" i="96"/>
  <c r="T131" i="84"/>
  <c r="R133" i="84" s="1"/>
  <c r="R138" i="84" s="1"/>
  <c r="V48" i="79"/>
  <c r="X48" i="79"/>
  <c r="W48" i="79"/>
  <c r="Z57" i="82"/>
  <c r="Z58" i="82" s="1"/>
  <c r="U135" i="82"/>
  <c r="F71" i="68"/>
  <c r="D71" i="68"/>
  <c r="E40" i="45"/>
  <c r="G40" i="45"/>
  <c r="AA57" i="87"/>
  <c r="X151" i="85"/>
  <c r="Y151" i="85"/>
  <c r="AD215" i="87"/>
  <c r="AD84" i="90"/>
  <c r="Y165" i="95"/>
  <c r="Y166" i="95" s="1"/>
  <c r="F66" i="67"/>
  <c r="D66" i="67"/>
  <c r="AA103" i="76"/>
  <c r="AA104" i="76" s="1"/>
  <c r="AC75" i="79"/>
  <c r="Y148" i="80"/>
  <c r="X148" i="80"/>
  <c r="U148" i="80"/>
  <c r="Z148" i="80"/>
  <c r="AA71" i="84"/>
  <c r="D64" i="67"/>
  <c r="F64" i="67"/>
  <c r="Y165" i="91"/>
  <c r="Y166" i="91" s="1"/>
  <c r="AC152" i="96"/>
  <c r="AC198" i="96" s="1"/>
  <c r="AB182" i="97"/>
  <c r="R97" i="83"/>
  <c r="U96" i="83"/>
  <c r="AA94" i="82"/>
  <c r="T160" i="86"/>
  <c r="AB47" i="88"/>
  <c r="T108" i="91"/>
  <c r="U139" i="95"/>
  <c r="W139" i="95"/>
  <c r="V139" i="95"/>
  <c r="X139" i="95"/>
  <c r="U152" i="96"/>
  <c r="F60" i="52"/>
  <c r="D60" i="52"/>
  <c r="F56" i="56"/>
  <c r="D56" i="56"/>
  <c r="Z138" i="79"/>
  <c r="Z139" i="79" s="1"/>
  <c r="Q72" i="98"/>
  <c r="U70" i="98"/>
  <c r="AA131" i="73"/>
  <c r="Z103" i="78"/>
  <c r="Z104" i="78" s="1"/>
  <c r="Q53" i="96"/>
  <c r="U51" i="96"/>
  <c r="AA77" i="93"/>
  <c r="R99" i="98"/>
  <c r="U53" i="90"/>
  <c r="W140" i="93"/>
  <c r="X140" i="93"/>
  <c r="U140" i="93"/>
  <c r="Q149" i="72"/>
  <c r="T148" i="72"/>
  <c r="G37" i="44"/>
  <c r="E37" i="44"/>
  <c r="U167" i="78"/>
  <c r="Q168" i="78"/>
  <c r="G90" i="39"/>
  <c r="E90" i="39"/>
  <c r="AE214" i="82"/>
  <c r="W106" i="74"/>
  <c r="Y106" i="74"/>
  <c r="V106" i="74"/>
  <c r="X106" i="74"/>
  <c r="R71" i="84"/>
  <c r="AB103" i="80"/>
  <c r="Q163" i="86"/>
  <c r="U161" i="86"/>
  <c r="G42" i="45"/>
  <c r="E42" i="45"/>
  <c r="Y189" i="81"/>
  <c r="Z81" i="85"/>
  <c r="Z82" i="85" s="1"/>
  <c r="Z148" i="75"/>
  <c r="Z159" i="75" s="1"/>
  <c r="Z160" i="75" s="1"/>
  <c r="W159" i="75"/>
  <c r="V60" i="72"/>
  <c r="AA74" i="78"/>
  <c r="AA71" i="73"/>
  <c r="T175" i="76"/>
  <c r="T176" i="76" s="1"/>
  <c r="V166" i="76"/>
  <c r="Y166" i="76"/>
  <c r="X166" i="76"/>
  <c r="AA71" i="76"/>
  <c r="AA72" i="76" s="1"/>
  <c r="AD204" i="75"/>
  <c r="Y197" i="75"/>
  <c r="U195" i="75"/>
  <c r="F66" i="70"/>
  <c r="D66" i="70"/>
  <c r="AD168" i="83"/>
  <c r="S148" i="90"/>
  <c r="Z148" i="90"/>
  <c r="Z149" i="90" s="1"/>
  <c r="W51" i="92"/>
  <c r="X51" i="92"/>
  <c r="T112" i="93"/>
  <c r="U49" i="95"/>
  <c r="V49" i="95"/>
  <c r="W49" i="95"/>
  <c r="X49" i="95"/>
  <c r="AA73" i="74"/>
  <c r="Y74" i="77"/>
  <c r="V74" i="77"/>
  <c r="X74" i="77"/>
  <c r="U139" i="94"/>
  <c r="R83" i="96"/>
  <c r="V141" i="97"/>
  <c r="R143" i="97"/>
  <c r="Z51" i="86"/>
  <c r="Z52" i="86" s="1"/>
  <c r="R152" i="90"/>
  <c r="W149" i="90"/>
  <c r="W47" i="94"/>
  <c r="X47" i="94"/>
  <c r="V47" i="94"/>
  <c r="Z51" i="96"/>
  <c r="T53" i="99"/>
  <c r="T124" i="86"/>
  <c r="F68" i="68"/>
  <c r="D68" i="68"/>
  <c r="AA173" i="94"/>
  <c r="AA184" i="94" s="1"/>
  <c r="R123" i="98"/>
  <c r="R59" i="72"/>
  <c r="V51" i="92"/>
  <c r="AC140" i="97"/>
  <c r="U107" i="97"/>
  <c r="R108" i="97"/>
  <c r="Z205" i="87"/>
  <c r="Z206" i="87" s="1"/>
  <c r="V84" i="90"/>
  <c r="AD147" i="80"/>
  <c r="T178" i="83"/>
  <c r="T179" i="83" s="1"/>
  <c r="Y169" i="83"/>
  <c r="X169" i="83"/>
  <c r="U125" i="86"/>
  <c r="F70" i="68"/>
  <c r="D70" i="68"/>
  <c r="W121" i="90"/>
  <c r="U121" i="90"/>
  <c r="R122" i="90"/>
  <c r="AA165" i="91"/>
  <c r="T182" i="97"/>
  <c r="T183" i="97" s="1"/>
  <c r="U173" i="97"/>
  <c r="R174" i="97"/>
  <c r="D45" i="57"/>
  <c r="F45" i="57"/>
  <c r="W131" i="73"/>
  <c r="F69" i="64"/>
  <c r="D69" i="64"/>
  <c r="W169" i="87"/>
  <c r="Q172" i="87"/>
  <c r="Z160" i="86"/>
  <c r="Z161" i="86" s="1"/>
  <c r="X108" i="88"/>
  <c r="W108" i="88"/>
  <c r="V109" i="91"/>
  <c r="X109" i="91"/>
  <c r="W109" i="91"/>
  <c r="T138" i="95"/>
  <c r="S169" i="74"/>
  <c r="D57" i="51"/>
  <c r="F57" i="51"/>
  <c r="Q159" i="81"/>
  <c r="R159" i="81" s="1"/>
  <c r="V156" i="81"/>
  <c r="S135" i="87"/>
  <c r="T47" i="91"/>
  <c r="AB173" i="73"/>
  <c r="AD177" i="77"/>
  <c r="AA90" i="87"/>
  <c r="Z47" i="91"/>
  <c r="Z48" i="91" s="1"/>
  <c r="R112" i="93"/>
  <c r="F57" i="56"/>
  <c r="D57" i="56"/>
  <c r="AE182" i="97"/>
  <c r="X78" i="93"/>
  <c r="U78" i="93"/>
  <c r="W78" i="93"/>
  <c r="AA126" i="75"/>
  <c r="Z147" i="72"/>
  <c r="Z148" i="72" s="1"/>
  <c r="V59" i="80"/>
  <c r="Q61" i="80"/>
  <c r="G88" i="39"/>
  <c r="E88" i="39"/>
  <c r="Q105" i="80"/>
  <c r="V103" i="80"/>
  <c r="Q191" i="81"/>
  <c r="R191" i="81" s="1"/>
  <c r="U189" i="81"/>
  <c r="E43" i="47"/>
  <c r="G43" i="47"/>
  <c r="U85" i="90"/>
  <c r="R86" i="90"/>
  <c r="U72" i="74"/>
  <c r="AC206" i="86"/>
  <c r="Z205" i="86" s="1"/>
  <c r="AE241" i="72"/>
  <c r="X160" i="75"/>
  <c r="U135" i="77"/>
  <c r="Y137" i="77"/>
  <c r="W106" i="77"/>
  <c r="V106" i="77"/>
  <c r="Q109" i="77" s="1"/>
  <c r="X106" i="77"/>
  <c r="Y106" i="77"/>
  <c r="U43" i="74"/>
  <c r="V96" i="83"/>
  <c r="R98" i="83"/>
  <c r="AA82" i="85"/>
  <c r="AD59" i="72"/>
  <c r="AD241" i="72" s="1"/>
  <c r="Z240" i="72" s="1"/>
  <c r="AE178" i="79"/>
  <c r="V45" i="78"/>
  <c r="Y45" i="78"/>
  <c r="X45" i="78"/>
  <c r="W45" i="78"/>
  <c r="G69" i="46"/>
  <c r="E69" i="46"/>
  <c r="AB190" i="80"/>
  <c r="AB191" i="80" s="1"/>
  <c r="F45" i="66"/>
  <c r="D45" i="66"/>
  <c r="U165" i="76"/>
  <c r="AB71" i="76"/>
  <c r="AB175" i="76" s="1"/>
  <c r="AA174" i="76" s="1"/>
  <c r="W165" i="73"/>
  <c r="Z195" i="75"/>
  <c r="Z196" i="75" s="1"/>
  <c r="F45" i="63"/>
  <c r="D45" i="63"/>
  <c r="Z90" i="87"/>
  <c r="T50" i="92"/>
  <c r="Y112" i="93"/>
  <c r="Y113" i="93" s="1"/>
  <c r="X50" i="95"/>
  <c r="T48" i="95"/>
  <c r="W84" i="96"/>
  <c r="X84" i="96"/>
  <c r="AB72" i="74"/>
  <c r="W169" i="83"/>
  <c r="R172" i="83"/>
  <c r="D54" i="53"/>
  <c r="F54" i="53"/>
  <c r="Q199" i="86"/>
  <c r="U197" i="86"/>
  <c r="W54" i="99"/>
  <c r="X54" i="99"/>
  <c r="S43" i="74"/>
  <c r="V140" i="93"/>
  <c r="Q143" i="93"/>
  <c r="R143" i="93" s="1"/>
  <c r="S184" i="94"/>
  <c r="S185" i="94" s="1"/>
  <c r="W174" i="94"/>
  <c r="X174" i="94"/>
  <c r="Q162" i="99"/>
  <c r="V159" i="99"/>
  <c r="Z131" i="84"/>
  <c r="Z135" i="77"/>
  <c r="Z136" i="77" s="1"/>
  <c r="F70" i="64"/>
  <c r="D70" i="64"/>
  <c r="U104" i="84"/>
  <c r="R107" i="84" s="1"/>
  <c r="R124" i="86"/>
  <c r="S187" i="85"/>
  <c r="X109" i="88"/>
  <c r="U107" i="88"/>
  <c r="U205" i="87"/>
  <c r="T164" i="88"/>
  <c r="D59" i="61"/>
  <c r="F59" i="61"/>
  <c r="U86" i="99"/>
  <c r="Q88" i="99"/>
  <c r="F47" i="63"/>
  <c r="D47" i="63"/>
  <c r="Z47" i="88"/>
  <c r="Z48" i="88" s="1"/>
  <c r="T188" i="81"/>
  <c r="U94" i="82"/>
  <c r="R95" i="82"/>
  <c r="S93" i="82"/>
  <c r="AF124" i="86"/>
  <c r="AF206" i="86" s="1"/>
  <c r="S174" i="91"/>
  <c r="S175" i="91" s="1"/>
  <c r="W166" i="91"/>
  <c r="U166" i="91"/>
  <c r="X166" i="91"/>
  <c r="AD120" i="96"/>
  <c r="S170" i="87"/>
  <c r="Q175" i="87"/>
  <c r="T107" i="88"/>
  <c r="Y108" i="91"/>
  <c r="Y109" i="91" s="1"/>
  <c r="F56" i="52"/>
  <c r="D56" i="52"/>
  <c r="AD152" i="96"/>
  <c r="AD198" i="96" s="1"/>
  <c r="F47" i="66"/>
  <c r="D47" i="66"/>
  <c r="AD206" i="86"/>
  <c r="AE125" i="89"/>
  <c r="AD184" i="94"/>
  <c r="AA152" i="96"/>
  <c r="R53" i="81"/>
  <c r="AB148" i="80"/>
  <c r="V48" i="91"/>
  <c r="X48" i="91"/>
  <c r="W48" i="91"/>
  <c r="T85" i="81"/>
  <c r="AE89" i="87"/>
  <c r="AF84" i="90"/>
  <c r="R120" i="96"/>
  <c r="AD50" i="96"/>
  <c r="AE168" i="99"/>
  <c r="D48" i="54"/>
  <c r="F48" i="54"/>
  <c r="Z53" i="90"/>
  <c r="Z54" i="90" s="1"/>
  <c r="D47" i="54"/>
  <c r="F47" i="54"/>
  <c r="AI168" i="99"/>
  <c r="U132" i="76"/>
  <c r="Q133" i="76"/>
  <c r="R60" i="83"/>
  <c r="U59" i="83"/>
  <c r="S167" i="77"/>
  <c r="AA165" i="76"/>
  <c r="AA166" i="76" s="1"/>
  <c r="AC204" i="75"/>
  <c r="AA203" i="75" s="1"/>
  <c r="T83" i="96"/>
  <c r="X85" i="96"/>
  <c r="T86" i="89"/>
  <c r="Q87" i="89"/>
  <c r="X142" i="92"/>
  <c r="W142" i="92"/>
  <c r="Y100" i="98"/>
  <c r="G70" i="46"/>
  <c r="E70" i="46"/>
  <c r="W86" i="89"/>
  <c r="X86" i="89"/>
  <c r="F56" i="53"/>
  <c r="D56" i="53"/>
  <c r="R138" i="94"/>
  <c r="Z72" i="74"/>
  <c r="Z73" i="74" s="1"/>
  <c r="AB179" i="92"/>
  <c r="V78" i="95"/>
  <c r="Q81" i="95"/>
  <c r="AC182" i="97"/>
  <c r="Z41" i="97"/>
  <c r="W137" i="74"/>
  <c r="G87" i="39"/>
  <c r="E87" i="39"/>
  <c r="Z137" i="74"/>
  <c r="Z138" i="74" s="1"/>
  <c r="U44" i="77"/>
  <c r="S168" i="83"/>
  <c r="Z135" i="87"/>
  <c r="Z136" i="87" s="1"/>
  <c r="S173" i="88"/>
  <c r="S174" i="88" s="1"/>
  <c r="V165" i="88"/>
  <c r="W165" i="88"/>
  <c r="X165" i="88"/>
  <c r="AA53" i="90"/>
  <c r="AA54" i="90" s="1"/>
  <c r="AF175" i="76"/>
  <c r="F57" i="61"/>
  <c r="D57" i="61"/>
  <c r="AB194" i="90"/>
  <c r="Q123" i="96"/>
  <c r="U121" i="96"/>
  <c r="T70" i="98"/>
  <c r="Q71" i="98"/>
  <c r="X70" i="98"/>
  <c r="W161" i="86"/>
  <c r="X161" i="86"/>
  <c r="U169" i="87"/>
  <c r="AA108" i="91"/>
  <c r="AF184" i="90"/>
  <c r="Q79" i="91"/>
  <c r="V76" i="91"/>
  <c r="Z47" i="94"/>
  <c r="W153" i="96"/>
  <c r="X153" i="96"/>
  <c r="Y136" i="82"/>
  <c r="W136" i="82"/>
  <c r="X136" i="82"/>
  <c r="F48" i="59"/>
  <c r="D48" i="59"/>
  <c r="Y47" i="91"/>
  <c r="Y48" i="91" s="1"/>
  <c r="F61" i="55"/>
  <c r="D61" i="55"/>
  <c r="T153" i="98"/>
  <c r="Q155" i="98" s="1"/>
  <c r="R53" i="99"/>
  <c r="AB53" i="90"/>
  <c r="R189" i="96"/>
  <c r="AC137" i="74"/>
  <c r="AC179" i="74" s="1"/>
  <c r="AA167" i="78"/>
  <c r="Y82" i="85"/>
  <c r="X82" i="85"/>
  <c r="G38" i="44"/>
  <c r="E38" i="44"/>
  <c r="D64" i="65"/>
  <c r="F64" i="65"/>
  <c r="T76" i="91"/>
  <c r="Q77" i="91"/>
  <c r="D59" i="52"/>
  <c r="F59" i="52"/>
  <c r="U148" i="72"/>
  <c r="W148" i="72"/>
  <c r="X148" i="72"/>
  <c r="F46" i="63"/>
  <c r="D46" i="63"/>
  <c r="AB214" i="82"/>
  <c r="Y71" i="73"/>
  <c r="X71" i="73"/>
  <c r="V190" i="72"/>
  <c r="Q193" i="72"/>
  <c r="V118" i="85"/>
  <c r="Q120" i="85"/>
  <c r="V44" i="73"/>
  <c r="G73" i="46"/>
  <c r="E73" i="46"/>
  <c r="V136" i="77"/>
  <c r="X136" i="77"/>
  <c r="Y136" i="77"/>
  <c r="G89" i="39"/>
  <c r="E89" i="39"/>
  <c r="U106" i="77"/>
  <c r="Q107" i="77"/>
  <c r="AA44" i="74"/>
  <c r="Z131" i="76"/>
  <c r="Z132" i="76" s="1"/>
  <c r="AE53" i="81"/>
  <c r="AC188" i="81"/>
  <c r="AC198" i="81" s="1"/>
  <c r="X96" i="83"/>
  <c r="Y96" i="83"/>
  <c r="F67" i="64"/>
  <c r="D67" i="64"/>
  <c r="F44" i="63"/>
  <c r="D44" i="63"/>
  <c r="V169" i="82"/>
  <c r="AA150" i="85"/>
  <c r="AA151" i="85" s="1"/>
  <c r="V131" i="73"/>
  <c r="Q133" i="73"/>
  <c r="Q169" i="76"/>
  <c r="W166" i="76"/>
  <c r="U73" i="78"/>
  <c r="AH241" i="72"/>
  <c r="U85" i="75"/>
  <c r="U71" i="76"/>
  <c r="Z71" i="73"/>
  <c r="Z168" i="79"/>
  <c r="Z169" i="79" s="1"/>
  <c r="Y50" i="92"/>
  <c r="Y51" i="92" s="1"/>
  <c r="Y48" i="95"/>
  <c r="Y49" i="95" s="1"/>
  <c r="AA136" i="77"/>
  <c r="W168" i="77"/>
  <c r="Q171" i="77"/>
  <c r="AF189" i="72"/>
  <c r="AF241" i="72" s="1"/>
  <c r="AA106" i="77"/>
  <c r="AB43" i="74"/>
  <c r="S132" i="78"/>
  <c r="W191" i="80"/>
  <c r="Q194" i="80"/>
  <c r="Z96" i="83"/>
  <c r="W59" i="83"/>
  <c r="X59" i="83"/>
  <c r="Y59" i="83"/>
  <c r="Z111" i="79"/>
  <c r="Z112" i="79" s="1"/>
  <c r="Z169" i="82"/>
  <c r="Z170" i="82" s="1"/>
  <c r="AG241" i="72"/>
  <c r="E39" i="44"/>
  <c r="G39" i="44"/>
  <c r="AC177" i="77"/>
  <c r="X74" i="78"/>
  <c r="Y74" i="78"/>
  <c r="V74" i="78"/>
  <c r="AC43" i="73"/>
  <c r="AA85" i="75"/>
  <c r="AA86" i="75" s="1"/>
  <c r="AC175" i="78"/>
  <c r="U71" i="84"/>
  <c r="R74" i="84" s="1"/>
  <c r="R78" i="84" s="1"/>
  <c r="AC175" i="76"/>
  <c r="AE237" i="80"/>
  <c r="AA165" i="73"/>
  <c r="AB178" i="79"/>
  <c r="Z177" i="79" s="1"/>
  <c r="F62" i="65"/>
  <c r="D62" i="65"/>
  <c r="AC50" i="85"/>
  <c r="AC196" i="85" s="1"/>
  <c r="W136" i="83"/>
  <c r="X136" i="83"/>
  <c r="Y136" i="83"/>
  <c r="AA168" i="83"/>
  <c r="AA169" i="83" s="1"/>
  <c r="U113" i="93"/>
  <c r="W113" i="93"/>
  <c r="AA48" i="95"/>
  <c r="AA174" i="95" s="1"/>
  <c r="Y83" i="96"/>
  <c r="Y84" i="96" s="1"/>
  <c r="R50" i="92"/>
  <c r="R75" i="91"/>
  <c r="Z48" i="95"/>
  <c r="Z49" i="95" s="1"/>
  <c r="F60" i="55"/>
  <c r="D60" i="55"/>
  <c r="Q158" i="81"/>
  <c r="R158" i="81" s="1"/>
  <c r="U156" i="81"/>
  <c r="AG206" i="86"/>
  <c r="Y125" i="81"/>
  <c r="Q87" i="96"/>
  <c r="V84" i="96"/>
  <c r="W132" i="78"/>
  <c r="S95" i="83"/>
  <c r="Z50" i="85"/>
  <c r="Z51" i="85" s="1"/>
  <c r="D59" i="55"/>
  <c r="F59" i="55"/>
  <c r="U40" i="97"/>
  <c r="S150" i="85"/>
  <c r="F33" i="60"/>
  <c r="D33" i="60"/>
  <c r="AF168" i="99"/>
  <c r="V45" i="77"/>
  <c r="X45" i="77"/>
  <c r="Y45" i="77"/>
  <c r="W45" i="77"/>
  <c r="U135" i="87"/>
  <c r="T215" i="87"/>
  <c r="T216" i="87" s="1"/>
  <c r="V206" i="87"/>
  <c r="X206" i="87"/>
  <c r="Y206" i="87"/>
  <c r="Y164" i="88"/>
  <c r="Y165" i="88" s="1"/>
  <c r="Q82" i="92"/>
  <c r="U80" i="92"/>
  <c r="Q156" i="96"/>
  <c r="V153" i="96"/>
  <c r="AB198" i="81"/>
  <c r="U54" i="81"/>
  <c r="Q56" i="81"/>
  <c r="R56" i="81" s="1"/>
  <c r="X118" i="85"/>
  <c r="Y118" i="85"/>
  <c r="W135" i="91"/>
  <c r="X135" i="91"/>
  <c r="Z70" i="98"/>
  <c r="AA107" i="88"/>
  <c r="T189" i="96"/>
  <c r="T152" i="96"/>
  <c r="F59" i="56"/>
  <c r="D59" i="56"/>
  <c r="Z135" i="82"/>
  <c r="Z136" i="82" s="1"/>
  <c r="AA135" i="82"/>
  <c r="AA136" i="82" s="1"/>
  <c r="AE206" i="86"/>
  <c r="AA47" i="91"/>
  <c r="AB171" i="84"/>
  <c r="S180" i="93"/>
  <c r="S181" i="93" s="1"/>
  <c r="U173" i="93"/>
  <c r="X173" i="93"/>
  <c r="W173" i="93"/>
  <c r="AC174" i="91"/>
  <c r="D58" i="52"/>
  <c r="F58" i="52"/>
  <c r="R126" i="98"/>
  <c r="AA179" i="92"/>
  <c r="Z112" i="92"/>
  <c r="Z113" i="92" s="1"/>
  <c r="U125" i="81"/>
  <c r="Q127" i="81"/>
  <c r="R127" i="81" s="1"/>
  <c r="F58" i="56"/>
  <c r="D58" i="56"/>
  <c r="AC124" i="81"/>
  <c r="W135" i="88"/>
  <c r="V135" i="88"/>
  <c r="F46" i="66"/>
  <c r="D46" i="66"/>
  <c r="AB50" i="85"/>
  <c r="R111" i="84"/>
  <c r="V161" i="86"/>
  <c r="Q164" i="86"/>
  <c r="AG196" i="85"/>
  <c r="R88" i="90"/>
  <c r="W85" i="90"/>
  <c r="Z108" i="91"/>
  <c r="Z109" i="91" s="1"/>
  <c r="AA44" i="77"/>
  <c r="AA45" i="77" s="1"/>
  <c r="V136" i="87"/>
  <c r="W136" i="87"/>
  <c r="X136" i="87"/>
  <c r="Y136" i="87"/>
  <c r="D47" i="59"/>
  <c r="F47" i="59"/>
  <c r="AA164" i="88"/>
  <c r="AA173" i="88" s="1"/>
  <c r="Z172" i="88" s="1"/>
  <c r="S71" i="76"/>
  <c r="F34" i="60"/>
  <c r="D34" i="60"/>
  <c r="Z53" i="81"/>
  <c r="Z54" i="81" s="1"/>
  <c r="U117" i="85"/>
  <c r="Z56" i="87"/>
  <c r="Y134" i="78"/>
  <c r="U132" i="78"/>
  <c r="Q121" i="85"/>
  <c r="W118" i="85"/>
  <c r="AA136" i="87"/>
  <c r="Q176" i="94"/>
  <c r="U174" i="94"/>
  <c r="S102" i="80"/>
  <c r="S73" i="77"/>
  <c r="V77" i="88"/>
  <c r="X77" i="88"/>
  <c r="W77" i="88"/>
  <c r="D50" i="54"/>
  <c r="F50" i="54"/>
  <c r="Y189" i="96"/>
  <c r="Y190" i="96" s="1"/>
  <c r="Q124" i="96"/>
  <c r="V121" i="96"/>
  <c r="Y152" i="96"/>
  <c r="Y153" i="96" s="1"/>
  <c r="V135" i="82"/>
  <c r="F73" i="69"/>
  <c r="D73" i="69"/>
  <c r="Q51" i="93"/>
  <c r="R51" i="93" s="1"/>
  <c r="V48" i="93"/>
  <c r="Y85" i="81"/>
  <c r="Y86" i="81" s="1"/>
  <c r="S171" i="84"/>
  <c r="S172" i="84" s="1"/>
  <c r="D58" i="61"/>
  <c r="F58" i="61"/>
  <c r="T172" i="93"/>
  <c r="Q137" i="91"/>
  <c r="U135" i="91"/>
  <c r="AC163" i="98"/>
  <c r="S179" i="92"/>
  <c r="S180" i="92" s="1"/>
  <c r="V172" i="92"/>
  <c r="U172" i="92"/>
  <c r="W172" i="92"/>
  <c r="X172" i="92"/>
  <c r="W44" i="74"/>
  <c r="Y44" i="74"/>
  <c r="X44" i="74"/>
  <c r="V44" i="74"/>
  <c r="Y58" i="82"/>
  <c r="X58" i="82"/>
  <c r="W58" i="82"/>
  <c r="R61" i="83"/>
  <c r="V59" i="83"/>
  <c r="AC171" i="84"/>
  <c r="G40" i="44"/>
  <c r="E40" i="44"/>
  <c r="Z44" i="78"/>
  <c r="Z45" i="78" s="1"/>
  <c r="U100" i="72"/>
  <c r="X100" i="72"/>
  <c r="W100" i="72"/>
  <c r="X86" i="75"/>
  <c r="V86" i="75"/>
  <c r="Y86" i="75"/>
  <c r="T76" i="79"/>
  <c r="Q77" i="79"/>
  <c r="T168" i="79"/>
  <c r="V135" i="83"/>
  <c r="Y137" i="83"/>
  <c r="Q140" i="94"/>
  <c r="T139" i="94"/>
  <c r="R144" i="97"/>
  <c r="W141" i="97"/>
  <c r="AA159" i="75"/>
  <c r="AA160" i="75" s="1"/>
  <c r="V165" i="73"/>
  <c r="Q167" i="73"/>
  <c r="U170" i="74"/>
  <c r="Q171" i="74"/>
  <c r="V57" i="82"/>
  <c r="T237" i="80"/>
  <c r="T238" i="80" s="1"/>
  <c r="U229" i="80"/>
  <c r="X229" i="80"/>
  <c r="Z229" i="80"/>
  <c r="R173" i="82"/>
  <c r="W170" i="82"/>
  <c r="Z58" i="83"/>
  <c r="Z59" i="83" s="1"/>
  <c r="AD190" i="80"/>
  <c r="AD237" i="80" s="1"/>
  <c r="AB236" i="80" s="1"/>
  <c r="Y170" i="82"/>
  <c r="X170" i="82"/>
  <c r="T99" i="72"/>
  <c r="S241" i="72"/>
  <c r="S242" i="72" s="1"/>
  <c r="T189" i="72"/>
  <c r="Z44" i="73"/>
  <c r="Z74" i="75"/>
  <c r="Z85" i="75" s="1"/>
  <c r="Z86" i="75" s="1"/>
  <c r="W85" i="75"/>
  <c r="D48" i="48"/>
  <c r="F48" i="48"/>
  <c r="Z188" i="81"/>
  <c r="Z189" i="81" s="1"/>
  <c r="Y189" i="72"/>
  <c r="Y190" i="72" s="1"/>
  <c r="X125" i="81"/>
  <c r="W125" i="81"/>
  <c r="S178" i="79"/>
  <c r="S179" i="79" s="1"/>
  <c r="V169" i="79"/>
  <c r="W169" i="79"/>
  <c r="X169" i="79"/>
  <c r="AC173" i="88"/>
  <c r="S135" i="83"/>
  <c r="R134" i="88"/>
  <c r="U111" i="94"/>
  <c r="Q113" i="94"/>
  <c r="W156" i="81"/>
  <c r="X156" i="81"/>
  <c r="F40" i="49"/>
  <c r="D40" i="49"/>
  <c r="W102" i="80"/>
  <c r="D51" i="59"/>
  <c r="F51" i="59"/>
  <c r="T134" i="88"/>
  <c r="E39" i="45"/>
  <c r="G39" i="45"/>
  <c r="R104" i="84"/>
  <c r="W51" i="85"/>
  <c r="X51" i="85"/>
  <c r="Y51" i="85"/>
  <c r="V139" i="94"/>
  <c r="Q142" i="94"/>
  <c r="Z174" i="94"/>
  <c r="Z83" i="96"/>
  <c r="Z84" i="96" s="1"/>
  <c r="U54" i="99"/>
  <c r="Q56" i="99"/>
  <c r="W72" i="74"/>
  <c r="T196" i="85"/>
  <c r="T197" i="85" s="1"/>
  <c r="X188" i="85"/>
  <c r="W188" i="85"/>
  <c r="Y188" i="85"/>
  <c r="F67" i="67"/>
  <c r="D67" i="67"/>
  <c r="L136" i="91"/>
  <c r="K136" i="91"/>
  <c r="I136" i="91"/>
  <c r="U184" i="90"/>
  <c r="F51" i="54"/>
  <c r="D51" i="54"/>
  <c r="R127" i="98"/>
  <c r="Z166" i="78"/>
  <c r="Z167" i="78" s="1"/>
  <c r="AB44" i="77"/>
  <c r="AB177" i="77" s="1"/>
  <c r="AA176" i="77" s="1"/>
  <c r="V85" i="81"/>
  <c r="Q89" i="81" s="1"/>
  <c r="R89" i="81" s="1"/>
  <c r="AE135" i="87"/>
  <c r="AE215" i="87" s="1"/>
  <c r="AB135" i="87"/>
  <c r="AE124" i="81"/>
  <c r="AE198" i="81" s="1"/>
  <c r="X54" i="81"/>
  <c r="W54" i="81"/>
  <c r="F64" i="70"/>
  <c r="D64" i="70"/>
  <c r="Z117" i="85"/>
  <c r="Z118" i="85" s="1"/>
  <c r="AB56" i="87"/>
  <c r="AB215" i="87" s="1"/>
  <c r="AA214" i="87" s="1"/>
  <c r="AA133" i="78"/>
  <c r="U148" i="90"/>
  <c r="E43" i="45"/>
  <c r="G43" i="45"/>
  <c r="T76" i="88"/>
  <c r="Q115" i="92"/>
  <c r="U113" i="92"/>
  <c r="U75" i="94"/>
  <c r="Q77" i="94"/>
  <c r="AA198" i="96"/>
  <c r="Z77" i="95"/>
  <c r="Z78" i="95" s="1"/>
  <c r="AD214" i="82"/>
  <c r="R188" i="90"/>
  <c r="V80" i="92"/>
  <c r="Q209" i="87"/>
  <c r="W206" i="87"/>
  <c r="S164" i="73"/>
  <c r="S125" i="75"/>
  <c r="AC168" i="79"/>
  <c r="AC178" i="79" s="1"/>
  <c r="U161" i="84"/>
  <c r="R164" i="84" s="1"/>
  <c r="R168" i="84" s="1"/>
  <c r="Y172" i="93"/>
  <c r="Y173" i="93" s="1"/>
  <c r="F46" i="57"/>
  <c r="D46" i="57"/>
  <c r="T171" i="92"/>
  <c r="X113" i="92"/>
  <c r="V113" i="92"/>
  <c r="W113" i="92"/>
  <c r="W126" i="75"/>
  <c r="V126" i="75"/>
  <c r="Y126" i="75"/>
  <c r="R231" i="72"/>
  <c r="T48" i="79"/>
  <c r="Q49" i="79"/>
  <c r="AA58" i="82"/>
  <c r="Q231" i="80"/>
  <c r="V229" i="80"/>
  <c r="U74" i="77"/>
  <c r="Q75" i="77"/>
  <c r="Q193" i="80"/>
  <c r="V191" i="80"/>
  <c r="F71" i="64"/>
  <c r="D71" i="64"/>
  <c r="U205" i="82"/>
  <c r="R206" i="82"/>
  <c r="Z100" i="72"/>
  <c r="Z190" i="72"/>
  <c r="F65" i="70"/>
  <c r="D65" i="70"/>
  <c r="F61" i="65"/>
  <c r="D61" i="65"/>
  <c r="S85" i="75"/>
  <c r="AI214" i="82"/>
  <c r="Z124" i="81"/>
  <c r="Z125" i="81" s="1"/>
  <c r="V148" i="72"/>
  <c r="Z59" i="72"/>
  <c r="Z60" i="72" s="1"/>
  <c r="F43" i="49"/>
  <c r="D43" i="49"/>
  <c r="W52" i="75"/>
  <c r="V52" i="75"/>
  <c r="Y52" i="75"/>
  <c r="T53" i="81"/>
  <c r="F39" i="49"/>
  <c r="D39" i="49"/>
  <c r="Z164" i="73"/>
  <c r="Z165" i="73" s="1"/>
  <c r="S117" i="85"/>
  <c r="D50" i="59"/>
  <c r="F50" i="59"/>
  <c r="R79" i="92"/>
  <c r="Y173" i="97"/>
  <c r="W173" i="97"/>
  <c r="X141" i="97"/>
  <c r="Y107" i="97"/>
  <c r="X173" i="97"/>
  <c r="X107" i="97"/>
  <c r="Y141" i="97"/>
  <c r="W107" i="97"/>
  <c r="W229" i="80"/>
  <c r="Q232" i="80"/>
  <c r="G72" i="46"/>
  <c r="E72" i="46"/>
  <c r="AH214" i="82"/>
  <c r="F69" i="68"/>
  <c r="D69" i="68"/>
  <c r="V94" i="82"/>
  <c r="R96" i="82"/>
  <c r="R51" i="86"/>
  <c r="U50" i="85"/>
  <c r="R43" i="97"/>
  <c r="V41" i="97"/>
  <c r="Z187" i="85"/>
  <c r="Z188" i="85" s="1"/>
  <c r="Q53" i="89"/>
  <c r="T52" i="89"/>
  <c r="D44" i="48"/>
  <c r="F44" i="48"/>
  <c r="Q54" i="86"/>
  <c r="U52" i="86"/>
  <c r="AB117" i="85"/>
  <c r="AB196" i="85" s="1"/>
  <c r="AA195" i="85" s="1"/>
  <c r="U56" i="87"/>
  <c r="Q58" i="87" s="1"/>
  <c r="AD148" i="90"/>
  <c r="AD194" i="90" s="1"/>
  <c r="U48" i="93"/>
  <c r="X48" i="93"/>
  <c r="W48" i="93"/>
  <c r="AD77" i="95"/>
  <c r="AD174" i="95" s="1"/>
  <c r="AB132" i="78"/>
  <c r="AB175" i="78" s="1"/>
  <c r="AA174" i="78" s="1"/>
  <c r="U168" i="83"/>
  <c r="AC184" i="94"/>
  <c r="F45" i="48"/>
  <c r="D45" i="48"/>
  <c r="Y76" i="88"/>
  <c r="Y77" i="88" s="1"/>
  <c r="F43" i="50"/>
  <c r="D43" i="50"/>
  <c r="S198" i="96"/>
  <c r="S199" i="96" s="1"/>
  <c r="X190" i="96"/>
  <c r="W190" i="96"/>
  <c r="S140" i="97"/>
  <c r="Z134" i="91"/>
  <c r="Z135" i="91" s="1"/>
  <c r="AC77" i="95"/>
  <c r="AC174" i="95" s="1"/>
  <c r="U76" i="91"/>
  <c r="W95" i="83"/>
  <c r="AB164" i="88"/>
  <c r="AB173" i="88" s="1"/>
  <c r="AH168" i="99"/>
  <c r="AF215" i="87"/>
  <c r="AA180" i="93"/>
  <c r="Z179" i="93" s="1"/>
  <c r="Z153" i="98"/>
  <c r="Z154" i="98" s="1"/>
  <c r="Q129" i="99"/>
  <c r="V126" i="99"/>
  <c r="X73" i="97"/>
  <c r="Y73" i="97"/>
  <c r="Y171" i="92"/>
  <c r="Y172" i="92" s="1"/>
  <c r="T112" i="92"/>
  <c r="Z173" i="95" l="1"/>
  <c r="Z197" i="81"/>
  <c r="Q140" i="95"/>
  <c r="T139" i="95"/>
  <c r="Q180" i="94"/>
  <c r="R175" i="94"/>
  <c r="Q112" i="77"/>
  <c r="S107" i="77"/>
  <c r="Q92" i="89"/>
  <c r="R91" i="89" s="1"/>
  <c r="Q45" i="74"/>
  <c r="U44" i="74"/>
  <c r="Q53" i="79"/>
  <c r="R52" i="79" s="1"/>
  <c r="Q76" i="74"/>
  <c r="W73" i="74"/>
  <c r="T173" i="93"/>
  <c r="Q174" i="93"/>
  <c r="Z178" i="92"/>
  <c r="Q137" i="87"/>
  <c r="U136" i="87"/>
  <c r="R172" i="82"/>
  <c r="V170" i="82"/>
  <c r="Q166" i="88"/>
  <c r="T165" i="88"/>
  <c r="R179" i="97"/>
  <c r="V100" i="72"/>
  <c r="Q103" i="72"/>
  <c r="R53" i="86"/>
  <c r="Q58" i="86"/>
  <c r="R142" i="97"/>
  <c r="U141" i="97"/>
  <c r="Q190" i="85"/>
  <c r="V188" i="85"/>
  <c r="Q85" i="86"/>
  <c r="T84" i="86"/>
  <c r="R56" i="90"/>
  <c r="S56" i="90" s="1"/>
  <c r="V54" i="90"/>
  <c r="Q112" i="74"/>
  <c r="Q141" i="91"/>
  <c r="R136" i="91" s="1"/>
  <c r="Q136" i="88"/>
  <c r="T135" i="88"/>
  <c r="Q89" i="75"/>
  <c r="W86" i="75"/>
  <c r="R77" i="91"/>
  <c r="Q82" i="91"/>
  <c r="U206" i="87"/>
  <c r="Q207" i="87"/>
  <c r="Z183" i="94"/>
  <c r="Q114" i="93"/>
  <c r="T113" i="93"/>
  <c r="U54" i="90"/>
  <c r="R55" i="90"/>
  <c r="Q172" i="95"/>
  <c r="R167" i="95" s="1"/>
  <c r="AA178" i="74"/>
  <c r="U131" i="73"/>
  <c r="Q132" i="73"/>
  <c r="V169" i="83"/>
  <c r="R171" i="83"/>
  <c r="R207" i="82"/>
  <c r="R211" i="82" s="1"/>
  <c r="V205" i="82"/>
  <c r="Q49" i="93"/>
  <c r="T48" i="93"/>
  <c r="Q130" i="81"/>
  <c r="R126" i="81"/>
  <c r="R130" i="81" s="1"/>
  <c r="Q51" i="78"/>
  <c r="S46" i="78"/>
  <c r="R71" i="98"/>
  <c r="Q76" i="98"/>
  <c r="Q49" i="91"/>
  <c r="T48" i="91"/>
  <c r="Q139" i="77"/>
  <c r="W136" i="77"/>
  <c r="U82" i="85"/>
  <c r="Q83" i="85"/>
  <c r="Q101" i="73"/>
  <c r="U100" i="73"/>
  <c r="Q157" i="81"/>
  <c r="T156" i="81"/>
  <c r="S95" i="87"/>
  <c r="S94" i="87"/>
  <c r="S92" i="87"/>
  <c r="S93" i="87"/>
  <c r="S96" i="87" s="1"/>
  <c r="U133" i="78"/>
  <c r="Q134" i="78"/>
  <c r="Q136" i="78"/>
  <c r="W133" i="78"/>
  <c r="Q160" i="98"/>
  <c r="AA193" i="90"/>
  <c r="U45" i="77"/>
  <c r="Q46" i="77"/>
  <c r="T84" i="96"/>
  <c r="Q85" i="96"/>
  <c r="S95" i="82"/>
  <c r="R100" i="82"/>
  <c r="U108" i="88"/>
  <c r="Q110" i="88"/>
  <c r="R110" i="88" s="1"/>
  <c r="S109" i="77"/>
  <c r="Q52" i="85"/>
  <c r="U51" i="85"/>
  <c r="U72" i="76"/>
  <c r="Q73" i="76"/>
  <c r="R79" i="91"/>
  <c r="Q109" i="88"/>
  <c r="T108" i="88"/>
  <c r="U153" i="96"/>
  <c r="Q155" i="96"/>
  <c r="AA181" i="97"/>
  <c r="R137" i="82"/>
  <c r="U136" i="82"/>
  <c r="T139" i="79"/>
  <c r="Q140" i="79"/>
  <c r="S123" i="90"/>
  <c r="Z162" i="98"/>
  <c r="Q139" i="74"/>
  <c r="U138" i="74"/>
  <c r="R50" i="79"/>
  <c r="Q63" i="87"/>
  <c r="Q106" i="80"/>
  <c r="W103" i="80"/>
  <c r="Q191" i="72"/>
  <c r="T190" i="72"/>
  <c r="V136" i="83"/>
  <c r="R138" i="83"/>
  <c r="R142" i="83" s="1"/>
  <c r="Z57" i="87"/>
  <c r="T153" i="96"/>
  <c r="Q154" i="96"/>
  <c r="Q87" i="75"/>
  <c r="U86" i="75"/>
  <c r="AF194" i="90"/>
  <c r="S174" i="87"/>
  <c r="S175" i="87" s="1"/>
  <c r="S171" i="87"/>
  <c r="S173" i="87"/>
  <c r="T189" i="81"/>
  <c r="Q190" i="81"/>
  <c r="AA174" i="91"/>
  <c r="Z173" i="91" s="1"/>
  <c r="V85" i="90"/>
  <c r="R87" i="90"/>
  <c r="T125" i="86"/>
  <c r="Q126" i="86"/>
  <c r="Q150" i="80"/>
  <c r="V148" i="80"/>
  <c r="Q112" i="94"/>
  <c r="T111" i="94"/>
  <c r="Q154" i="85"/>
  <c r="W151" i="85"/>
  <c r="Q189" i="85"/>
  <c r="U188" i="85"/>
  <c r="Q106" i="98"/>
  <c r="R101" i="98" s="1"/>
  <c r="Q110" i="78"/>
  <c r="S105" i="78"/>
  <c r="S231" i="80"/>
  <c r="Q235" i="80"/>
  <c r="S233" i="80" s="1"/>
  <c r="R176" i="94"/>
  <c r="Q87" i="81"/>
  <c r="T86" i="81"/>
  <c r="Z197" i="96"/>
  <c r="T54" i="81"/>
  <c r="Q55" i="81"/>
  <c r="R142" i="94"/>
  <c r="Q170" i="79"/>
  <c r="T169" i="79"/>
  <c r="U118" i="85"/>
  <c r="Q119" i="85"/>
  <c r="T190" i="96"/>
  <c r="Q191" i="96"/>
  <c r="Q137" i="77"/>
  <c r="U136" i="77"/>
  <c r="S172" i="87"/>
  <c r="R127" i="90"/>
  <c r="S122" i="90" s="1"/>
  <c r="T54" i="99"/>
  <c r="Q55" i="99"/>
  <c r="R88" i="89"/>
  <c r="Q72" i="73"/>
  <c r="U71" i="73"/>
  <c r="Q61" i="72"/>
  <c r="T60" i="72"/>
  <c r="Q172" i="91"/>
  <c r="R167" i="91"/>
  <c r="U58" i="82"/>
  <c r="R59" i="82"/>
  <c r="R127" i="99"/>
  <c r="Q132" i="99"/>
  <c r="R129" i="99" s="1"/>
  <c r="Q119" i="89"/>
  <c r="U117" i="89"/>
  <c r="AC173" i="73"/>
  <c r="AA172" i="73" s="1"/>
  <c r="R177" i="94"/>
  <c r="R50" i="88"/>
  <c r="U185" i="90"/>
  <c r="R186" i="90"/>
  <c r="Q145" i="94"/>
  <c r="R140" i="94"/>
  <c r="S96" i="82"/>
  <c r="V58" i="82"/>
  <c r="R60" i="82"/>
  <c r="AA213" i="82"/>
  <c r="S193" i="80"/>
  <c r="Q197" i="80"/>
  <c r="T77" i="88"/>
  <c r="Q78" i="88"/>
  <c r="Q101" i="72"/>
  <c r="T100" i="72"/>
  <c r="Q176" i="74"/>
  <c r="S171" i="74"/>
  <c r="Q81" i="79"/>
  <c r="R80" i="79" s="1"/>
  <c r="U74" i="78"/>
  <c r="Q75" i="78"/>
  <c r="Q141" i="74"/>
  <c r="W138" i="74"/>
  <c r="Q167" i="76"/>
  <c r="U166" i="76"/>
  <c r="R113" i="97"/>
  <c r="S108" i="97" s="1"/>
  <c r="T159" i="99"/>
  <c r="Q160" i="99"/>
  <c r="R176" i="82"/>
  <c r="S173" i="82" s="1"/>
  <c r="AA171" i="84"/>
  <c r="Z170" i="84" s="1"/>
  <c r="Q166" i="73"/>
  <c r="U165" i="73"/>
  <c r="Q132" i="75"/>
  <c r="Q84" i="95"/>
  <c r="Q52" i="98"/>
  <c r="T49" i="95"/>
  <c r="Q50" i="95"/>
  <c r="Q110" i="80"/>
  <c r="R122" i="96"/>
  <c r="Q127" i="96"/>
  <c r="R124" i="96" s="1"/>
  <c r="T78" i="93"/>
  <c r="Q79" i="93"/>
  <c r="U86" i="81"/>
  <c r="Q88" i="81"/>
  <c r="R88" i="81" s="1"/>
  <c r="U151" i="85"/>
  <c r="Q152" i="85"/>
  <c r="Q81" i="94"/>
  <c r="R76" i="94" s="1"/>
  <c r="R99" i="83"/>
  <c r="W96" i="83"/>
  <c r="R54" i="86"/>
  <c r="Q80" i="77"/>
  <c r="S77" i="77" s="1"/>
  <c r="S75" i="77"/>
  <c r="T113" i="92"/>
  <c r="Q114" i="92"/>
  <c r="R65" i="83"/>
  <c r="S61" i="83" s="1"/>
  <c r="T109" i="91"/>
  <c r="Q110" i="91"/>
  <c r="Q105" i="76"/>
  <c r="U104" i="76"/>
  <c r="R128" i="99"/>
  <c r="T197" i="86"/>
  <c r="Q198" i="86"/>
  <c r="Q145" i="93"/>
  <c r="R141" i="93"/>
  <c r="Q238" i="72"/>
  <c r="R233" i="72"/>
  <c r="R130" i="98"/>
  <c r="Q163" i="75"/>
  <c r="W160" i="75"/>
  <c r="U169" i="83"/>
  <c r="R170" i="83"/>
  <c r="T172" i="92"/>
  <c r="Q173" i="92"/>
  <c r="W185" i="90"/>
  <c r="U149" i="90"/>
  <c r="R150" i="90"/>
  <c r="R138" i="82"/>
  <c r="V136" i="82"/>
  <c r="R42" i="97"/>
  <c r="U41" i="97"/>
  <c r="Q138" i="76"/>
  <c r="U196" i="75"/>
  <c r="Q197" i="75"/>
  <c r="R149" i="72"/>
  <c r="Q154" i="72"/>
  <c r="R72" i="98"/>
  <c r="R169" i="91"/>
  <c r="Z167" i="99"/>
  <c r="Q57" i="96"/>
  <c r="R52" i="96" s="1"/>
  <c r="S175" i="97"/>
  <c r="U168" i="77"/>
  <c r="Q169" i="77"/>
  <c r="T80" i="92"/>
  <c r="Q81" i="92"/>
  <c r="U52" i="75"/>
  <c r="Q53" i="75"/>
  <c r="Q117" i="79"/>
  <c r="R116" i="79" s="1"/>
  <c r="R113" i="79"/>
  <c r="Q92" i="99"/>
  <c r="Q118" i="95"/>
  <c r="R113" i="95"/>
  <c r="T51" i="92"/>
  <c r="Q52" i="92"/>
  <c r="U73" i="74"/>
  <c r="Q74" i="74"/>
  <c r="S61" i="80"/>
  <c r="Q66" i="80"/>
  <c r="T161" i="86"/>
  <c r="Q162" i="86"/>
  <c r="Q53" i="94"/>
  <c r="R49" i="94" s="1"/>
  <c r="Q58" i="89"/>
  <c r="R53" i="89" s="1"/>
  <c r="U44" i="76"/>
  <c r="Q45" i="76"/>
  <c r="U44" i="73"/>
  <c r="Q45" i="73"/>
  <c r="R156" i="98"/>
  <c r="Z124" i="89"/>
  <c r="Q143" i="92"/>
  <c r="T142" i="92"/>
  <c r="R79" i="97"/>
  <c r="S76" i="97" s="1"/>
  <c r="S109" i="97"/>
  <c r="W167" i="78"/>
  <c r="Q170" i="78"/>
  <c r="R49" i="88"/>
  <c r="Q53" i="88"/>
  <c r="R52" i="88" s="1"/>
  <c r="S208" i="82" l="1"/>
  <c r="S210" i="82"/>
  <c r="S209" i="82"/>
  <c r="S206" i="82"/>
  <c r="R172" i="95"/>
  <c r="R106" i="98"/>
  <c r="S139" i="83"/>
  <c r="S140" i="83"/>
  <c r="S141" i="83"/>
  <c r="S137" i="83"/>
  <c r="R77" i="94"/>
  <c r="R53" i="88"/>
  <c r="Q167" i="86"/>
  <c r="R162" i="86"/>
  <c r="R54" i="96"/>
  <c r="Q115" i="91"/>
  <c r="R110" i="91" s="1"/>
  <c r="S129" i="75"/>
  <c r="S128" i="75"/>
  <c r="S130" i="75"/>
  <c r="S131" i="75"/>
  <c r="S186" i="90"/>
  <c r="R191" i="90"/>
  <c r="Q60" i="99"/>
  <c r="R55" i="99"/>
  <c r="Q174" i="79"/>
  <c r="R170" i="79" s="1"/>
  <c r="S106" i="80"/>
  <c r="Q88" i="85"/>
  <c r="Q90" i="86"/>
  <c r="R85" i="86"/>
  <c r="Q202" i="75"/>
  <c r="S197" i="75"/>
  <c r="R80" i="95"/>
  <c r="R82" i="95"/>
  <c r="R83" i="95"/>
  <c r="R91" i="99"/>
  <c r="R90" i="99"/>
  <c r="S134" i="76"/>
  <c r="S136" i="76"/>
  <c r="S137" i="76"/>
  <c r="S135" i="76"/>
  <c r="Q177" i="92"/>
  <c r="R173" i="92" s="1"/>
  <c r="R80" i="94"/>
  <c r="R79" i="94"/>
  <c r="R78" i="94"/>
  <c r="R81" i="94" s="1"/>
  <c r="S104" i="80"/>
  <c r="S110" i="80" s="1"/>
  <c r="S108" i="80"/>
  <c r="S109" i="80"/>
  <c r="S107" i="80"/>
  <c r="R64" i="82"/>
  <c r="S59" i="82"/>
  <c r="R104" i="98"/>
  <c r="R105" i="98"/>
  <c r="R103" i="98"/>
  <c r="R102" i="98"/>
  <c r="Q131" i="86"/>
  <c r="R126" i="86"/>
  <c r="Q92" i="75"/>
  <c r="S61" i="87"/>
  <c r="S62" i="87"/>
  <c r="S59" i="87"/>
  <c r="S60" i="87"/>
  <c r="Q51" i="77"/>
  <c r="Q137" i="73"/>
  <c r="S132" i="73"/>
  <c r="Q140" i="88"/>
  <c r="R136" i="88"/>
  <c r="R140" i="88" s="1"/>
  <c r="Q78" i="76"/>
  <c r="S73" i="76"/>
  <c r="S60" i="80"/>
  <c r="S63" i="80"/>
  <c r="S64" i="80"/>
  <c r="S65" i="80"/>
  <c r="R87" i="99"/>
  <c r="S133" i="76"/>
  <c r="S138" i="76" s="1"/>
  <c r="R237" i="72"/>
  <c r="R235" i="72"/>
  <c r="R234" i="72"/>
  <c r="R238" i="72" s="1"/>
  <c r="R236" i="72"/>
  <c r="S60" i="83"/>
  <c r="S105" i="80"/>
  <c r="S166" i="73"/>
  <c r="Q171" i="73"/>
  <c r="Q80" i="78"/>
  <c r="S75" i="78" s="1"/>
  <c r="S192" i="80"/>
  <c r="S195" i="80"/>
  <c r="S196" i="80"/>
  <c r="Q59" i="81"/>
  <c r="R55" i="81"/>
  <c r="R59" i="81" s="1"/>
  <c r="S58" i="87"/>
  <c r="S51" i="78"/>
  <c r="Q212" i="87"/>
  <c r="S207" i="87" s="1"/>
  <c r="R166" i="88"/>
  <c r="R171" i="88" s="1"/>
  <c r="Q171" i="88"/>
  <c r="R56" i="96"/>
  <c r="R55" i="96"/>
  <c r="R172" i="91"/>
  <c r="Q194" i="85"/>
  <c r="S189" i="85"/>
  <c r="S137" i="82"/>
  <c r="R142" i="82"/>
  <c r="S62" i="80"/>
  <c r="S49" i="78"/>
  <c r="S48" i="78"/>
  <c r="S47" i="78"/>
  <c r="S50" i="78"/>
  <c r="R49" i="79"/>
  <c r="R53" i="79" s="1"/>
  <c r="S111" i="77"/>
  <c r="S110" i="77"/>
  <c r="S108" i="77"/>
  <c r="S112" i="77" s="1"/>
  <c r="Q106" i="72"/>
  <c r="R101" i="72" s="1"/>
  <c r="Q55" i="95"/>
  <c r="R50" i="95"/>
  <c r="R145" i="93"/>
  <c r="Q118" i="92"/>
  <c r="R114" i="92" s="1"/>
  <c r="Q157" i="85"/>
  <c r="S174" i="82"/>
  <c r="S175" i="82"/>
  <c r="R171" i="91"/>
  <c r="R168" i="91"/>
  <c r="R170" i="91"/>
  <c r="Q159" i="96"/>
  <c r="R154" i="96"/>
  <c r="Q57" i="85"/>
  <c r="S52" i="85" s="1"/>
  <c r="R158" i="98"/>
  <c r="R159" i="98"/>
  <c r="R157" i="98"/>
  <c r="S139" i="77"/>
  <c r="R123" i="96"/>
  <c r="R127" i="96" s="1"/>
  <c r="S142" i="97"/>
  <c r="R147" i="97"/>
  <c r="S172" i="82"/>
  <c r="R137" i="91"/>
  <c r="R141" i="91" s="1"/>
  <c r="Q174" i="77"/>
  <c r="S169" i="77" s="1"/>
  <c r="Q196" i="72"/>
  <c r="R191" i="72" s="1"/>
  <c r="S170" i="78"/>
  <c r="Q50" i="73"/>
  <c r="S45" i="73"/>
  <c r="R81" i="95"/>
  <c r="S125" i="90"/>
  <c r="S124" i="90"/>
  <c r="S127" i="90" s="1"/>
  <c r="S126" i="90"/>
  <c r="Q79" i="74"/>
  <c r="S74" i="74" s="1"/>
  <c r="R114" i="79"/>
  <c r="R117" i="79" s="1"/>
  <c r="Q50" i="76"/>
  <c r="S45" i="76" s="1"/>
  <c r="Q58" i="75"/>
  <c r="S53" i="75"/>
  <c r="R144" i="93"/>
  <c r="R142" i="93"/>
  <c r="S171" i="82"/>
  <c r="R77" i="79"/>
  <c r="R155" i="96"/>
  <c r="R155" i="98"/>
  <c r="R80" i="91"/>
  <c r="R81" i="91"/>
  <c r="R78" i="91"/>
  <c r="R82" i="91" s="1"/>
  <c r="R55" i="86"/>
  <c r="R58" i="86" s="1"/>
  <c r="R56" i="86"/>
  <c r="R57" i="86"/>
  <c r="S232" i="80"/>
  <c r="S150" i="90"/>
  <c r="R155" i="90"/>
  <c r="S78" i="97"/>
  <c r="S77" i="97"/>
  <c r="S75" i="97"/>
  <c r="Q56" i="92"/>
  <c r="R52" i="92" s="1"/>
  <c r="R47" i="97"/>
  <c r="S163" i="75"/>
  <c r="R89" i="99"/>
  <c r="Q165" i="99"/>
  <c r="R160" i="99" s="1"/>
  <c r="S60" i="82"/>
  <c r="Q142" i="77"/>
  <c r="S137" i="77" s="1"/>
  <c r="R87" i="81"/>
  <c r="R92" i="81" s="1"/>
  <c r="Q92" i="81"/>
  <c r="R190" i="81"/>
  <c r="R195" i="81" s="1"/>
  <c r="Q195" i="81"/>
  <c r="R169" i="95"/>
  <c r="R168" i="95"/>
  <c r="R170" i="95"/>
  <c r="R171" i="95"/>
  <c r="R139" i="91"/>
  <c r="R140" i="91"/>
  <c r="R138" i="91"/>
  <c r="Q142" i="87"/>
  <c r="S137" i="87"/>
  <c r="R179" i="94"/>
  <c r="R180" i="94" s="1"/>
  <c r="R178" i="94"/>
  <c r="S62" i="83"/>
  <c r="S64" i="83"/>
  <c r="S63" i="83"/>
  <c r="S74" i="97"/>
  <c r="S79" i="97" s="1"/>
  <c r="R88" i="99"/>
  <c r="Q203" i="86"/>
  <c r="R198" i="86" s="1"/>
  <c r="S78" i="77"/>
  <c r="S79" i="77"/>
  <c r="S76" i="77"/>
  <c r="S80" i="77" s="1"/>
  <c r="R49" i="98"/>
  <c r="R50" i="98"/>
  <c r="R51" i="98"/>
  <c r="Q66" i="72"/>
  <c r="R61" i="72"/>
  <c r="Q196" i="96"/>
  <c r="R191" i="96" s="1"/>
  <c r="S138" i="83"/>
  <c r="Q144" i="74"/>
  <c r="S139" i="74"/>
  <c r="S136" i="78"/>
  <c r="R102" i="83"/>
  <c r="S99" i="83" s="1"/>
  <c r="R59" i="90"/>
  <c r="S55" i="90"/>
  <c r="S59" i="90" s="1"/>
  <c r="S109" i="74"/>
  <c r="S108" i="74"/>
  <c r="S111" i="74"/>
  <c r="S110" i="74"/>
  <c r="R48" i="98"/>
  <c r="Q85" i="92"/>
  <c r="R81" i="92"/>
  <c r="R150" i="72"/>
  <c r="R152" i="72"/>
  <c r="R153" i="72"/>
  <c r="R151" i="72"/>
  <c r="S138" i="82"/>
  <c r="Q83" i="93"/>
  <c r="R79" i="93" s="1"/>
  <c r="R47" i="98"/>
  <c r="S173" i="74"/>
  <c r="S172" i="74"/>
  <c r="S176" i="74" s="1"/>
  <c r="S175" i="74"/>
  <c r="S174" i="74"/>
  <c r="R131" i="99"/>
  <c r="R130" i="99"/>
  <c r="R132" i="99" s="1"/>
  <c r="Q117" i="94"/>
  <c r="R112" i="94" s="1"/>
  <c r="Q173" i="78"/>
  <c r="Q139" i="78"/>
  <c r="S134" i="78" s="1"/>
  <c r="Q53" i="93"/>
  <c r="R49" i="93" s="1"/>
  <c r="S194" i="80"/>
  <c r="S107" i="74"/>
  <c r="S112" i="74" s="1"/>
  <c r="R103" i="72"/>
  <c r="R91" i="90"/>
  <c r="R50" i="94"/>
  <c r="R51" i="94"/>
  <c r="R52" i="94"/>
  <c r="Q154" i="80"/>
  <c r="R175" i="83"/>
  <c r="S170" i="83" s="1"/>
  <c r="R57" i="89"/>
  <c r="R54" i="89"/>
  <c r="R58" i="89" s="1"/>
  <c r="R154" i="72"/>
  <c r="R79" i="95"/>
  <c r="R84" i="95" s="1"/>
  <c r="S110" i="97"/>
  <c r="S113" i="97" s="1"/>
  <c r="S112" i="97"/>
  <c r="S111" i="97"/>
  <c r="Q77" i="73"/>
  <c r="S72" i="73"/>
  <c r="Q124" i="85"/>
  <c r="S119" i="85" s="1"/>
  <c r="S235" i="80"/>
  <c r="R78" i="79"/>
  <c r="S98" i="82"/>
  <c r="S100" i="82" s="1"/>
  <c r="S99" i="82"/>
  <c r="S97" i="82"/>
  <c r="Q162" i="81"/>
  <c r="R157" i="81"/>
  <c r="R162" i="81" s="1"/>
  <c r="Q54" i="91"/>
  <c r="R49" i="91"/>
  <c r="Q178" i="93"/>
  <c r="R174" i="93"/>
  <c r="Q145" i="95"/>
  <c r="R140" i="95" s="1"/>
  <c r="Q50" i="74"/>
  <c r="S45" i="74"/>
  <c r="S207" i="82"/>
  <c r="Q118" i="93"/>
  <c r="S178" i="97"/>
  <c r="S177" i="97"/>
  <c r="S176" i="97"/>
  <c r="Q147" i="92"/>
  <c r="R143" i="92" s="1"/>
  <c r="R48" i="94"/>
  <c r="R114" i="95"/>
  <c r="R115" i="95"/>
  <c r="R118" i="95" s="1"/>
  <c r="R117" i="95"/>
  <c r="R116" i="95"/>
  <c r="Q110" i="76"/>
  <c r="S105" i="76"/>
  <c r="R125" i="96"/>
  <c r="R126" i="96"/>
  <c r="S127" i="75"/>
  <c r="S132" i="75" s="1"/>
  <c r="Q172" i="76"/>
  <c r="Q82" i="88"/>
  <c r="R78" i="88" s="1"/>
  <c r="R143" i="94"/>
  <c r="R144" i="94"/>
  <c r="R141" i="94"/>
  <c r="R145" i="94" s="1"/>
  <c r="Q123" i="89"/>
  <c r="R53" i="96"/>
  <c r="R57" i="96" s="1"/>
  <c r="S107" i="78"/>
  <c r="S109" i="78"/>
  <c r="S106" i="78"/>
  <c r="S108" i="78"/>
  <c r="S110" i="78" s="1"/>
  <c r="Q166" i="75"/>
  <c r="R140" i="79"/>
  <c r="Q144" i="79"/>
  <c r="R109" i="88"/>
  <c r="R113" i="88" s="1"/>
  <c r="Q113" i="88"/>
  <c r="Q90" i="96"/>
  <c r="R85" i="96" s="1"/>
  <c r="S101" i="73"/>
  <c r="Q106" i="73"/>
  <c r="R75" i="98"/>
  <c r="R74" i="98"/>
  <c r="R73" i="98"/>
  <c r="S171" i="83"/>
  <c r="S89" i="75"/>
  <c r="S174" i="97"/>
  <c r="R87" i="89"/>
  <c r="R92" i="89" s="1"/>
  <c r="R106" i="72" l="1"/>
  <c r="S110" i="76"/>
  <c r="R117" i="93"/>
  <c r="R115" i="93"/>
  <c r="R116" i="93"/>
  <c r="R122" i="89"/>
  <c r="R118" i="89"/>
  <c r="S107" i="76"/>
  <c r="S106" i="76"/>
  <c r="S109" i="76"/>
  <c r="S108" i="76"/>
  <c r="R114" i="93"/>
  <c r="S89" i="90"/>
  <c r="S90" i="90"/>
  <c r="S88" i="90"/>
  <c r="S86" i="90"/>
  <c r="S91" i="90" s="1"/>
  <c r="S191" i="85"/>
  <c r="S193" i="85"/>
  <c r="S192" i="85"/>
  <c r="S63" i="87"/>
  <c r="S91" i="75"/>
  <c r="S88" i="75"/>
  <c r="S90" i="75"/>
  <c r="S86" i="85"/>
  <c r="S87" i="85"/>
  <c r="S85" i="85"/>
  <c r="S84" i="85"/>
  <c r="S58" i="75"/>
  <c r="S44" i="97"/>
  <c r="S45" i="97"/>
  <c r="S46" i="97"/>
  <c r="S43" i="97"/>
  <c r="S55" i="75"/>
  <c r="S56" i="75"/>
  <c r="S54" i="75"/>
  <c r="S57" i="75"/>
  <c r="S47" i="73"/>
  <c r="S49" i="73"/>
  <c r="S48" i="73"/>
  <c r="S50" i="73" s="1"/>
  <c r="S46" i="73"/>
  <c r="S155" i="85"/>
  <c r="S156" i="85"/>
  <c r="S153" i="85"/>
  <c r="R130" i="86"/>
  <c r="R128" i="86"/>
  <c r="R129" i="86"/>
  <c r="R127" i="86"/>
  <c r="S47" i="74"/>
  <c r="S48" i="74"/>
  <c r="S49" i="74"/>
  <c r="S46" i="74"/>
  <c r="S50" i="74" s="1"/>
  <c r="S154" i="85"/>
  <c r="S179" i="97"/>
  <c r="R143" i="79"/>
  <c r="R144" i="79" s="1"/>
  <c r="R141" i="79"/>
  <c r="R119" i="89"/>
  <c r="S140" i="74"/>
  <c r="S142" i="74"/>
  <c r="S143" i="74"/>
  <c r="S136" i="73"/>
  <c r="S135" i="73"/>
  <c r="S134" i="73"/>
  <c r="S133" i="73"/>
  <c r="S137" i="73" s="1"/>
  <c r="R112" i="91"/>
  <c r="R113" i="91"/>
  <c r="R114" i="91"/>
  <c r="R111" i="91"/>
  <c r="R115" i="91" s="1"/>
  <c r="S138" i="87"/>
  <c r="S140" i="87"/>
  <c r="S139" i="87"/>
  <c r="S142" i="87" s="1"/>
  <c r="S141" i="87"/>
  <c r="S42" i="97"/>
  <c r="S48" i="76"/>
  <c r="S47" i="76"/>
  <c r="S46" i="76"/>
  <c r="S50" i="76" s="1"/>
  <c r="S49" i="76"/>
  <c r="S152" i="85"/>
  <c r="R173" i="79"/>
  <c r="R171" i="79"/>
  <c r="R174" i="79" s="1"/>
  <c r="R81" i="88"/>
  <c r="R82" i="88" s="1"/>
  <c r="R79" i="88"/>
  <c r="R53" i="94"/>
  <c r="R144" i="95"/>
  <c r="R141" i="95"/>
  <c r="R145" i="95" s="1"/>
  <c r="R142" i="95"/>
  <c r="R143" i="95"/>
  <c r="R50" i="93"/>
  <c r="R53" i="93" s="1"/>
  <c r="R52" i="93"/>
  <c r="R52" i="98"/>
  <c r="R201" i="86"/>
  <c r="R202" i="86"/>
  <c r="R199" i="86"/>
  <c r="R203" i="86" s="1"/>
  <c r="R200" i="86"/>
  <c r="R55" i="92"/>
  <c r="R53" i="92"/>
  <c r="R56" i="92" s="1"/>
  <c r="R192" i="72"/>
  <c r="R194" i="72"/>
  <c r="R195" i="72"/>
  <c r="R193" i="72"/>
  <c r="R196" i="72" s="1"/>
  <c r="R117" i="92"/>
  <c r="R115" i="92"/>
  <c r="R118" i="92" s="1"/>
  <c r="S76" i="74"/>
  <c r="S197" i="80"/>
  <c r="R92" i="99"/>
  <c r="S50" i="77"/>
  <c r="S48" i="77"/>
  <c r="S47" i="77"/>
  <c r="S49" i="77"/>
  <c r="R59" i="99"/>
  <c r="R58" i="99"/>
  <c r="R56" i="99"/>
  <c r="R60" i="99" s="1"/>
  <c r="R57" i="99"/>
  <c r="R165" i="86"/>
  <c r="R166" i="86"/>
  <c r="R163" i="86"/>
  <c r="R167" i="86" s="1"/>
  <c r="R164" i="86"/>
  <c r="R88" i="96"/>
  <c r="R89" i="96"/>
  <c r="R86" i="96"/>
  <c r="R90" i="96" s="1"/>
  <c r="R87" i="96"/>
  <c r="R131" i="86"/>
  <c r="S162" i="75"/>
  <c r="S164" i="75"/>
  <c r="S165" i="75"/>
  <c r="S161" i="75"/>
  <c r="S168" i="76"/>
  <c r="S171" i="76"/>
  <c r="S170" i="76"/>
  <c r="S169" i="76"/>
  <c r="S123" i="85"/>
  <c r="S122" i="85"/>
  <c r="S121" i="85"/>
  <c r="S120" i="85"/>
  <c r="S124" i="85" s="1"/>
  <c r="S173" i="83"/>
  <c r="S174" i="83"/>
  <c r="S172" i="83"/>
  <c r="S175" i="83" s="1"/>
  <c r="S56" i="85"/>
  <c r="S54" i="85"/>
  <c r="S55" i="85"/>
  <c r="S53" i="85"/>
  <c r="S57" i="85" s="1"/>
  <c r="S46" i="77"/>
  <c r="S189" i="90"/>
  <c r="S190" i="90"/>
  <c r="S188" i="90"/>
  <c r="S187" i="90"/>
  <c r="R174" i="92"/>
  <c r="R177" i="92" s="1"/>
  <c r="R176" i="92"/>
  <c r="S191" i="90"/>
  <c r="S211" i="82"/>
  <c r="R85" i="92"/>
  <c r="R84" i="92"/>
  <c r="R82" i="92"/>
  <c r="S75" i="74"/>
  <c r="S79" i="74" s="1"/>
  <c r="S78" i="74"/>
  <c r="S77" i="74"/>
  <c r="R157" i="96"/>
  <c r="R159" i="96" s="1"/>
  <c r="R156" i="96"/>
  <c r="R51" i="95"/>
  <c r="R53" i="95"/>
  <c r="R52" i="95"/>
  <c r="R55" i="95" s="1"/>
  <c r="R54" i="95"/>
  <c r="S139" i="82"/>
  <c r="S142" i="82" s="1"/>
  <c r="S140" i="82"/>
  <c r="S141" i="82"/>
  <c r="S190" i="85"/>
  <c r="S194" i="85" s="1"/>
  <c r="S169" i="73"/>
  <c r="S170" i="73"/>
  <c r="S168" i="73"/>
  <c r="S167" i="73"/>
  <c r="S61" i="82"/>
  <c r="S64" i="82" s="1"/>
  <c r="S62" i="82"/>
  <c r="S63" i="82"/>
  <c r="S198" i="75"/>
  <c r="S202" i="75" s="1"/>
  <c r="S200" i="75"/>
  <c r="S201" i="75"/>
  <c r="S199" i="75"/>
  <c r="S101" i="83"/>
  <c r="S100" i="83"/>
  <c r="S97" i="83"/>
  <c r="S98" i="83"/>
  <c r="R146" i="92"/>
  <c r="R144" i="92"/>
  <c r="R147" i="92" s="1"/>
  <c r="S167" i="76"/>
  <c r="R177" i="93"/>
  <c r="R178" i="93" s="1"/>
  <c r="R176" i="93"/>
  <c r="S149" i="80"/>
  <c r="S154" i="80" s="1"/>
  <c r="S152" i="80"/>
  <c r="S153" i="80"/>
  <c r="S151" i="80"/>
  <c r="R82" i="93"/>
  <c r="R80" i="93"/>
  <c r="R83" i="93" s="1"/>
  <c r="R194" i="96"/>
  <c r="R193" i="96"/>
  <c r="R192" i="96"/>
  <c r="R196" i="96" s="1"/>
  <c r="S138" i="77"/>
  <c r="S142" i="77" s="1"/>
  <c r="S140" i="77"/>
  <c r="S141" i="77"/>
  <c r="R160" i="98"/>
  <c r="S170" i="77"/>
  <c r="S174" i="77" s="1"/>
  <c r="S173" i="77"/>
  <c r="S172" i="77"/>
  <c r="S171" i="77"/>
  <c r="S76" i="78"/>
  <c r="S80" i="78" s="1"/>
  <c r="S78" i="78"/>
  <c r="S79" i="78"/>
  <c r="S77" i="78"/>
  <c r="R54" i="91"/>
  <c r="S75" i="73"/>
  <c r="S76" i="73"/>
  <c r="S73" i="73"/>
  <c r="S74" i="73"/>
  <c r="S150" i="80"/>
  <c r="S169" i="78"/>
  <c r="S171" i="78"/>
  <c r="S172" i="78"/>
  <c r="S168" i="78"/>
  <c r="R53" i="91"/>
  <c r="R52" i="91"/>
  <c r="R51" i="91"/>
  <c r="R50" i="91"/>
  <c r="R62" i="72"/>
  <c r="R66" i="72" s="1"/>
  <c r="R65" i="72"/>
  <c r="R64" i="72"/>
  <c r="R63" i="72"/>
  <c r="S153" i="90"/>
  <c r="S155" i="90" s="1"/>
  <c r="S154" i="90"/>
  <c r="S152" i="90"/>
  <c r="S151" i="90"/>
  <c r="R81" i="79"/>
  <c r="S171" i="73"/>
  <c r="S66" i="80"/>
  <c r="S141" i="74"/>
  <c r="S144" i="74" s="1"/>
  <c r="S142" i="83"/>
  <c r="S77" i="73"/>
  <c r="S135" i="78"/>
  <c r="S139" i="78" s="1"/>
  <c r="S137" i="78"/>
  <c r="S138" i="78"/>
  <c r="S103" i="73"/>
  <c r="S105" i="73"/>
  <c r="S104" i="73"/>
  <c r="S102" i="73"/>
  <c r="S106" i="73" s="1"/>
  <c r="R114" i="94"/>
  <c r="R116" i="94"/>
  <c r="R115" i="94"/>
  <c r="R113" i="94"/>
  <c r="R117" i="94" s="1"/>
  <c r="R163" i="99"/>
  <c r="R164" i="99"/>
  <c r="R161" i="99"/>
  <c r="R165" i="99" s="1"/>
  <c r="R162" i="99"/>
  <c r="S176" i="82"/>
  <c r="S146" i="97"/>
  <c r="S147" i="97" s="1"/>
  <c r="S145" i="97"/>
  <c r="S144" i="97"/>
  <c r="S143" i="97"/>
  <c r="R102" i="72"/>
  <c r="R104" i="72"/>
  <c r="R105" i="72"/>
  <c r="S87" i="90"/>
  <c r="S210" i="87"/>
  <c r="S209" i="87"/>
  <c r="S212" i="87" s="1"/>
  <c r="R86" i="86"/>
  <c r="R88" i="86"/>
  <c r="R89" i="86"/>
  <c r="R87" i="86"/>
  <c r="R90" i="86" s="1"/>
  <c r="S65" i="83"/>
  <c r="S74" i="76"/>
  <c r="S76" i="76"/>
  <c r="S77" i="76"/>
  <c r="S78" i="76" s="1"/>
  <c r="S75" i="76"/>
  <c r="S87" i="75"/>
  <c r="S92" i="75" s="1"/>
  <c r="S83" i="85"/>
  <c r="S88" i="85" s="1"/>
  <c r="S47" i="97" l="1"/>
  <c r="R123" i="89"/>
  <c r="S51" i="77"/>
  <c r="S172" i="76"/>
  <c r="S173" i="78"/>
  <c r="S166" i="75"/>
  <c r="S157" i="85"/>
  <c r="R118" i="93"/>
  <c r="S102" i="83"/>
</calcChain>
</file>

<file path=xl/sharedStrings.xml><?xml version="1.0" encoding="utf-8"?>
<sst xmlns="http://schemas.openxmlformats.org/spreadsheetml/2006/main" count="28647" uniqueCount="1202">
  <si>
    <t>JCDECAUX</t>
  </si>
  <si>
    <t>ELETROMIDIA</t>
  </si>
  <si>
    <t>CLEAR CHANNEL</t>
  </si>
  <si>
    <t>NEOOH</t>
  </si>
  <si>
    <t>MOVIE MIDIA</t>
  </si>
  <si>
    <t>KALLAS</t>
  </si>
  <si>
    <t>SINERGY</t>
  </si>
  <si>
    <t>FAVRETTO</t>
  </si>
  <si>
    <t>STAMPA</t>
  </si>
  <si>
    <t>BANDEIRANTES</t>
  </si>
  <si>
    <t>ROTA</t>
  </si>
  <si>
    <t>MUB</t>
  </si>
  <si>
    <t>WEOOH</t>
  </si>
  <si>
    <t>BME</t>
  </si>
  <si>
    <t>ULTRA OOH</t>
  </si>
  <si>
    <t>GREEN OOH</t>
  </si>
  <si>
    <t>S2X</t>
  </si>
  <si>
    <t>PRISMA OOH</t>
  </si>
  <si>
    <t>PURAKA</t>
  </si>
  <si>
    <t>BUREAU</t>
  </si>
  <si>
    <t>Eletromidia</t>
  </si>
  <si>
    <t>Painel de Led</t>
  </si>
  <si>
    <t>Semanal</t>
  </si>
  <si>
    <t>WeOOH</t>
  </si>
  <si>
    <t>Mensal</t>
  </si>
  <si>
    <t>Brasil Midia Exterior</t>
  </si>
  <si>
    <t>Frontlight</t>
  </si>
  <si>
    <t>Outdoor lonado</t>
  </si>
  <si>
    <t>Ultra OOH</t>
  </si>
  <si>
    <t>Empena</t>
  </si>
  <si>
    <t>Green Outdoor</t>
  </si>
  <si>
    <t>S2X Promoções</t>
  </si>
  <si>
    <t>Carro de Som</t>
  </si>
  <si>
    <t>Diaria 8 horas</t>
  </si>
  <si>
    <t>Prisma OOH</t>
  </si>
  <si>
    <t>Puraka</t>
  </si>
  <si>
    <t>Bureau de Mídia</t>
  </si>
  <si>
    <t>Envelopamento Barco</t>
  </si>
  <si>
    <t>1</t>
  </si>
  <si>
    <t>BikeDoor</t>
  </si>
  <si>
    <t>Diario</t>
  </si>
  <si>
    <t>Cartaxi</t>
  </si>
  <si>
    <t>Taxi - vidro traseiro</t>
  </si>
  <si>
    <t>1/3</t>
  </si>
  <si>
    <t xml:space="preserve">M2 </t>
  </si>
  <si>
    <t>TELAS PROMO</t>
  </si>
  <si>
    <t>M2 comunicações</t>
  </si>
  <si>
    <t>Telas Promo</t>
  </si>
  <si>
    <t>Circuito interno Led</t>
  </si>
  <si>
    <t>Vidro traseiro + interno</t>
  </si>
  <si>
    <t>Busdoor</t>
  </si>
  <si>
    <t>20</t>
  </si>
  <si>
    <t>18</t>
  </si>
  <si>
    <t>23</t>
  </si>
  <si>
    <t>ATOS</t>
  </si>
  <si>
    <t>Bureau de mídia</t>
  </si>
  <si>
    <t>Atos</t>
  </si>
  <si>
    <t>Bikedoor</t>
  </si>
  <si>
    <t>Diaria</t>
  </si>
  <si>
    <t>17</t>
  </si>
  <si>
    <t>THE VOICE</t>
  </si>
  <si>
    <t>VSP</t>
  </si>
  <si>
    <t>WVK</t>
  </si>
  <si>
    <t>Bisemanal</t>
  </si>
  <si>
    <t>The Voice</t>
  </si>
  <si>
    <t>VSP Midia</t>
  </si>
  <si>
    <t>WVK midias</t>
  </si>
  <si>
    <t>Bureau Midia OOH</t>
  </si>
  <si>
    <t>BackBus</t>
  </si>
  <si>
    <t>TOCANTINS</t>
  </si>
  <si>
    <t>LED+</t>
  </si>
  <si>
    <t>ARTES</t>
  </si>
  <si>
    <t>SX2</t>
  </si>
  <si>
    <t>Tocantis / Apice</t>
  </si>
  <si>
    <t>Led+</t>
  </si>
  <si>
    <t xml:space="preserve">Bureau de Midia </t>
  </si>
  <si>
    <t>Tocantins / Apice</t>
  </si>
  <si>
    <t>Artes Coloridas</t>
  </si>
  <si>
    <t>S2xPromoçoes</t>
  </si>
  <si>
    <t>Vidro traseiro _ interno</t>
  </si>
  <si>
    <t>24</t>
  </si>
  <si>
    <t>M2</t>
  </si>
  <si>
    <t>M2Comunicações</t>
  </si>
  <si>
    <t>25</t>
  </si>
  <si>
    <t>250</t>
  </si>
  <si>
    <t>ATUAL</t>
  </si>
  <si>
    <t>CENTER</t>
  </si>
  <si>
    <t>Atual Publicidade</t>
  </si>
  <si>
    <t>Painel de Led - Topo de Prédio</t>
  </si>
  <si>
    <t>Outdoor papel</t>
  </si>
  <si>
    <t>Center Outdoor</t>
  </si>
  <si>
    <t xml:space="preserve">Painel de Led </t>
  </si>
  <si>
    <t>Vidro traseiro / interno</t>
  </si>
  <si>
    <t>12 dias</t>
  </si>
  <si>
    <t>s2XPromoções</t>
  </si>
  <si>
    <t>160</t>
  </si>
  <si>
    <t>MAELY</t>
  </si>
  <si>
    <t>PONTO</t>
  </si>
  <si>
    <t>SPEEDY</t>
  </si>
  <si>
    <t>Clear Channel</t>
  </si>
  <si>
    <t>Mub</t>
  </si>
  <si>
    <t>Maely</t>
  </si>
  <si>
    <t>Painel Led</t>
  </si>
  <si>
    <t xml:space="preserve">Empena </t>
  </si>
  <si>
    <t>Ponto OOH</t>
  </si>
  <si>
    <t>Outdoor</t>
  </si>
  <si>
    <t>Bi-semanal</t>
  </si>
  <si>
    <t>Speed Midias</t>
  </si>
  <si>
    <t>Kallas</t>
  </si>
  <si>
    <t>ITABUS</t>
  </si>
  <si>
    <t>RZK</t>
  </si>
  <si>
    <t>JCDecaux</t>
  </si>
  <si>
    <t xml:space="preserve">Relogios </t>
  </si>
  <si>
    <t>JCdecaux</t>
  </si>
  <si>
    <t>Metro - Telas</t>
  </si>
  <si>
    <t>49</t>
  </si>
  <si>
    <t>Metro - Adesivação</t>
  </si>
  <si>
    <t>26 dias</t>
  </si>
  <si>
    <t xml:space="preserve">Abrigo de Onibus </t>
  </si>
  <si>
    <t>Carrega+ / Itabus</t>
  </si>
  <si>
    <t>Onibus Exterior</t>
  </si>
  <si>
    <t>Envelopamento</t>
  </si>
  <si>
    <t>Neooh</t>
  </si>
  <si>
    <t>Parque Ibirapuera</t>
  </si>
  <si>
    <t>70</t>
  </si>
  <si>
    <t>Terminal Rodoviario Tiete</t>
  </si>
  <si>
    <t>28</t>
  </si>
  <si>
    <t>Parque Villa Lobos</t>
  </si>
  <si>
    <t>40</t>
  </si>
  <si>
    <t xml:space="preserve">Terminal Urbano </t>
  </si>
  <si>
    <t>Carrega+</t>
  </si>
  <si>
    <t>Back Seat</t>
  </si>
  <si>
    <t>Itabus</t>
  </si>
  <si>
    <t xml:space="preserve">Terminal urbano </t>
  </si>
  <si>
    <t>80</t>
  </si>
  <si>
    <t>PAD</t>
  </si>
  <si>
    <t>FREDZAK</t>
  </si>
  <si>
    <t>URBANA</t>
  </si>
  <si>
    <t>FLY</t>
  </si>
  <si>
    <t>TUTTO</t>
  </si>
  <si>
    <t>CARREGA+</t>
  </si>
  <si>
    <t>Movie Midia</t>
  </si>
  <si>
    <t>Street Front</t>
  </si>
  <si>
    <t>Fredizak</t>
  </si>
  <si>
    <t>Parede /Empena</t>
  </si>
  <si>
    <t>Urbana</t>
  </si>
  <si>
    <t>Fly</t>
  </si>
  <si>
    <t>Quinzenal</t>
  </si>
  <si>
    <t>BackSeat</t>
  </si>
  <si>
    <t>Vidro Traseiro</t>
  </si>
  <si>
    <t>Tutto</t>
  </si>
  <si>
    <t>50</t>
  </si>
  <si>
    <t>35</t>
  </si>
  <si>
    <t>ADVER</t>
  </si>
  <si>
    <t>CRIATIVA</t>
  </si>
  <si>
    <t>ALTO IMPACTO</t>
  </si>
  <si>
    <t>MUDE</t>
  </si>
  <si>
    <t>JcDecaux</t>
  </si>
  <si>
    <t>Mude</t>
  </si>
  <si>
    <t>METROPOLIS</t>
  </si>
  <si>
    <t>VISUPLAC</t>
  </si>
  <si>
    <t xml:space="preserve">Mub </t>
  </si>
  <si>
    <t>22</t>
  </si>
  <si>
    <t>TOTAL</t>
  </si>
  <si>
    <t>TOP</t>
  </si>
  <si>
    <t>ZOOM</t>
  </si>
  <si>
    <t>Outdoor Lonado</t>
  </si>
  <si>
    <t>Diária</t>
  </si>
  <si>
    <t>Taxi - Vidro traseiro + interno</t>
  </si>
  <si>
    <t>5/15</t>
  </si>
  <si>
    <t>16</t>
  </si>
  <si>
    <t>TC</t>
  </si>
  <si>
    <t xml:space="preserve">SPEED </t>
  </si>
  <si>
    <t>CUIABÁ</t>
  </si>
  <si>
    <t>CAPITAL</t>
  </si>
  <si>
    <t>VISAO</t>
  </si>
  <si>
    <t>LETS FLY</t>
  </si>
  <si>
    <t>FENIX</t>
  </si>
  <si>
    <t>CARREGA +</t>
  </si>
  <si>
    <t>Tutto Me</t>
  </si>
  <si>
    <t>Backbus</t>
  </si>
  <si>
    <t>PONTO Z</t>
  </si>
  <si>
    <t>Criativa Painéis</t>
  </si>
  <si>
    <t>Sinergy</t>
  </si>
  <si>
    <t>Mub - Relogios</t>
  </si>
  <si>
    <t>30</t>
  </si>
  <si>
    <t>Ponto Z</t>
  </si>
  <si>
    <t>Mub - Abrigos</t>
  </si>
  <si>
    <t>Placas de Rua</t>
  </si>
  <si>
    <t>Outdoor Midia</t>
  </si>
  <si>
    <t>Outdoor Iluminado</t>
  </si>
  <si>
    <t>Iconico - Duo Vision</t>
  </si>
  <si>
    <t>Mub - Bancas e Relogios</t>
  </si>
  <si>
    <t xml:space="preserve">Mub - Bancas </t>
  </si>
  <si>
    <t>RPO</t>
  </si>
  <si>
    <t>Clear</t>
  </si>
  <si>
    <t>Mub - Bancas</t>
  </si>
  <si>
    <t>Favretto</t>
  </si>
  <si>
    <t>Ativa</t>
  </si>
  <si>
    <t>H Mídia</t>
  </si>
  <si>
    <t>Imobi</t>
  </si>
  <si>
    <t>MegaMubs+Bancas</t>
  </si>
  <si>
    <t>Banca de jornal</t>
  </si>
  <si>
    <t>10</t>
  </si>
  <si>
    <t>SUPERLUX</t>
  </si>
  <si>
    <t>MURAL</t>
  </si>
  <si>
    <t>RIO VERDE</t>
  </si>
  <si>
    <t>SuperLux</t>
  </si>
  <si>
    <t>Outdoor  lonado</t>
  </si>
  <si>
    <t>Mural</t>
  </si>
  <si>
    <t>Rio Verde</t>
  </si>
  <si>
    <t>Relogio</t>
  </si>
  <si>
    <t>Back Bus</t>
  </si>
  <si>
    <t>9</t>
  </si>
  <si>
    <t>BusDoor</t>
  </si>
  <si>
    <t>Bandeirantes</t>
  </si>
  <si>
    <t>Rota Midia OOH</t>
  </si>
  <si>
    <t>Painel Estrada</t>
  </si>
  <si>
    <t xml:space="preserve">InWay </t>
  </si>
  <si>
    <t>Mub - Abrigo de onibus - circuito</t>
  </si>
  <si>
    <t>Kallas VLT</t>
  </si>
  <si>
    <t>Envelopamento Externo (3 vagoes)</t>
  </si>
  <si>
    <t>Mub - Abrigo de onibus</t>
  </si>
  <si>
    <t>Backseat</t>
  </si>
  <si>
    <t xml:space="preserve">Mub - Abrigo de onibus </t>
  </si>
  <si>
    <t>Outdoor Papel</t>
  </si>
  <si>
    <t>TREND</t>
  </si>
  <si>
    <t>Trend</t>
  </si>
  <si>
    <t>Painel de Plataforma e Saguao</t>
  </si>
  <si>
    <t>5</t>
  </si>
  <si>
    <t>Envelopamento de vagao</t>
  </si>
  <si>
    <t>Outdoor  papel</t>
  </si>
  <si>
    <t>Station Mub Circuitos - 3 estaçoes</t>
  </si>
  <si>
    <t xml:space="preserve">URBANA </t>
  </si>
  <si>
    <t>CITYDOOR</t>
  </si>
  <si>
    <t>PALMER</t>
  </si>
  <si>
    <t>Urbana Midia</t>
  </si>
  <si>
    <t xml:space="preserve">Citydoor </t>
  </si>
  <si>
    <t>Palmer</t>
  </si>
  <si>
    <t>PANDA</t>
  </si>
  <si>
    <t xml:space="preserve">RIO VERDE </t>
  </si>
  <si>
    <t>PANORAMA</t>
  </si>
  <si>
    <t>COMPASSO</t>
  </si>
  <si>
    <t>Panda Outdoor</t>
  </si>
  <si>
    <t>Outdoor triplo lonado</t>
  </si>
  <si>
    <t>Panorami</t>
  </si>
  <si>
    <t>Compasso</t>
  </si>
  <si>
    <t>Rota</t>
  </si>
  <si>
    <t xml:space="preserve">STAMPA </t>
  </si>
  <si>
    <t>EXIBA</t>
  </si>
  <si>
    <t>Stampa</t>
  </si>
  <si>
    <t>Exiba</t>
  </si>
  <si>
    <t>Painel de Estrada</t>
  </si>
  <si>
    <t>Evelopamento Trem - 3 vagoes</t>
  </si>
  <si>
    <t xml:space="preserve">TUTTO </t>
  </si>
  <si>
    <t>Mupi Digital</t>
  </si>
  <si>
    <t>15</t>
  </si>
  <si>
    <t>Tembici</t>
  </si>
  <si>
    <t>Abrigo de ônibus</t>
  </si>
  <si>
    <t>MUPI Estações</t>
  </si>
  <si>
    <t>Front Light</t>
  </si>
  <si>
    <t>Painel LED</t>
  </si>
  <si>
    <t>Circuito Paineis - 7 Estacoes Trilhos</t>
  </si>
  <si>
    <t>7</t>
  </si>
  <si>
    <t>BIGDOOH</t>
  </si>
  <si>
    <t>CONSTRUMIDIA</t>
  </si>
  <si>
    <t>Eletromidia/URB</t>
  </si>
  <si>
    <t>Abrigo Mubi</t>
  </si>
  <si>
    <t>Relogio/Mup</t>
  </si>
  <si>
    <t>BigDooh</t>
  </si>
  <si>
    <t>Construmidia</t>
  </si>
  <si>
    <t>Empena Estática</t>
  </si>
  <si>
    <t>Empresas outdoor</t>
  </si>
  <si>
    <t>Empresas Outdoor</t>
  </si>
  <si>
    <t>Linhares</t>
  </si>
  <si>
    <t>Outdoor  Lonado</t>
  </si>
  <si>
    <t>Rede Outlight</t>
  </si>
  <si>
    <t>MUP</t>
  </si>
  <si>
    <t>Impacto</t>
  </si>
  <si>
    <t>Outdoor  Papel</t>
  </si>
  <si>
    <t>Rota 99</t>
  </si>
  <si>
    <t>Way</t>
  </si>
  <si>
    <t>Imagem</t>
  </si>
  <si>
    <t>Central de Midia Salvador</t>
  </si>
  <si>
    <t xml:space="preserve">Pacote Full -L2 </t>
  </si>
  <si>
    <t>63</t>
  </si>
  <si>
    <t>Midia Bus</t>
  </si>
  <si>
    <t>Rota 66</t>
  </si>
  <si>
    <t>Bigdooh</t>
  </si>
  <si>
    <t>LINHARES</t>
  </si>
  <si>
    <t>IMPACTO</t>
  </si>
  <si>
    <t>ROTA 99</t>
  </si>
  <si>
    <t>WAY</t>
  </si>
  <si>
    <t>IMAGEM</t>
  </si>
  <si>
    <t>OUTLIGHT</t>
  </si>
  <si>
    <t>C. DE MIDIA</t>
  </si>
  <si>
    <t>MIDIA BUS</t>
  </si>
  <si>
    <t>ROTA 66</t>
  </si>
  <si>
    <t>ATIVA</t>
  </si>
  <si>
    <t>HMIDIA</t>
  </si>
  <si>
    <t>IMOBI</t>
  </si>
  <si>
    <t xml:space="preserve">CLEAR </t>
  </si>
  <si>
    <t>OUTDOOR MIDIA</t>
  </si>
  <si>
    <t>100</t>
  </si>
  <si>
    <t>belem</t>
  </si>
  <si>
    <t>X</t>
  </si>
  <si>
    <t>eletromidia</t>
  </si>
  <si>
    <t>semanal</t>
  </si>
  <si>
    <t>x</t>
  </si>
  <si>
    <t>taxonomia</t>
  </si>
  <si>
    <t>uf</t>
  </si>
  <si>
    <t>praca</t>
  </si>
  <si>
    <t>exibidores</t>
  </si>
  <si>
    <t>formato</t>
  </si>
  <si>
    <t>estatico</t>
  </si>
  <si>
    <t>digital</t>
  </si>
  <si>
    <t>quantidade</t>
  </si>
  <si>
    <t>periodicidade</t>
  </si>
  <si>
    <t>s1</t>
  </si>
  <si>
    <t>s2</t>
  </si>
  <si>
    <t>s3</t>
  </si>
  <si>
    <t>s4</t>
  </si>
  <si>
    <t>desconto</t>
  </si>
  <si>
    <t>sul</t>
  </si>
  <si>
    <t>pr</t>
  </si>
  <si>
    <t>curitiba</t>
  </si>
  <si>
    <t>prata</t>
  </si>
  <si>
    <t>data produto</t>
  </si>
  <si>
    <t>norte</t>
  </si>
  <si>
    <t>pa</t>
  </si>
  <si>
    <t>8</t>
  </si>
  <si>
    <t>12</t>
  </si>
  <si>
    <t>2</t>
  </si>
  <si>
    <t>3</t>
  </si>
  <si>
    <t>regional_boticario</t>
  </si>
  <si>
    <t>range_minimo</t>
  </si>
  <si>
    <t>range_maximo</t>
  </si>
  <si>
    <t>unitario_bruto_tabela</t>
  </si>
  <si>
    <t>unitario_bruto_negociado</t>
  </si>
  <si>
    <t>total_bruto_negociado</t>
  </si>
  <si>
    <t>data promo</t>
  </si>
  <si>
    <t>flight</t>
  </si>
  <si>
    <t>ouro produto</t>
  </si>
  <si>
    <t>ouro promo</t>
  </si>
  <si>
    <t>rr</t>
  </si>
  <si>
    <t>boa vista</t>
  </si>
  <si>
    <t>4</t>
  </si>
  <si>
    <t>ap</t>
  </si>
  <si>
    <t>macapa</t>
  </si>
  <si>
    <t>am</t>
  </si>
  <si>
    <t>manaus</t>
  </si>
  <si>
    <t>14</t>
  </si>
  <si>
    <t>to</t>
  </si>
  <si>
    <t>palmas</t>
  </si>
  <si>
    <t>6</t>
  </si>
  <si>
    <t>ro</t>
  </si>
  <si>
    <t>porto velho</t>
  </si>
  <si>
    <t>m2 comunicações</t>
  </si>
  <si>
    <t>ac</t>
  </si>
  <si>
    <t>rio branco</t>
  </si>
  <si>
    <t>nordeste</t>
  </si>
  <si>
    <t>se</t>
  </si>
  <si>
    <t>aracaju</t>
  </si>
  <si>
    <t>maceio</t>
  </si>
  <si>
    <t>al</t>
  </si>
  <si>
    <t>natal</t>
  </si>
  <si>
    <t>rn</t>
  </si>
  <si>
    <t>pi</t>
  </si>
  <si>
    <t>teresina</t>
  </si>
  <si>
    <t>sao luis</t>
  </si>
  <si>
    <t>ma</t>
  </si>
  <si>
    <t>joao pessoa</t>
  </si>
  <si>
    <t>pb</t>
  </si>
  <si>
    <t>pe</t>
  </si>
  <si>
    <t>recife</t>
  </si>
  <si>
    <t>ce</t>
  </si>
  <si>
    <t>fortaleza</t>
  </si>
  <si>
    <t>7/17</t>
  </si>
  <si>
    <t>ba</t>
  </si>
  <si>
    <t>salvador</t>
  </si>
  <si>
    <t>sc</t>
  </si>
  <si>
    <t>florianópolis</t>
  </si>
  <si>
    <t>data produto e promo</t>
  </si>
  <si>
    <t>ouro produto e promo</t>
  </si>
  <si>
    <t>rs</t>
  </si>
  <si>
    <t>porto alegre</t>
  </si>
  <si>
    <t>sudeste</t>
  </si>
  <si>
    <t>es</t>
  </si>
  <si>
    <t>vitoria</t>
  </si>
  <si>
    <t xml:space="preserve">sp </t>
  </si>
  <si>
    <t>sao paulo</t>
  </si>
  <si>
    <t>150</t>
  </si>
  <si>
    <t>mg</t>
  </si>
  <si>
    <t>belo horizonte</t>
  </si>
  <si>
    <t>centro oeste</t>
  </si>
  <si>
    <t>df</t>
  </si>
  <si>
    <t>brasilia</t>
  </si>
  <si>
    <t xml:space="preserve">Highline </t>
  </si>
  <si>
    <t>Relogios</t>
  </si>
  <si>
    <t>Metropolis</t>
  </si>
  <si>
    <t>Painel Eixão Sul</t>
  </si>
  <si>
    <t>Visuplac</t>
  </si>
  <si>
    <t>Painel</t>
  </si>
  <si>
    <t xml:space="preserve">Relogio </t>
  </si>
  <si>
    <t>Totem D.Face Pontão L. Sul</t>
  </si>
  <si>
    <t>ms</t>
  </si>
  <si>
    <t>campo grande</t>
  </si>
  <si>
    <t>Total Midia</t>
  </si>
  <si>
    <t xml:space="preserve">Total Midia </t>
  </si>
  <si>
    <t>WeOOh</t>
  </si>
  <si>
    <t>Media Wall/Empena - Master</t>
  </si>
  <si>
    <t>BigMub</t>
  </si>
  <si>
    <t xml:space="preserve">Top Midia </t>
  </si>
  <si>
    <t>Zoom Comunicação</t>
  </si>
  <si>
    <t>Abrigo de onibus</t>
  </si>
  <si>
    <t>13</t>
  </si>
  <si>
    <t xml:space="preserve">Busdoor </t>
  </si>
  <si>
    <t>go</t>
  </si>
  <si>
    <t>goiania</t>
  </si>
  <si>
    <t>Capital Midia</t>
  </si>
  <si>
    <t>Visao Paineis</t>
  </si>
  <si>
    <t>Lets Fly Midia</t>
  </si>
  <si>
    <t>Fenix Paineis</t>
  </si>
  <si>
    <t>Painel Mub</t>
  </si>
  <si>
    <t>Painel MUB</t>
  </si>
  <si>
    <t>mt</t>
  </si>
  <si>
    <t>cuiaba</t>
  </si>
  <si>
    <t>TC Painel</t>
  </si>
  <si>
    <t>Speed Label</t>
  </si>
  <si>
    <t>Painel Gigante</t>
  </si>
  <si>
    <t>Cuiabá Outdoor</t>
  </si>
  <si>
    <t>rj</t>
  </si>
  <si>
    <t>rio de janeiro</t>
  </si>
  <si>
    <t>Mub - Bloco Standard</t>
  </si>
  <si>
    <t>Empena Bota Fogo</t>
  </si>
  <si>
    <t>Empena Leblon</t>
  </si>
  <si>
    <t>Mub RJ Sequencial Rio Sul  (16faces)</t>
  </si>
  <si>
    <t>Digital RJ Sequencial Rio Sul (16 faces)</t>
  </si>
  <si>
    <t>Mub RJ Sequencial Rio Sul  (28faces)</t>
  </si>
  <si>
    <t xml:space="preserve">Mub 100 - RJ </t>
  </si>
  <si>
    <t>Adver</t>
  </si>
  <si>
    <t>Outdoor Tijuca / Zona Norte</t>
  </si>
  <si>
    <t>Outdoor Zona Oeste</t>
  </si>
  <si>
    <t>Criativa</t>
  </si>
  <si>
    <t>Alto Impacto</t>
  </si>
  <si>
    <t>Empena Centro</t>
  </si>
  <si>
    <t xml:space="preserve">Circuito Mub </t>
  </si>
  <si>
    <t>88</t>
  </si>
  <si>
    <t>Painel led - Av das Americas</t>
  </si>
  <si>
    <t>Painel led - Botafogo</t>
  </si>
  <si>
    <t>Taxi Exterior</t>
  </si>
  <si>
    <t>ranking formato</t>
  </si>
  <si>
    <t>IBGE 2024/ CENSO 2022</t>
  </si>
  <si>
    <t>INVESTIMENTO BELEM CAPITAL  OOH  2024</t>
  </si>
  <si>
    <t>INVESTIMENTO PARÁ OOH 2024</t>
  </si>
  <si>
    <t xml:space="preserve">R$ BRUTO BELÉM CAPITAL   -  2025 OOH </t>
  </si>
  <si>
    <t>BUDGET BRUTO PARÁ - 2025 OOH (100%)</t>
  </si>
  <si>
    <t>Exclusão de Bronze</t>
  </si>
  <si>
    <t>CICLOS/MEDALHAS</t>
  </si>
  <si>
    <t>% BUDGET/CICLO</t>
  </si>
  <si>
    <t>R$ MEDALHA</t>
  </si>
  <si>
    <t>R$ UNIT. MEDALHAS</t>
  </si>
  <si>
    <t>Datas</t>
  </si>
  <si>
    <t>3 - 2 produto/1 promo</t>
  </si>
  <si>
    <t>Ouro</t>
  </si>
  <si>
    <t>5 - 4 produto/ 1 promo</t>
  </si>
  <si>
    <t>Prata</t>
  </si>
  <si>
    <t>11 ciclos</t>
  </si>
  <si>
    <t xml:space="preserve">População Target - AS ABC 18/49 </t>
  </si>
  <si>
    <t>Popuação Capital - 1.1303.403</t>
  </si>
  <si>
    <t>Cobertura total - Data Produto</t>
  </si>
  <si>
    <t>70%</t>
  </si>
  <si>
    <t>Cobertura total - Data Promo</t>
  </si>
  <si>
    <t xml:space="preserve">Frequencia </t>
  </si>
  <si>
    <t>39</t>
  </si>
  <si>
    <t>TRP</t>
  </si>
  <si>
    <t>2.623</t>
  </si>
  <si>
    <t>OTS</t>
  </si>
  <si>
    <t>15.338.810</t>
  </si>
  <si>
    <t>Programação - Ciclo Data Produto</t>
  </si>
  <si>
    <t>1 CICLO</t>
  </si>
  <si>
    <t>TOTAL ANO / CLUSTER</t>
  </si>
  <si>
    <t>Praça</t>
  </si>
  <si>
    <t>Exibidores</t>
  </si>
  <si>
    <t>Pen/Aff</t>
  </si>
  <si>
    <t>Canais</t>
  </si>
  <si>
    <t>Formato</t>
  </si>
  <si>
    <t>Range de volume ideal</t>
  </si>
  <si>
    <t>Qtdade</t>
  </si>
  <si>
    <t>Periodicidade</t>
  </si>
  <si>
    <t>Mês Base</t>
  </si>
  <si>
    <t>TT</t>
  </si>
  <si>
    <t>R$ Unit Bruto</t>
  </si>
  <si>
    <t>Desconto</t>
  </si>
  <si>
    <t>R$ TT Bruto</t>
  </si>
  <si>
    <t>%</t>
  </si>
  <si>
    <t xml:space="preserve">R$ Total </t>
  </si>
  <si>
    <t>AMBIENTES</t>
  </si>
  <si>
    <t>FORMATO</t>
  </si>
  <si>
    <t>EMPRESAS</t>
  </si>
  <si>
    <t>S1</t>
  </si>
  <si>
    <t>S2</t>
  </si>
  <si>
    <t>S3</t>
  </si>
  <si>
    <t>S4</t>
  </si>
  <si>
    <t>Flight</t>
  </si>
  <si>
    <t xml:space="preserve">Tabela </t>
  </si>
  <si>
    <t>(%)</t>
  </si>
  <si>
    <t>Negociado</t>
  </si>
  <si>
    <t>ano</t>
  </si>
  <si>
    <t>DATAS MÃES/NATAL</t>
  </si>
  <si>
    <t>GDES</t>
  </si>
  <si>
    <t>TRANSP</t>
  </si>
  <si>
    <t>AERO</t>
  </si>
  <si>
    <t>OPORT</t>
  </si>
  <si>
    <t>ESTÁTICO</t>
  </si>
  <si>
    <t>DIGITAL</t>
  </si>
  <si>
    <t>Belem - PA</t>
  </si>
  <si>
    <t>50/156</t>
  </si>
  <si>
    <t>Digital</t>
  </si>
  <si>
    <t>6/12</t>
  </si>
  <si>
    <t>Estático</t>
  </si>
  <si>
    <t>4/8</t>
  </si>
  <si>
    <t>15/30</t>
  </si>
  <si>
    <t>2/5</t>
  </si>
  <si>
    <t>Estática</t>
  </si>
  <si>
    <t>30/155</t>
  </si>
  <si>
    <t>Som</t>
  </si>
  <si>
    <t>7/30</t>
  </si>
  <si>
    <t>Aeroporto</t>
  </si>
  <si>
    <t>Oportunidades</t>
  </si>
  <si>
    <t>Marítimos / Ativação</t>
  </si>
  <si>
    <t>Total faces compra</t>
  </si>
  <si>
    <t>Total faces simulação</t>
  </si>
  <si>
    <t>Grandes Formatos</t>
  </si>
  <si>
    <t>volume de faces</t>
  </si>
  <si>
    <t>CPFACE</t>
  </si>
  <si>
    <t>Transportes</t>
  </si>
  <si>
    <t>SHARE FACES</t>
  </si>
  <si>
    <t>Programação - Ciclo Data Promo</t>
  </si>
  <si>
    <t xml:space="preserve">ano </t>
  </si>
  <si>
    <t>DATAS BW</t>
  </si>
  <si>
    <t>5/10</t>
  </si>
  <si>
    <t>10/35</t>
  </si>
  <si>
    <t>Cobertura total - Ouro Produto</t>
  </si>
  <si>
    <t>60%</t>
  </si>
  <si>
    <t>Cobertura total - Ouro Promo</t>
  </si>
  <si>
    <t>36</t>
  </si>
  <si>
    <t>2133</t>
  </si>
  <si>
    <t>12.474.261</t>
  </si>
  <si>
    <t>Programação - Ciclo Ouro Produto</t>
  </si>
  <si>
    <t>OURO PRODUTO</t>
  </si>
  <si>
    <t>3/6</t>
  </si>
  <si>
    <t>10/20</t>
  </si>
  <si>
    <t>5/20</t>
  </si>
  <si>
    <t>Programação - Ciclo Ouro Promo</t>
  </si>
  <si>
    <t>Tipo de Mídia</t>
  </si>
  <si>
    <t>Estático/Digital</t>
  </si>
  <si>
    <t>Qtde Sugerida</t>
  </si>
  <si>
    <t>Valor Unit. Bruto</t>
  </si>
  <si>
    <t xml:space="preserve">Valor total </t>
  </si>
  <si>
    <t>Bruto Negociado</t>
  </si>
  <si>
    <t>OURO  PROMO</t>
  </si>
  <si>
    <t>Cobertura total - Prata</t>
  </si>
  <si>
    <t>52%</t>
  </si>
  <si>
    <t>34</t>
  </si>
  <si>
    <t>1795</t>
  </si>
  <si>
    <t>10.497.455</t>
  </si>
  <si>
    <t>Programação - Ciclo Prata</t>
  </si>
  <si>
    <t>PRATA</t>
  </si>
  <si>
    <t>TOTAL  ANO</t>
  </si>
  <si>
    <t>TT EMPRESA</t>
  </si>
  <si>
    <t>saving</t>
  </si>
  <si>
    <t>INVESTIMENTO BOA VISTA CAPITAL  OOH  2024</t>
  </si>
  <si>
    <t>INVESTIMENTO RORAIMA  OOH 2024</t>
  </si>
  <si>
    <t xml:space="preserve">R$ BRUTO BOA VISTA CAPITAL   -  2025 OOH </t>
  </si>
  <si>
    <t>BUDGET BRUTO RORAIMA 2025 OOH (100%)</t>
  </si>
  <si>
    <t>Data</t>
  </si>
  <si>
    <t>10 ciclos</t>
  </si>
  <si>
    <t xml:space="preserve">População Capital </t>
  </si>
  <si>
    <t>População Target - AS ABC 18/49 (logan)</t>
  </si>
  <si>
    <t>39%</t>
  </si>
  <si>
    <t>26</t>
  </si>
  <si>
    <t>326</t>
  </si>
  <si>
    <t>1.345.892</t>
  </si>
  <si>
    <t>TOTAL ANO / CICLO</t>
  </si>
  <si>
    <t>C.P.M. Formato</t>
  </si>
  <si>
    <t>Boa Vista - RR</t>
  </si>
  <si>
    <t>3/5</t>
  </si>
  <si>
    <t>2/4</t>
  </si>
  <si>
    <t>1/2</t>
  </si>
  <si>
    <t>2/3</t>
  </si>
  <si>
    <t>3/8</t>
  </si>
  <si>
    <t>63/153</t>
  </si>
  <si>
    <t>32%</t>
  </si>
  <si>
    <t>234</t>
  </si>
  <si>
    <t>989.689</t>
  </si>
  <si>
    <t>Programação - Ciclo Ouro  Produto</t>
  </si>
  <si>
    <t>Programação - Ciclo Ouro  Promo</t>
  </si>
  <si>
    <t>31%</t>
  </si>
  <si>
    <t>128</t>
  </si>
  <si>
    <t>982.123</t>
  </si>
  <si>
    <t>TT EMPRESAS</t>
  </si>
  <si>
    <t>INVESTIMENTO MACAPA CAPITAL  OOH  2024</t>
  </si>
  <si>
    <t>INVESTIMENTO AMAPA OOH 2024</t>
  </si>
  <si>
    <t xml:space="preserve">R$ BRUTO MACAPA CAPITAL   -  2025 OOH </t>
  </si>
  <si>
    <t>BUDGET BRUTO AMAPA 2025 OOH (100%)</t>
  </si>
  <si>
    <t>Datas (c6/c16/c17)</t>
  </si>
  <si>
    <t>Ouro (c1/c4/c11/c13)</t>
  </si>
  <si>
    <t>Prata (c3/c8/c10/c14)</t>
  </si>
  <si>
    <t>697</t>
  </si>
  <si>
    <t>1.735.289</t>
  </si>
  <si>
    <t>Macapá - AP</t>
  </si>
  <si>
    <t>8/13</t>
  </si>
  <si>
    <t>10/25</t>
  </si>
  <si>
    <t>Macapá- AP</t>
  </si>
  <si>
    <t>Macapá-AP</t>
  </si>
  <si>
    <t>28%</t>
  </si>
  <si>
    <t>21</t>
  </si>
  <si>
    <t>576</t>
  </si>
  <si>
    <t>1.434.026</t>
  </si>
  <si>
    <t>25%</t>
  </si>
  <si>
    <t>412</t>
  </si>
  <si>
    <t>1.027.480</t>
  </si>
  <si>
    <t>INVESTIMENTO MANAUS CAPITAL  OOH  2024</t>
  </si>
  <si>
    <t>INVESTIMENTO AMAZONAS OOH 2024</t>
  </si>
  <si>
    <t xml:space="preserve">R$ BRUTO MANAUS CAPITAL   -  2025 OOH </t>
  </si>
  <si>
    <t>BUDGET BRUTO AMAZONAS - 2025 OOH (100%)</t>
  </si>
  <si>
    <t>População Capital - 2.063.689</t>
  </si>
  <si>
    <t>47%</t>
  </si>
  <si>
    <t>62%</t>
  </si>
  <si>
    <t>27</t>
  </si>
  <si>
    <t>1686</t>
  </si>
  <si>
    <t>11.298.463</t>
  </si>
  <si>
    <t>19.564.087</t>
  </si>
  <si>
    <t>Manaus - AM</t>
  </si>
  <si>
    <t>7/14</t>
  </si>
  <si>
    <t>16/25</t>
  </si>
  <si>
    <t>50/155</t>
  </si>
  <si>
    <t>6/15</t>
  </si>
  <si>
    <t xml:space="preserve">OURO  PRODUTO </t>
  </si>
  <si>
    <t>2/6</t>
  </si>
  <si>
    <t>4/10</t>
  </si>
  <si>
    <t>38%</t>
  </si>
  <si>
    <t>721</t>
  </si>
  <si>
    <t>8.371.052</t>
  </si>
  <si>
    <t>1/4</t>
  </si>
  <si>
    <t>População Capital - 302.692</t>
  </si>
  <si>
    <t>644</t>
  </si>
  <si>
    <t>981.075</t>
  </si>
  <si>
    <t>Palmas - TO</t>
  </si>
  <si>
    <t>Audio</t>
  </si>
  <si>
    <t>24%</t>
  </si>
  <si>
    <t>562</t>
  </si>
  <si>
    <t>857.447</t>
  </si>
  <si>
    <t>3/7</t>
  </si>
  <si>
    <t>8/15</t>
  </si>
  <si>
    <t>23%</t>
  </si>
  <si>
    <t>512</t>
  </si>
  <si>
    <t>781.232</t>
  </si>
  <si>
    <t>74%</t>
  </si>
  <si>
    <t>533</t>
  </si>
  <si>
    <t>1.463.330</t>
  </si>
  <si>
    <t>Porto Velho - RO</t>
  </si>
  <si>
    <t>73%</t>
  </si>
  <si>
    <t>528</t>
  </si>
  <si>
    <t>1.400.123</t>
  </si>
  <si>
    <t>69%</t>
  </si>
  <si>
    <t>19</t>
  </si>
  <si>
    <t>523</t>
  </si>
  <si>
    <t>1.234.901</t>
  </si>
  <si>
    <t>90%</t>
  </si>
  <si>
    <t>91%</t>
  </si>
  <si>
    <t>29</t>
  </si>
  <si>
    <t>268</t>
  </si>
  <si>
    <t>307.995</t>
  </si>
  <si>
    <t>309.900</t>
  </si>
  <si>
    <t>Rio Branco - AC</t>
  </si>
  <si>
    <t>72%</t>
  </si>
  <si>
    <t>267.900</t>
  </si>
  <si>
    <t>OURO PROMO</t>
  </si>
  <si>
    <t>33%</t>
  </si>
  <si>
    <t>120</t>
  </si>
  <si>
    <t>154.980</t>
  </si>
  <si>
    <t>ESTUDO VITORIA</t>
  </si>
  <si>
    <t>BUDGET BRUTO VITORIA  2024</t>
  </si>
  <si>
    <t>BUDGET BRUTO ESPIRITO SANTO    2024</t>
  </si>
  <si>
    <t>BUDGET BRUTO VITORIA   2025</t>
  </si>
  <si>
    <t>BUDGET BRUTO ESPIRITO SANTO 2025</t>
  </si>
  <si>
    <t>4 - 3 produto/ 1 promo</t>
  </si>
  <si>
    <t>População  Capital   322.869</t>
  </si>
  <si>
    <t>85</t>
  </si>
  <si>
    <t>2672</t>
  </si>
  <si>
    <t>31.009.763</t>
  </si>
  <si>
    <t>CLEAR</t>
  </si>
  <si>
    <t>Vitoria - ES</t>
  </si>
  <si>
    <t>52/168</t>
  </si>
  <si>
    <t>46/153</t>
  </si>
  <si>
    <t>Estatico</t>
  </si>
  <si>
    <t>8/18</t>
  </si>
  <si>
    <t>79</t>
  </si>
  <si>
    <t>2449</t>
  </si>
  <si>
    <t>28.416.620</t>
  </si>
  <si>
    <t>30%</t>
  </si>
  <si>
    <t>54%</t>
  </si>
  <si>
    <t>1698</t>
  </si>
  <si>
    <t>19.699.002</t>
  </si>
  <si>
    <t>INVESTIMENTO SÃO PAULO  CAPITAL  OOH  2024</t>
  </si>
  <si>
    <t>INVESTIMENTO SÃO PAULO  OOH 2024</t>
  </si>
  <si>
    <t xml:space="preserve">R$ BRUTO SÃO PAULO  CAPITAL   -  2025 OOH </t>
  </si>
  <si>
    <t>BUDGET BRUTO SÃO PAULO  2025 OOH (100%)</t>
  </si>
  <si>
    <t>População Capital - 11.451.999</t>
  </si>
  <si>
    <t>61%</t>
  </si>
  <si>
    <t>45</t>
  </si>
  <si>
    <t>2727</t>
  </si>
  <si>
    <t>129.670.968</t>
  </si>
  <si>
    <t>SHOP</t>
  </si>
  <si>
    <t>São Paulo - SP</t>
  </si>
  <si>
    <t>54/176</t>
  </si>
  <si>
    <t>130/200</t>
  </si>
  <si>
    <t>70/150</t>
  </si>
  <si>
    <t>49/289</t>
  </si>
  <si>
    <t>Digital Paulista</t>
  </si>
  <si>
    <t xml:space="preserve">Digital FAL Faria Lima </t>
  </si>
  <si>
    <t>28/294</t>
  </si>
  <si>
    <t>Adesivação Externa 4 carros - Trem Azul</t>
  </si>
  <si>
    <t>39/136</t>
  </si>
  <si>
    <t>Circuito Cobertura 1 - 100 faces estático</t>
  </si>
  <si>
    <t>100/200</t>
  </si>
  <si>
    <t>Circuito Cobertura 1 - 50 faces digitais</t>
  </si>
  <si>
    <t>50/100</t>
  </si>
  <si>
    <t>42/104</t>
  </si>
  <si>
    <t xml:space="preserve"> (Budget oportuniddade para desenvolvimento ativação)</t>
  </si>
  <si>
    <t>Circuito DOOH - 70 faces</t>
  </si>
  <si>
    <t>28/216</t>
  </si>
  <si>
    <t>Relogios Digitais - Embarque/Desembarque - 28 faces</t>
  </si>
  <si>
    <t xml:space="preserve">Circuito DOOH - 40 faces </t>
  </si>
  <si>
    <t xml:space="preserve"> (desenvolvimento ativação com budget oportunidade)</t>
  </si>
  <si>
    <t>33/114</t>
  </si>
  <si>
    <t>Monitores em Terminais Urbanos</t>
  </si>
  <si>
    <t xml:space="preserve">Shopping </t>
  </si>
  <si>
    <t>27/139</t>
  </si>
  <si>
    <t>9/123</t>
  </si>
  <si>
    <t>Shopping</t>
  </si>
  <si>
    <t>ITABUS/CARREGA+</t>
  </si>
  <si>
    <t>Digital PSE Sé</t>
  </si>
  <si>
    <t>Full Digital - Linha Verde - Meia Cota</t>
  </si>
  <si>
    <t>35/176</t>
  </si>
  <si>
    <t xml:space="preserve">Adesivo em banco </t>
  </si>
  <si>
    <t>90/200</t>
  </si>
  <si>
    <t>Circuito DOOH - 40 faces</t>
  </si>
  <si>
    <t>55%</t>
  </si>
  <si>
    <t>2205</t>
  </si>
  <si>
    <t>104.861.336</t>
  </si>
  <si>
    <t>100/150</t>
  </si>
  <si>
    <t>50/110</t>
  </si>
  <si>
    <t>80/160</t>
  </si>
  <si>
    <t>50/130</t>
  </si>
  <si>
    <t>ITABUS/CARREGA +</t>
  </si>
  <si>
    <t>48%</t>
  </si>
  <si>
    <t>1726</t>
  </si>
  <si>
    <t>82.047.643</t>
  </si>
  <si>
    <t>70/130</t>
  </si>
  <si>
    <t>50/80</t>
  </si>
  <si>
    <t>60/130</t>
  </si>
  <si>
    <t>ESTUDO BELO HORIZONTE</t>
  </si>
  <si>
    <t>BUDGET BRUTO BELO HORIZONTE 2024</t>
  </si>
  <si>
    <t>BUDGET BRUTO MINAS GERAIS  2024</t>
  </si>
  <si>
    <t>BUDGET BRUTO BELO HORIZONTE 2025</t>
  </si>
  <si>
    <t>BUDGET BRUTO MINAS GERAIS  2025</t>
  </si>
  <si>
    <t>População capital</t>
  </si>
  <si>
    <t>90</t>
  </si>
  <si>
    <t>4.385</t>
  </si>
  <si>
    <t>28.436.015</t>
  </si>
  <si>
    <t>Belo Horizonte - BH</t>
  </si>
  <si>
    <t>41/155</t>
  </si>
  <si>
    <t>15/23</t>
  </si>
  <si>
    <t>47/146</t>
  </si>
  <si>
    <t>38/131</t>
  </si>
  <si>
    <t>60</t>
  </si>
  <si>
    <t>20/35</t>
  </si>
  <si>
    <t>13/169</t>
  </si>
  <si>
    <t>R$ Unit. Bruto</t>
  </si>
  <si>
    <t>28/142</t>
  </si>
  <si>
    <t>12/24</t>
  </si>
  <si>
    <t>21/105</t>
  </si>
  <si>
    <t>12/25</t>
  </si>
  <si>
    <t>47/116</t>
  </si>
  <si>
    <t>14/20</t>
  </si>
  <si>
    <t>Cob tt - Ouro Produto</t>
  </si>
  <si>
    <t>40%</t>
  </si>
  <si>
    <t>Cob tt- Ouro Promo</t>
  </si>
  <si>
    <t>89</t>
  </si>
  <si>
    <t>3.609</t>
  </si>
  <si>
    <t>23.379.555</t>
  </si>
  <si>
    <t>OURO /PRODUTO</t>
  </si>
  <si>
    <t>13/20</t>
  </si>
  <si>
    <t>15/25</t>
  </si>
  <si>
    <t>10/23</t>
  </si>
  <si>
    <t>8/16</t>
  </si>
  <si>
    <t xml:space="preserve">Cob tt </t>
  </si>
  <si>
    <t>2.799</t>
  </si>
  <si>
    <t>18.112.311</t>
  </si>
  <si>
    <t>10/15</t>
  </si>
  <si>
    <t>12/23</t>
  </si>
  <si>
    <t>ESTUDO RIO DE JANEIRO</t>
  </si>
  <si>
    <t>INVESTIMENTO RIO DE JANEIRO CAPITAL  OOH  2024</t>
  </si>
  <si>
    <t>INVESTIMENTO RIO DE JANEIRO OOH 2024</t>
  </si>
  <si>
    <t xml:space="preserve">R$ BRUTO RIO DE JANEIRO CAPITAL  -  2025 OOH </t>
  </si>
  <si>
    <t>BUDGET BRUTO RIO DE JANEIRO - 2025 OOH (100%)</t>
  </si>
  <si>
    <t>4 - 3 produto / 1 promo</t>
  </si>
  <si>
    <t>1318</t>
  </si>
  <si>
    <t>45.708.065</t>
  </si>
  <si>
    <t xml:space="preserve">R$ TT </t>
  </si>
  <si>
    <t>Tabela</t>
  </si>
  <si>
    <t>TUTO</t>
  </si>
  <si>
    <t>Rio de Janeiro - RJ</t>
  </si>
  <si>
    <t>50/250</t>
  </si>
  <si>
    <t>51/157</t>
  </si>
  <si>
    <t xml:space="preserve"> 01/06</t>
  </si>
  <si>
    <t>47/178</t>
  </si>
  <si>
    <t>Mub RJ Sequencial Rio Sul (16)</t>
  </si>
  <si>
    <t>Digital RJ Sequencial Rio Sul</t>
  </si>
  <si>
    <t>Mub RJ Sequencial Rio Sul (06 digitais + 22 faces estáticas)</t>
  </si>
  <si>
    <t>20/30</t>
  </si>
  <si>
    <t xml:space="preserve"> 04/10</t>
  </si>
  <si>
    <t xml:space="preserve"> 02/08</t>
  </si>
  <si>
    <t>25/35</t>
  </si>
  <si>
    <t xml:space="preserve"> 4/10</t>
  </si>
  <si>
    <t>34/175</t>
  </si>
  <si>
    <t>30/50</t>
  </si>
  <si>
    <t>62/153</t>
  </si>
  <si>
    <t>35%</t>
  </si>
  <si>
    <t>1022</t>
  </si>
  <si>
    <t>35.472.912</t>
  </si>
  <si>
    <t xml:space="preserve"> 01/04</t>
  </si>
  <si>
    <t>18/35</t>
  </si>
  <si>
    <t>13/25</t>
  </si>
  <si>
    <t>20/40</t>
  </si>
  <si>
    <t>8/28</t>
  </si>
  <si>
    <t>672</t>
  </si>
  <si>
    <t>23.327.197</t>
  </si>
  <si>
    <t>R$ TT</t>
  </si>
  <si>
    <t xml:space="preserve"> 10/20</t>
  </si>
  <si>
    <t xml:space="preserve"> 02/06</t>
  </si>
  <si>
    <t>7 ciclos</t>
  </si>
  <si>
    <t>49%</t>
  </si>
  <si>
    <t>1816</t>
  </si>
  <si>
    <t>2.346</t>
  </si>
  <si>
    <t>62.990.728</t>
  </si>
  <si>
    <t>81.401.096</t>
  </si>
  <si>
    <t>43%</t>
  </si>
  <si>
    <t>1.554</t>
  </si>
  <si>
    <t>53.900.571</t>
  </si>
  <si>
    <t>ESTUDO BRASILIA</t>
  </si>
  <si>
    <t>IBGE 2024/CENSO 2022</t>
  </si>
  <si>
    <t>%CICLO</t>
  </si>
  <si>
    <t>R$ TT MEDALHA</t>
  </si>
  <si>
    <t xml:space="preserve">R$ UNIT. </t>
  </si>
  <si>
    <t>3 ciclos</t>
  </si>
  <si>
    <t>5 ciclos</t>
  </si>
  <si>
    <t>População Capital</t>
  </si>
  <si>
    <t>Frequencia</t>
  </si>
  <si>
    <t>Impactos</t>
  </si>
  <si>
    <t>TT 
Flighs</t>
  </si>
  <si>
    <t xml:space="preserve">Valor Unit. Bruto Tabela </t>
  </si>
  <si>
    <t>Desconto
 (%)</t>
  </si>
  <si>
    <t>Valor Unit. Bruto Negociado</t>
  </si>
  <si>
    <t>Valor total Bruto negociado</t>
  </si>
  <si>
    <t>WE</t>
  </si>
  <si>
    <t>Brasilia - DF</t>
  </si>
  <si>
    <t>63/198</t>
  </si>
  <si>
    <t>42/134</t>
  </si>
  <si>
    <t xml:space="preserve"> 1/3</t>
  </si>
  <si>
    <t>27/235</t>
  </si>
  <si>
    <t>10/30</t>
  </si>
  <si>
    <t>DATAS  PROMO</t>
  </si>
  <si>
    <t>8/20</t>
  </si>
  <si>
    <t>6/18</t>
  </si>
  <si>
    <t>TT ANO</t>
  </si>
  <si>
    <t xml:space="preserve">53% </t>
  </si>
  <si>
    <t>1148</t>
  </si>
  <si>
    <t>9.170.320</t>
  </si>
  <si>
    <t>Campo Grande - MS</t>
  </si>
  <si>
    <t>45/146</t>
  </si>
  <si>
    <t>51/160</t>
  </si>
  <si>
    <t>5/13</t>
  </si>
  <si>
    <t>50/123</t>
  </si>
  <si>
    <t>22/113</t>
  </si>
  <si>
    <t>639</t>
  </si>
  <si>
    <t>7.500.845</t>
  </si>
  <si>
    <t>4/12</t>
  </si>
  <si>
    <t>6/14</t>
  </si>
  <si>
    <t>667</t>
  </si>
  <si>
    <t>5.328.140</t>
  </si>
  <si>
    <t>2/10</t>
  </si>
  <si>
    <t>5/12</t>
  </si>
  <si>
    <t>INVESTIMENTO GOIANIA CAPITAL  OOH  2024</t>
  </si>
  <si>
    <t>INVESTIMENTO GOIAS OOH 2024</t>
  </si>
  <si>
    <t xml:space="preserve">R$ BRUTO GOIANIA CAPITAL   -  2025 OOH </t>
  </si>
  <si>
    <t>BUDGET BRUTO GOIAS - 2025 OOH (100%)</t>
  </si>
  <si>
    <t>939</t>
  </si>
  <si>
    <t>Goiania - GO</t>
  </si>
  <si>
    <t>8/17</t>
  </si>
  <si>
    <t>7/16</t>
  </si>
  <si>
    <t>62/94</t>
  </si>
  <si>
    <t>15/77</t>
  </si>
  <si>
    <t>46%</t>
  </si>
  <si>
    <t>789</t>
  </si>
  <si>
    <t>6.308.003</t>
  </si>
  <si>
    <t>51/150</t>
  </si>
  <si>
    <t>5/14</t>
  </si>
  <si>
    <t>7/20</t>
  </si>
  <si>
    <t>3/10</t>
  </si>
  <si>
    <t>INVESTIMENTO CUIABA CAPITAL  OOH  2024</t>
  </si>
  <si>
    <t>INVESTIMENTO MATO GROSSO   OOH 2024</t>
  </si>
  <si>
    <t xml:space="preserve">R$ BRUTO CUIABA CAPITAL   -  2025 OOH </t>
  </si>
  <si>
    <t>BUDGET BRUTO MATO GROSSO  - 2025 OOH (100%)</t>
  </si>
  <si>
    <t>38</t>
  </si>
  <si>
    <t>1900</t>
  </si>
  <si>
    <t>6.616.130</t>
  </si>
  <si>
    <t>Cuiabá - MT</t>
  </si>
  <si>
    <t>Cuiaba - MT</t>
  </si>
  <si>
    <t>43/106</t>
  </si>
  <si>
    <t>37</t>
  </si>
  <si>
    <t>1741</t>
  </si>
  <si>
    <t>6062142</t>
  </si>
  <si>
    <t>Cuiaba- MT</t>
  </si>
  <si>
    <t>1708</t>
  </si>
  <si>
    <t>5.948.305</t>
  </si>
  <si>
    <t>ESTUDO FLORIANÓPOLIS</t>
  </si>
  <si>
    <t>BUDGET BRUTO FLORIANÓPOLIS  2024</t>
  </si>
  <si>
    <t>BUDGET BRUTO SANTA CATARINA   2024</t>
  </si>
  <si>
    <t>BUDGET BRUTO FLORIANÓPOLIS   2025</t>
  </si>
  <si>
    <t>BUDGET BRUTO SANTA CATARINA 2025</t>
  </si>
  <si>
    <t>64</t>
  </si>
  <si>
    <t>4.483</t>
  </si>
  <si>
    <t>9.736.969</t>
  </si>
  <si>
    <t>Florianópolis - SC</t>
  </si>
  <si>
    <t>48/157</t>
  </si>
  <si>
    <t>4/9</t>
  </si>
  <si>
    <t>44/143</t>
  </si>
  <si>
    <t>20/50</t>
  </si>
  <si>
    <t>40/138</t>
  </si>
  <si>
    <t>25/147</t>
  </si>
  <si>
    <t>40/100</t>
  </si>
  <si>
    <t>Cobertura total - Ouro Produrto</t>
  </si>
  <si>
    <t>51</t>
  </si>
  <si>
    <t>3.138</t>
  </si>
  <si>
    <t>6.813.061</t>
  </si>
  <si>
    <t>2.067</t>
  </si>
  <si>
    <t>4.483.844</t>
  </si>
  <si>
    <t>ESTUDO CURITIBA</t>
  </si>
  <si>
    <t>BUDGET BRUTO CURITIBA 2024</t>
  </si>
  <si>
    <t>BUDGET BRUTO PARANÁ   2024</t>
  </si>
  <si>
    <t>BUDGET BRUTO CURITIBA  2025</t>
  </si>
  <si>
    <t>BUDGET BRUTO  PARANÁ 2025</t>
  </si>
  <si>
    <t>3 - produto e promo</t>
  </si>
  <si>
    <t>4 - produto e promo</t>
  </si>
  <si>
    <t>Obs.: Em função da disponibilidade de canais em Curitiba, recomendamos a mesma tática para os ciclos produto e promo</t>
  </si>
  <si>
    <t xml:space="preserve">Cobertura total - Data </t>
  </si>
  <si>
    <t>56%</t>
  </si>
  <si>
    <t>2515</t>
  </si>
  <si>
    <t>25.245.709</t>
  </si>
  <si>
    <t>Programação - Ciclo Data Produto e Promo (legislação não permite formtatos usamos nos clusters promo)</t>
  </si>
  <si>
    <t xml:space="preserve"> R$ Unit Bruto </t>
  </si>
  <si>
    <t xml:space="preserve"> R$ TT Bruto </t>
  </si>
  <si>
    <t xml:space="preserve"> Tabela  </t>
  </si>
  <si>
    <t xml:space="preserve"> Negociado </t>
  </si>
  <si>
    <t>DATAS MÃES/NATAL/BW</t>
  </si>
  <si>
    <t> </t>
  </si>
  <si>
    <t>Curitiba - PR</t>
  </si>
  <si>
    <t>48/158</t>
  </si>
  <si>
    <t>43/164</t>
  </si>
  <si>
    <t xml:space="preserve"> CPFACE </t>
  </si>
  <si>
    <t>Cobertura total - Ouro</t>
  </si>
  <si>
    <t>53%</t>
  </si>
  <si>
    <t>2271</t>
  </si>
  <si>
    <t>21.425.433</t>
  </si>
  <si>
    <t>Programação - Ciclo Ouro Produto e Promo</t>
  </si>
  <si>
    <t>OURO /PRODUTO E PROMO</t>
  </si>
  <si>
    <t>818</t>
  </si>
  <si>
    <t>14.496.336</t>
  </si>
  <si>
    <t>ESTUDO PORTO ALEGRE</t>
  </si>
  <si>
    <t>BUDGET BRUTO PORTO ALEGRE  2024</t>
  </si>
  <si>
    <t>BUDGET BRUTO R.G. DO SUL  2024</t>
  </si>
  <si>
    <t>BUDGET BRUTO PORTO ALEGRE 2025</t>
  </si>
  <si>
    <t>BUDGET BRUTO R.G.DO SUL  2025</t>
  </si>
  <si>
    <t>Cobertura total - Data</t>
  </si>
  <si>
    <t>67%</t>
  </si>
  <si>
    <t>59</t>
  </si>
  <si>
    <t>3971</t>
  </si>
  <si>
    <t>16.129.488</t>
  </si>
  <si>
    <t>Porto Alegre - RS</t>
  </si>
  <si>
    <t>42/130</t>
  </si>
  <si>
    <t>7/15</t>
  </si>
  <si>
    <t>34/117</t>
  </si>
  <si>
    <t>39/148</t>
  </si>
  <si>
    <t>65</t>
  </si>
  <si>
    <t>46/113</t>
  </si>
  <si>
    <t>16/30</t>
  </si>
  <si>
    <t>Cobertura total -Ouro Produto</t>
  </si>
  <si>
    <t>46</t>
  </si>
  <si>
    <t>2753</t>
  </si>
  <si>
    <t>11.182.815</t>
  </si>
  <si>
    <t>OURO /PROMO</t>
  </si>
  <si>
    <t xml:space="preserve">Cobertura total </t>
  </si>
  <si>
    <t>52</t>
  </si>
  <si>
    <t>3236</t>
  </si>
  <si>
    <t>13.147.531</t>
  </si>
  <si>
    <t>ESTUDO  ARACAJU</t>
  </si>
  <si>
    <t>INVESTIMENTO ARACAJU  OOH  2024</t>
  </si>
  <si>
    <t>INVESTIMENTO SERGIPE OOH 2024</t>
  </si>
  <si>
    <t xml:space="preserve">R$ BRUTO ARACAJU -  2025 OOH </t>
  </si>
  <si>
    <t>BUDGET BRUTO SERGIPE  - 2025 OOH (100%)</t>
  </si>
  <si>
    <t>616</t>
  </si>
  <si>
    <t>1.862.404</t>
  </si>
  <si>
    <t>Aracaju - SE</t>
  </si>
  <si>
    <t>36/117</t>
  </si>
  <si>
    <t>ARACA</t>
  </si>
  <si>
    <t>45/143</t>
  </si>
  <si>
    <t>Aracaju- SE</t>
  </si>
  <si>
    <t>46/112</t>
  </si>
  <si>
    <t>51%</t>
  </si>
  <si>
    <t>443</t>
  </si>
  <si>
    <t>1.338.955</t>
  </si>
  <si>
    <t xml:space="preserve">Programação - Ciclo Ouro Produto </t>
  </si>
  <si>
    <t>OURO  PRODUTO</t>
  </si>
  <si>
    <t>ESTUDO MACEIO</t>
  </si>
  <si>
    <t>BUDGET BRUTO MACEIO  2024</t>
  </si>
  <si>
    <t>BUDGET BRUTO ALAGOAS    2024</t>
  </si>
  <si>
    <t>BUDGET BRUTO MACEIO   2025</t>
  </si>
  <si>
    <t>BUDGET BRUTO ALAGOAS 2025</t>
  </si>
  <si>
    <t>58%</t>
  </si>
  <si>
    <t>2204</t>
  </si>
  <si>
    <t>9.660.917</t>
  </si>
  <si>
    <t>INWAY</t>
  </si>
  <si>
    <t>Maceio - AL</t>
  </si>
  <si>
    <t>41/135</t>
  </si>
  <si>
    <t>34/146</t>
  </si>
  <si>
    <t>56/194</t>
  </si>
  <si>
    <t>5/8</t>
  </si>
  <si>
    <t>58/143</t>
  </si>
  <si>
    <t>32/165</t>
  </si>
  <si>
    <t>45%</t>
  </si>
  <si>
    <t>Cobertura total -Ouro Promo</t>
  </si>
  <si>
    <t>1391</t>
  </si>
  <si>
    <t>6.096.659</t>
  </si>
  <si>
    <t>4/6</t>
  </si>
  <si>
    <t>1060</t>
  </si>
  <si>
    <t>4.844.268</t>
  </si>
  <si>
    <t>Programação - Ciclo Ouro  Prata</t>
  </si>
  <si>
    <t>ESTUDO NATAL</t>
  </si>
  <si>
    <t>BUDGET BRUTO NATAL  2024</t>
  </si>
  <si>
    <t>BUDGET BRUTO R.GDE. DO NORTE   2024</t>
  </si>
  <si>
    <t>BUDGET BRUTO NATAL  2025</t>
  </si>
  <si>
    <t>BUDGET BRUTO R.GDE. DO NORTE 2025</t>
  </si>
  <si>
    <t>47</t>
  </si>
  <si>
    <t>3.249</t>
  </si>
  <si>
    <t>5.456.512</t>
  </si>
  <si>
    <t>Natal - RN</t>
  </si>
  <si>
    <t>65%</t>
  </si>
  <si>
    <t>2.595</t>
  </si>
  <si>
    <t>4.361.612</t>
  </si>
  <si>
    <t>64%</t>
  </si>
  <si>
    <t>2.515</t>
  </si>
  <si>
    <t>4.228.613</t>
  </si>
  <si>
    <t>ESTUDO TERESINA</t>
  </si>
  <si>
    <t>INVESTIMENTO TERESINA  OOH  2024</t>
  </si>
  <si>
    <t>INVESTIMENTO PIAUÍ OOH 2024</t>
  </si>
  <si>
    <t xml:space="preserve">R$ BRUTO TERESINA  -  2025 OOH </t>
  </si>
  <si>
    <t>BUDGET BRUTO PIAUÍ  - 2025 OOH (100%)</t>
  </si>
  <si>
    <t>34%</t>
  </si>
  <si>
    <t>758</t>
  </si>
  <si>
    <t>3.101.499</t>
  </si>
  <si>
    <t>Teresina - MA</t>
  </si>
  <si>
    <t>51/169</t>
  </si>
  <si>
    <t>7/12</t>
  </si>
  <si>
    <t>6/10</t>
  </si>
  <si>
    <t>659</t>
  </si>
  <si>
    <t>2.697.794</t>
  </si>
  <si>
    <t>2.521.048</t>
  </si>
  <si>
    <t>8/14</t>
  </si>
  <si>
    <t>36%</t>
  </si>
  <si>
    <t>858</t>
  </si>
  <si>
    <t>4.890.496</t>
  </si>
  <si>
    <t>São Luis - MA</t>
  </si>
  <si>
    <t>654</t>
  </si>
  <si>
    <t>3.727.078</t>
  </si>
  <si>
    <t>6/16</t>
  </si>
  <si>
    <t>308</t>
  </si>
  <si>
    <t>1.754.274</t>
  </si>
  <si>
    <t>ESTUDO JOÃO PESSOA</t>
  </si>
  <si>
    <t>INVESTIMENTO JOÃO PESSOA  OOH  2024</t>
  </si>
  <si>
    <t>INVESTIMENTO PARAIBA  OOH 2024</t>
  </si>
  <si>
    <t xml:space="preserve">R$ BRUTO JOÃO PESSOA -  2025 OOH </t>
  </si>
  <si>
    <t>BUDGET BRUTO PARAIBA - 2025 OOH (100%)</t>
  </si>
  <si>
    <t>799</t>
  </si>
  <si>
    <t>3.191.191</t>
  </si>
  <si>
    <t>João Pessoa - PB</t>
  </si>
  <si>
    <t>58/178</t>
  </si>
  <si>
    <t>7/10</t>
  </si>
  <si>
    <t>40/130</t>
  </si>
  <si>
    <t>571</t>
  </si>
  <si>
    <t>2.276.444</t>
  </si>
  <si>
    <t>4/7</t>
  </si>
  <si>
    <t>3/15</t>
  </si>
  <si>
    <t>431</t>
  </si>
  <si>
    <t>1.719.830</t>
  </si>
  <si>
    <t>2/8</t>
  </si>
  <si>
    <t>ESTUDO RECIFE</t>
  </si>
  <si>
    <t xml:space="preserve">BUDGET BRUTO PERNAMBUCO  2025 OOH </t>
  </si>
  <si>
    <t>BUDGET RECIFE BRUTO 2025 (85%)</t>
  </si>
  <si>
    <t xml:space="preserve">Datas </t>
  </si>
  <si>
    <t xml:space="preserve">Ouro </t>
  </si>
  <si>
    <t xml:space="preserve">Prata </t>
  </si>
  <si>
    <t>Recife - PE</t>
  </si>
  <si>
    <t>48/215</t>
  </si>
  <si>
    <t>57/179</t>
  </si>
  <si>
    <t>20/258</t>
  </si>
  <si>
    <t>28/165</t>
  </si>
  <si>
    <t>8/25</t>
  </si>
  <si>
    <t xml:space="preserve">Qtde </t>
  </si>
  <si>
    <t>Qtd. 
Sugerida</t>
  </si>
  <si>
    <t>Total</t>
  </si>
  <si>
    <t>OURO - PROMO</t>
  </si>
  <si>
    <t>ESTUDO FORTALEZA</t>
  </si>
  <si>
    <t>População Fortaleza - 2.428.708</t>
  </si>
  <si>
    <t>BUDGET BRUTO CEARÁ 2025 OOH (3%)</t>
  </si>
  <si>
    <t>BUDGET FORTALEZA BRUTO 2025</t>
  </si>
  <si>
    <t xml:space="preserve">FORTALEZA 2024 </t>
  </si>
  <si>
    <t>CEARÁ 2024</t>
  </si>
  <si>
    <t>Datas (C6/C16/C17)</t>
  </si>
  <si>
    <t>Ouro (C1/C4/C9/C11/C13)</t>
  </si>
  <si>
    <t>Prata (C3/C8/C10)</t>
  </si>
  <si>
    <t>Cobertura target</t>
  </si>
  <si>
    <t>Quantidade</t>
  </si>
  <si>
    <t>Fortaleza - CE</t>
  </si>
  <si>
    <t>54/172</t>
  </si>
  <si>
    <t>9/14</t>
  </si>
  <si>
    <t>bonific</t>
  </si>
  <si>
    <t>BW</t>
  </si>
  <si>
    <t>34/174</t>
  </si>
  <si>
    <t>A determinar</t>
  </si>
  <si>
    <t>Estático/ Digital</t>
  </si>
  <si>
    <t>ESTUDO  SALVADOR</t>
  </si>
  <si>
    <t>INVESTIMENTO SALVADOR  OOH  2024</t>
  </si>
  <si>
    <t>INVESTIMENTO BAHIA OOH 2024</t>
  </si>
  <si>
    <t xml:space="preserve">R$ BRUTO SALVADOR -  2025 OOH </t>
  </si>
  <si>
    <t>BUDGET BRUTO BAHIA  - 2025 OOH (100%)</t>
  </si>
  <si>
    <t>2108</t>
  </si>
  <si>
    <t>23.805.583</t>
  </si>
  <si>
    <t>Salvador - BA</t>
  </si>
  <si>
    <t>15/20</t>
  </si>
  <si>
    <t>18/208</t>
  </si>
  <si>
    <t>35/177</t>
  </si>
  <si>
    <t>46/147</t>
  </si>
  <si>
    <t>1321</t>
  </si>
  <si>
    <t>14.914.385</t>
  </si>
  <si>
    <t>cpf mínimo</t>
  </si>
  <si>
    <t>cpf plano</t>
  </si>
  <si>
    <t>cpf máximo</t>
  </si>
  <si>
    <t>DATA PRODUTO</t>
  </si>
  <si>
    <t>DATA PROMO</t>
  </si>
  <si>
    <t xml:space="preserve">ranking semanas -  distribuição investimento </t>
  </si>
  <si>
    <t xml:space="preserve">ranking semanas -  distribuição audiência </t>
  </si>
  <si>
    <t>ciclos</t>
  </si>
  <si>
    <t>pesos</t>
  </si>
  <si>
    <t>ranking</t>
  </si>
  <si>
    <t xml:space="preserve">ranking </t>
  </si>
  <si>
    <t>peso</t>
  </si>
  <si>
    <t>ESTUDO BELEM</t>
  </si>
  <si>
    <t>ESTUDO BOA VISTA</t>
  </si>
  <si>
    <t>ESTUDO MACAPA</t>
  </si>
  <si>
    <t>ESTUDO MANAUS</t>
  </si>
  <si>
    <t>ESTUDO PALMAS</t>
  </si>
  <si>
    <t>INVESTIMENTO PALMAS CAPITAL  OOH  2024</t>
  </si>
  <si>
    <t>INVESTIMENTO TOCANTINS OOH 2024</t>
  </si>
  <si>
    <t xml:space="preserve">R$ BRUTO PALMAS  CAPITAL   -  2025 OOH </t>
  </si>
  <si>
    <t>BUDGET BRUTO TOCANTINS - 2025 OOH (100%)</t>
  </si>
  <si>
    <t>ESTUDO PORTO VELHO</t>
  </si>
  <si>
    <t>INVESTIMENTO PORTO VELHO  CAPITAL  OOH  2024</t>
  </si>
  <si>
    <t>INVESTIMENTO RONDONIA OOH 2024</t>
  </si>
  <si>
    <t xml:space="preserve">R$ BRUTO PORTO VELHO CAPITAL   -  2025 OOH </t>
  </si>
  <si>
    <t>BUDGET BRUTO RONDONIA - 2025 OOH (100%)</t>
  </si>
  <si>
    <t xml:space="preserve">ESTUDO RIO BRANCO </t>
  </si>
  <si>
    <t>INVESTIMENTO RIO BRANCO  CAPITAL  OOH  2024</t>
  </si>
  <si>
    <t>INVESTIMENTO ACRE OOH 2024</t>
  </si>
  <si>
    <t xml:space="preserve">R$ BRUTO RIO BRANCO CAPITAL   -  2025 OOH </t>
  </si>
  <si>
    <t>BUDGET BRUTO ACRE - 2025 OOH (100%)</t>
  </si>
  <si>
    <t>ESTUDO SÃO PAULO</t>
  </si>
  <si>
    <t>ESTUDO CAMPO GRANDE</t>
  </si>
  <si>
    <t>INVESTIMENTO CAMPO GRANDE  CAPITAL  OOH  2024</t>
  </si>
  <si>
    <t>INVESTIMENTO MATO GROSSO DO SUL  OOH 2024</t>
  </si>
  <si>
    <t xml:space="preserve">R$ BRUTO CAMPO GRANDE CAPITAL   -  2025 OOH </t>
  </si>
  <si>
    <t>BUDGET BRUTO MATO GROSSO DO SUL  - 2025 OOH (100%)</t>
  </si>
  <si>
    <t>ESTUDO GOIANIA</t>
  </si>
  <si>
    <t>ESTUDO CUIABÁ</t>
  </si>
  <si>
    <t>ESTUDO  SÃO LUIS</t>
  </si>
  <si>
    <t>INVESTIMENTO SÃO LUIS  OOH  2024</t>
  </si>
  <si>
    <t>INVESTIMENTO MARANHAO OOH 2024</t>
  </si>
  <si>
    <t xml:space="preserve">R$ BRUTO SÃO LUIS -  2025 OOH </t>
  </si>
  <si>
    <t>BUDGET BRUTO MARANHÃO  - 2025 OOH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</si>
</sst>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R$&quot;\ #,##0;[Red]\-&quot;R$&quot;\ #,##0"/>
    <numFmt numFmtId="165" formatCode="_-&quot;R$&quot;\ * #,##0.00_-;\-&quot;R$&quot;\ * #,##0.00_-;_-&quot;R$&quot;\ * &quot;-&quot;??_-;_-@_-"/>
    <numFmt numFmtId="166" formatCode="_-* #,##0.00_-;\-* #,##0.00_-;_-* &quot;-&quot;??_-;_-@_-"/>
    <numFmt numFmtId="167" formatCode="_-* #,##0.0_-;\-* #,##0.0_-;_-* &quot;-&quot;??_-;_-@_-"/>
    <numFmt numFmtId="168" formatCode="0.0"/>
    <numFmt numFmtId="169" formatCode="&quot;R$&quot;\ #,##0"/>
    <numFmt numFmtId="170" formatCode="_-* #,##0_-;\-* #,##0_-;_-* &quot;-&quot;??_-;_-@_-"/>
    <numFmt numFmtId="171" formatCode="_-* #,##0.0_-;\-* #,##0.0_-;_-* &quot;-&quot;?_-;_-@_-"/>
    <numFmt numFmtId="172" formatCode="&quot;R$&quot;\ #,##0.0"/>
    <numFmt numFmtId="173" formatCode="&quot;R$&quot;\ #,##0.00"/>
    <numFmt numFmtId="174" formatCode="d/m;@"/>
    <numFmt numFmtId="175" formatCode="0.0%"/>
  </numFmts>
  <fonts count="9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 Nova"/>
      <family val="2"/>
    </font>
    <font>
      <sz val="11"/>
      <name val="Arial Nova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0"/>
      <name val="Arial Nova"/>
      <family val="2"/>
    </font>
    <font>
      <sz val="1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 Narrow"/>
      <family val="2"/>
    </font>
    <font>
      <sz val="11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3" tint="0.499984740745262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rgb="FFFF9900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3" tint="0.49998474074526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4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2"/>
      <color theme="3" tint="0.499984740745262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rial Nova"/>
      <family val="2"/>
    </font>
    <font>
      <b/>
      <sz val="14"/>
      <color theme="1"/>
      <name val="Arial Nova"/>
      <family val="2"/>
    </font>
    <font>
      <sz val="10"/>
      <color theme="1"/>
      <name val="Arial Nova"/>
      <family val="2"/>
    </font>
    <font>
      <sz val="12"/>
      <color theme="4" tint="-0.249977111117893"/>
      <name val="Arial Nova"/>
      <family val="2"/>
    </font>
    <font>
      <sz val="12"/>
      <color theme="0"/>
      <name val="Arial Nova"/>
      <family val="2"/>
    </font>
    <font>
      <sz val="12"/>
      <name val="Arial Nova"/>
      <family val="2"/>
    </font>
    <font>
      <sz val="10"/>
      <color theme="4" tint="0.39997558519241921"/>
      <name val="Arial Nova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sz val="11"/>
      <color rgb="FF00B0F0"/>
      <name val="Aptos Narrow"/>
      <family val="2"/>
      <scheme val="minor"/>
    </font>
    <font>
      <sz val="14"/>
      <color theme="4" tint="-0.249977111117893"/>
      <name val="Arial Narrow"/>
      <family val="2"/>
    </font>
    <font>
      <sz val="14"/>
      <color rgb="FFFF9900"/>
      <name val="Aptos Narrow"/>
      <family val="2"/>
      <scheme val="minor"/>
    </font>
    <font>
      <sz val="16"/>
      <color theme="1"/>
      <name val="Arial Narrow"/>
      <family val="2"/>
    </font>
    <font>
      <sz val="8"/>
      <color theme="1"/>
      <name val="Arial Narrow"/>
      <family val="2"/>
    </font>
    <font>
      <sz val="11"/>
      <color rgb="FF0070C0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1"/>
      <name val="Arial Narrow"/>
      <family val="2"/>
    </font>
    <font>
      <sz val="11"/>
      <color theme="4" tint="0.39997558519241921"/>
      <name val="Arial Narrow"/>
      <family val="2"/>
    </font>
    <font>
      <sz val="11"/>
      <color rgb="FF00B0F0"/>
      <name val="Arial Narrow"/>
      <family val="2"/>
    </font>
    <font>
      <b/>
      <sz val="14"/>
      <color theme="3" tint="0.499984740745262"/>
      <name val="Arial Narrow"/>
      <family val="2"/>
    </font>
    <font>
      <sz val="14"/>
      <color rgb="FFFF9900"/>
      <name val="Arial Narrow"/>
      <family val="2"/>
    </font>
    <font>
      <b/>
      <sz val="14"/>
      <color rgb="FFFF9900"/>
      <name val="Arial Narrow"/>
      <family val="2"/>
    </font>
    <font>
      <b/>
      <sz val="14"/>
      <name val="Arial Narrow"/>
      <family val="2"/>
    </font>
    <font>
      <sz val="11"/>
      <color theme="4" tint="0.59999389629810485"/>
      <name val="Aptos Narrow"/>
      <family val="2"/>
      <scheme val="minor"/>
    </font>
    <font>
      <b/>
      <sz val="14"/>
      <color rgb="FF4D93D9"/>
      <name val="Aptos Narrow"/>
      <family val="2"/>
    </font>
    <font>
      <sz val="11"/>
      <color rgb="FF44B3E1"/>
      <name val="Aptos Narrow"/>
      <family val="2"/>
    </font>
    <font>
      <sz val="11"/>
      <color theme="3" tint="0.499984740745262"/>
      <name val="Aptos Narrow"/>
      <family val="2"/>
    </font>
    <font>
      <b/>
      <sz val="12"/>
      <color rgb="FFFF9900"/>
      <name val="Aptos Narrow"/>
      <family val="2"/>
      <scheme val="minor"/>
    </font>
    <font>
      <b/>
      <sz val="11"/>
      <color rgb="FFFF0000"/>
      <name val="Arial Nova"/>
      <family val="2"/>
    </font>
    <font>
      <b/>
      <sz val="11"/>
      <color theme="1"/>
      <name val="Arial Nova"/>
      <family val="2"/>
    </font>
    <font>
      <b/>
      <sz val="10"/>
      <color theme="1"/>
      <name val="Arial Nova"/>
      <family val="2"/>
    </font>
    <font>
      <sz val="9"/>
      <name val="Arial Nova"/>
      <family val="2"/>
    </font>
    <font>
      <sz val="9"/>
      <name val="Aptos Narrow"/>
      <family val="2"/>
      <scheme val="minor"/>
    </font>
    <font>
      <sz val="11"/>
      <color theme="2" tint="-0.749992370372631"/>
      <name val="Arial Nova"/>
      <family val="2"/>
    </font>
    <font>
      <sz val="11"/>
      <color theme="4" tint="-0.249977111117893"/>
      <name val="Arial Nova"/>
      <family val="2"/>
    </font>
    <font>
      <b/>
      <sz val="10"/>
      <name val="Arial Nova"/>
      <family val="2"/>
    </font>
    <font>
      <sz val="12"/>
      <color theme="5" tint="-0.249977111117893"/>
      <name val="Arial Nova"/>
      <family val="2"/>
    </font>
    <font>
      <sz val="11"/>
      <color theme="0"/>
      <name val="Arial Nova"/>
      <family val="2"/>
    </font>
    <font>
      <sz val="10"/>
      <color theme="3" tint="0.499984740745262"/>
      <name val="Arial Nova"/>
      <family val="2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rial Narrow"/>
      <family val="2"/>
    </font>
    <font>
      <sz val="10"/>
      <color theme="0"/>
      <name val="Arial Nova"/>
      <family val="2"/>
    </font>
    <font>
      <sz val="11"/>
      <color theme="3" tint="0.499984740745262"/>
      <name val="Arial Nova"/>
      <family val="2"/>
    </font>
    <font>
      <sz val="12"/>
      <color theme="2" tint="-0.499984740745262"/>
      <name val="Arial Nova"/>
      <family val="2"/>
    </font>
    <font>
      <b/>
      <sz val="12"/>
      <color theme="1"/>
      <name val="Arial Nova"/>
      <family val="2"/>
    </font>
    <font>
      <sz val="12"/>
      <color theme="1"/>
      <name val="Arial Nova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CC66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CCCC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dotted">
        <color rgb="FFD9D9D9"/>
      </right>
      <top/>
      <bottom style="dotted">
        <color rgb="FFD9D9D9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indexed="64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165" fontId="1" fillId="0" borderId="0" applyFont="0" applyFill="0" applyBorder="0" applyAlignment="0" applyProtection="0"/>
    <xf numFmtId="0" fontId="9" fillId="0" borderId="0"/>
    <xf numFmtId="0" fontId="11" fillId="0" borderId="0"/>
    <xf numFmtId="0" fontId="9" fillId="0" borderId="0"/>
    <xf numFmtId="0" fontId="16" fillId="0" borderId="0"/>
  </cellStyleXfs>
  <cellXfs count="297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0" fontId="2" fillId="0" borderId="0" xfId="0" applyFont="1"/>
    <xf numFmtId="166" fontId="0" fillId="0" borderId="0" xfId="1" applyFont="1" applyBorder="1"/>
    <xf numFmtId="9" fontId="0" fillId="0" borderId="0" xfId="2" applyFont="1" applyBorder="1" applyAlignment="1">
      <alignment horizontal="center"/>
    </xf>
    <xf numFmtId="167" fontId="0" fillId="0" borderId="0" xfId="1" applyNumberFormat="1" applyFont="1" applyBorder="1"/>
    <xf numFmtId="166" fontId="0" fillId="0" borderId="0" xfId="1" applyFont="1" applyBorder="1" applyAlignment="1">
      <alignment horizontal="center"/>
    </xf>
    <xf numFmtId="166" fontId="0" fillId="0" borderId="0" xfId="1" applyFont="1" applyFill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0" fillId="0" borderId="0" xfId="0" applyNumberFormat="1"/>
    <xf numFmtId="0" fontId="8" fillId="0" borderId="0" xfId="0" applyFont="1" applyAlignment="1">
      <alignment horizontal="center"/>
    </xf>
    <xf numFmtId="165" fontId="2" fillId="0" borderId="0" xfId="0" applyNumberFormat="1" applyFont="1"/>
    <xf numFmtId="167" fontId="0" fillId="0" borderId="0" xfId="1" applyNumberFormat="1" applyFont="1" applyFill="1" applyBorder="1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2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6" fontId="8" fillId="0" borderId="0" xfId="1" applyFont="1" applyFill="1" applyBorder="1" applyAlignment="1">
      <alignment horizontal="center" vertical="center"/>
    </xf>
    <xf numFmtId="2" fontId="0" fillId="0" borderId="0" xfId="1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2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1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8" fontId="0" fillId="0" borderId="0" xfId="1" applyNumberFormat="1" applyFont="1" applyFill="1" applyBorder="1" applyAlignment="1">
      <alignment horizontal="center"/>
    </xf>
    <xf numFmtId="0" fontId="0" fillId="0" borderId="0" xfId="2" applyNumberFormat="1" applyFont="1" applyFill="1" applyBorder="1" applyAlignment="1">
      <alignment horizontal="center"/>
    </xf>
    <xf numFmtId="2" fontId="0" fillId="0" borderId="0" xfId="2" applyNumberFormat="1" applyFont="1" applyBorder="1" applyAlignment="1">
      <alignment horizontal="center"/>
    </xf>
    <xf numFmtId="2" fontId="0" fillId="0" borderId="0" xfId="2" applyNumberFormat="1" applyFont="1" applyFill="1" applyBorder="1" applyAlignment="1">
      <alignment horizontal="center"/>
    </xf>
    <xf numFmtId="0" fontId="8" fillId="0" borderId="0" xfId="5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17" fontId="8" fillId="0" borderId="0" xfId="3" applyNumberFormat="1" applyFont="1" applyAlignment="1">
      <alignment horizontal="center" vertical="center" wrapText="1"/>
    </xf>
    <xf numFmtId="166" fontId="8" fillId="0" borderId="0" xfId="1" applyFont="1" applyBorder="1" applyAlignment="1">
      <alignment horizontal="center" vertical="center"/>
    </xf>
    <xf numFmtId="2" fontId="8" fillId="0" borderId="0" xfId="1" applyNumberFormat="1" applyFont="1" applyBorder="1" applyAlignment="1">
      <alignment horizontal="center" vertical="center"/>
    </xf>
    <xf numFmtId="0" fontId="8" fillId="0" borderId="0" xfId="1" applyNumberFormat="1" applyFont="1" applyBorder="1" applyAlignment="1">
      <alignment horizontal="center" vertical="center"/>
    </xf>
    <xf numFmtId="0" fontId="8" fillId="0" borderId="0" xfId="1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2" fontId="8" fillId="0" borderId="0" xfId="2" applyNumberFormat="1" applyFont="1" applyBorder="1" applyAlignment="1">
      <alignment horizontal="center" vertical="center"/>
    </xf>
    <xf numFmtId="0" fontId="8" fillId="0" borderId="0" xfId="2" applyNumberFormat="1" applyFont="1" applyBorder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168" fontId="17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168" fontId="18" fillId="0" borderId="0" xfId="0" applyNumberFormat="1" applyFont="1" applyAlignment="1">
      <alignment horizontal="center"/>
    </xf>
    <xf numFmtId="9" fontId="18" fillId="0" borderId="0" xfId="2" applyFont="1" applyFill="1" applyBorder="1" applyAlignment="1">
      <alignment horizontal="center"/>
    </xf>
    <xf numFmtId="2" fontId="18" fillId="0" borderId="0" xfId="0" applyNumberFormat="1" applyFont="1" applyAlignment="1">
      <alignment horizontal="center"/>
    </xf>
    <xf numFmtId="9" fontId="18" fillId="0" borderId="0" xfId="2" applyFont="1" applyBorder="1" applyAlignment="1">
      <alignment horizontal="center"/>
    </xf>
    <xf numFmtId="2" fontId="18" fillId="0" borderId="0" xfId="1" applyNumberFormat="1" applyFont="1" applyBorder="1" applyAlignment="1">
      <alignment horizontal="center"/>
    </xf>
    <xf numFmtId="49" fontId="18" fillId="0" borderId="0" xfId="0" applyNumberFormat="1" applyFont="1" applyAlignment="1">
      <alignment horizontal="center"/>
    </xf>
    <xf numFmtId="166" fontId="18" fillId="0" borderId="0" xfId="1" applyFont="1" applyFill="1" applyBorder="1"/>
    <xf numFmtId="2" fontId="18" fillId="0" borderId="0" xfId="2" applyNumberFormat="1" applyFont="1" applyFill="1" applyBorder="1" applyAlignment="1">
      <alignment horizontal="center"/>
    </xf>
    <xf numFmtId="168" fontId="18" fillId="0" borderId="0" xfId="1" applyNumberFormat="1" applyFont="1" applyBorder="1" applyAlignment="1">
      <alignment horizontal="center"/>
    </xf>
    <xf numFmtId="166" fontId="18" fillId="0" borderId="0" xfId="1" applyFont="1" applyBorder="1"/>
    <xf numFmtId="0" fontId="18" fillId="0" borderId="0" xfId="2" applyNumberFormat="1" applyFont="1" applyBorder="1" applyAlignment="1">
      <alignment horizontal="center"/>
    </xf>
    <xf numFmtId="168" fontId="18" fillId="0" borderId="0" xfId="2" applyNumberFormat="1" applyFont="1" applyFill="1" applyBorder="1" applyAlignment="1">
      <alignment horizontal="center"/>
    </xf>
    <xf numFmtId="166" fontId="13" fillId="0" borderId="0" xfId="1" applyFont="1" applyFill="1" applyBorder="1" applyAlignment="1">
      <alignment horizontal="center" vertical="center"/>
    </xf>
    <xf numFmtId="0" fontId="13" fillId="0" borderId="0" xfId="1" applyNumberFormat="1" applyFont="1" applyFill="1" applyBorder="1" applyAlignment="1">
      <alignment horizontal="center" vertical="center"/>
    </xf>
    <xf numFmtId="0" fontId="13" fillId="0" borderId="0" xfId="5" applyFont="1" applyAlignment="1">
      <alignment horizontal="center" vertical="center"/>
    </xf>
    <xf numFmtId="166" fontId="13" fillId="0" borderId="0" xfId="1" applyFont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7" fontId="5" fillId="0" borderId="0" xfId="3" applyNumberFormat="1" applyFont="1" applyAlignment="1">
      <alignment horizontal="center" vertical="center" wrapText="1"/>
    </xf>
    <xf numFmtId="168" fontId="13" fillId="0" borderId="0" xfId="2" applyNumberFormat="1" applyFont="1" applyBorder="1" applyAlignment="1">
      <alignment horizontal="center" vertical="center"/>
    </xf>
    <xf numFmtId="168" fontId="13" fillId="0" borderId="0" xfId="2" applyNumberFormat="1" applyFont="1" applyFill="1" applyBorder="1" applyAlignment="1">
      <alignment horizontal="center" vertical="center"/>
    </xf>
    <xf numFmtId="0" fontId="13" fillId="0" borderId="0" xfId="2" applyNumberFormat="1" applyFont="1" applyBorder="1" applyAlignment="1">
      <alignment horizontal="center" vertical="center"/>
    </xf>
    <xf numFmtId="0" fontId="13" fillId="0" borderId="0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7" fontId="0" fillId="0" borderId="0" xfId="1" applyNumberFormat="1" applyFont="1" applyBorder="1" applyAlignment="1">
      <alignment wrapText="1"/>
    </xf>
    <xf numFmtId="0" fontId="8" fillId="0" borderId="0" xfId="3" applyFont="1" applyAlignment="1">
      <alignment horizontal="center" vertical="center" wrapText="1"/>
    </xf>
    <xf numFmtId="167" fontId="8" fillId="0" borderId="0" xfId="1" applyNumberFormat="1" applyFont="1" applyBorder="1" applyAlignment="1">
      <alignment horizontal="center" vertical="center"/>
    </xf>
    <xf numFmtId="167" fontId="8" fillId="0" borderId="0" xfId="1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0" fillId="0" borderId="0" xfId="1" applyNumberFormat="1" applyFont="1" applyBorder="1"/>
    <xf numFmtId="1" fontId="0" fillId="0" borderId="0" xfId="0" applyNumberFormat="1" applyAlignment="1">
      <alignment horizontal="center"/>
    </xf>
    <xf numFmtId="1" fontId="0" fillId="0" borderId="0" xfId="2" applyNumberFormat="1" applyFont="1" applyFill="1" applyBorder="1" applyAlignment="1">
      <alignment horizontal="center"/>
    </xf>
    <xf numFmtId="1" fontId="0" fillId="0" borderId="0" xfId="2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49" fontId="19" fillId="0" borderId="0" xfId="0" applyNumberFormat="1" applyFont="1" applyAlignment="1">
      <alignment horizontal="center"/>
    </xf>
    <xf numFmtId="166" fontId="19" fillId="0" borderId="0" xfId="1" applyFont="1" applyBorder="1"/>
    <xf numFmtId="0" fontId="19" fillId="0" borderId="0" xfId="2" applyNumberFormat="1" applyFont="1" applyBorder="1" applyAlignment="1">
      <alignment horizontal="center"/>
    </xf>
    <xf numFmtId="0" fontId="3" fillId="4" borderId="0" xfId="7" applyFont="1" applyFill="1" applyAlignment="1">
      <alignment horizontal="center"/>
    </xf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3" fillId="0" borderId="0" xfId="2" applyNumberFormat="1" applyFont="1" applyBorder="1" applyAlignment="1">
      <alignment horizontal="center"/>
    </xf>
    <xf numFmtId="17" fontId="5" fillId="0" borderId="0" xfId="5" applyNumberFormat="1" applyFont="1" applyAlignment="1">
      <alignment horizontal="center" vertical="center" wrapText="1"/>
    </xf>
    <xf numFmtId="0" fontId="18" fillId="0" borderId="10" xfId="0" applyFont="1" applyBorder="1"/>
    <xf numFmtId="0" fontId="21" fillId="0" borderId="0" xfId="0" applyFont="1"/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9" fontId="22" fillId="0" borderId="0" xfId="2" applyFont="1" applyAlignment="1">
      <alignment horizontal="right"/>
    </xf>
    <xf numFmtId="0" fontId="22" fillId="0" borderId="0" xfId="0" applyFont="1" applyAlignment="1">
      <alignment horizontal="center"/>
    </xf>
    <xf numFmtId="166" fontId="0" fillId="0" borderId="0" xfId="1" applyFont="1" applyAlignment="1">
      <alignment horizontal="center"/>
    </xf>
    <xf numFmtId="166" fontId="0" fillId="0" borderId="0" xfId="1" applyFont="1"/>
    <xf numFmtId="0" fontId="0" fillId="2" borderId="1" xfId="0" applyFill="1" applyBorder="1"/>
    <xf numFmtId="169" fontId="0" fillId="2" borderId="2" xfId="1" applyNumberFormat="1" applyFont="1" applyFill="1" applyBorder="1" applyAlignment="1">
      <alignment horizontal="center"/>
    </xf>
    <xf numFmtId="9" fontId="22" fillId="0" borderId="0" xfId="2" applyFont="1" applyAlignment="1">
      <alignment horizontal="left"/>
    </xf>
    <xf numFmtId="0" fontId="23" fillId="5" borderId="1" xfId="0" applyFont="1" applyFill="1" applyBorder="1"/>
    <xf numFmtId="169" fontId="23" fillId="5" borderId="2" xfId="1" applyNumberFormat="1" applyFont="1" applyFill="1" applyBorder="1" applyAlignment="1">
      <alignment horizontal="center"/>
    </xf>
    <xf numFmtId="9" fontId="22" fillId="0" borderId="0" xfId="0" applyNumberFormat="1" applyFont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7" fontId="0" fillId="0" borderId="0" xfId="1" applyNumberFormat="1" applyFont="1"/>
    <xf numFmtId="169" fontId="0" fillId="0" borderId="0" xfId="0" applyNumberFormat="1" applyAlignment="1">
      <alignment horizontal="center"/>
    </xf>
    <xf numFmtId="0" fontId="7" fillId="6" borderId="1" xfId="0" applyFont="1" applyFill="1" applyBorder="1"/>
    <xf numFmtId="3" fontId="7" fillId="6" borderId="1" xfId="0" applyNumberFormat="1" applyFont="1" applyFill="1" applyBorder="1" applyAlignment="1">
      <alignment horizontal="center"/>
    </xf>
    <xf numFmtId="9" fontId="0" fillId="0" borderId="0" xfId="2" applyFont="1"/>
    <xf numFmtId="170" fontId="0" fillId="0" borderId="0" xfId="1" applyNumberFormat="1" applyFont="1"/>
    <xf numFmtId="166" fontId="0" fillId="0" borderId="0" xfId="2" applyNumberFormat="1" applyFont="1"/>
    <xf numFmtId="0" fontId="24" fillId="0" borderId="0" xfId="0" applyFont="1" applyAlignment="1">
      <alignment horizontal="left"/>
    </xf>
    <xf numFmtId="166" fontId="0" fillId="0" borderId="0" xfId="2" applyNumberFormat="1" applyFont="1" applyAlignment="1">
      <alignment horizontal="center"/>
    </xf>
    <xf numFmtId="169" fontId="0" fillId="0" borderId="0" xfId="1" applyNumberFormat="1" applyFont="1"/>
    <xf numFmtId="0" fontId="10" fillId="7" borderId="19" xfId="0" applyFont="1" applyFill="1" applyBorder="1" applyAlignment="1">
      <alignment horizontal="center"/>
    </xf>
    <xf numFmtId="166" fontId="10" fillId="7" borderId="19" xfId="1" applyFont="1" applyFill="1" applyBorder="1" applyAlignment="1">
      <alignment horizontal="center"/>
    </xf>
    <xf numFmtId="9" fontId="10" fillId="7" borderId="19" xfId="2" applyFont="1" applyFill="1" applyBorder="1" applyAlignment="1">
      <alignment horizontal="center"/>
    </xf>
    <xf numFmtId="166" fontId="25" fillId="7" borderId="22" xfId="1" applyFont="1" applyFill="1" applyBorder="1" applyAlignment="1">
      <alignment horizontal="center"/>
    </xf>
    <xf numFmtId="0" fontId="10" fillId="0" borderId="0" xfId="0" applyFont="1"/>
    <xf numFmtId="0" fontId="10" fillId="7" borderId="27" xfId="0" applyFont="1" applyFill="1" applyBorder="1" applyAlignment="1">
      <alignment horizontal="center"/>
    </xf>
    <xf numFmtId="0" fontId="10" fillId="7" borderId="26" xfId="0" applyFont="1" applyFill="1" applyBorder="1" applyAlignment="1">
      <alignment horizontal="center"/>
    </xf>
    <xf numFmtId="166" fontId="10" fillId="7" borderId="26" xfId="1" applyFont="1" applyFill="1" applyBorder="1" applyAlignment="1">
      <alignment horizontal="center"/>
    </xf>
    <xf numFmtId="9" fontId="10" fillId="7" borderId="26" xfId="2" applyFont="1" applyFill="1" applyBorder="1" applyAlignment="1">
      <alignment horizontal="center"/>
    </xf>
    <xf numFmtId="169" fontId="25" fillId="7" borderId="29" xfId="1" applyNumberFormat="1" applyFont="1" applyFill="1" applyBorder="1" applyAlignment="1">
      <alignment horizontal="center"/>
    </xf>
    <xf numFmtId="0" fontId="27" fillId="2" borderId="34" xfId="0" applyFont="1" applyFill="1" applyBorder="1" applyAlignment="1">
      <alignment vertical="center"/>
    </xf>
    <xf numFmtId="167" fontId="28" fillId="2" borderId="35" xfId="1" applyNumberFormat="1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28" fillId="2" borderId="12" xfId="0" applyFont="1" applyFill="1" applyBorder="1" applyAlignment="1">
      <alignment horizontal="center"/>
    </xf>
    <xf numFmtId="0" fontId="28" fillId="2" borderId="35" xfId="0" applyFont="1" applyFill="1" applyBorder="1" applyAlignment="1">
      <alignment horizontal="center"/>
    </xf>
    <xf numFmtId="0" fontId="28" fillId="2" borderId="36" xfId="0" applyFont="1" applyFill="1" applyBorder="1" applyAlignment="1">
      <alignment horizontal="center"/>
    </xf>
    <xf numFmtId="0" fontId="28" fillId="0" borderId="0" xfId="0" applyFont="1"/>
    <xf numFmtId="0" fontId="24" fillId="0" borderId="0" xfId="0" applyFont="1"/>
    <xf numFmtId="0" fontId="0" fillId="0" borderId="18" xfId="0" applyBorder="1"/>
    <xf numFmtId="0" fontId="0" fillId="0" borderId="19" xfId="0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0" borderId="21" xfId="0" applyBorder="1"/>
    <xf numFmtId="0" fontId="0" fillId="0" borderId="37" xfId="0" applyBorder="1"/>
    <xf numFmtId="0" fontId="0" fillId="0" borderId="38" xfId="0" applyBorder="1"/>
    <xf numFmtId="0" fontId="0" fillId="0" borderId="38" xfId="0" applyBorder="1" applyAlignment="1">
      <alignment horizontal="center"/>
    </xf>
    <xf numFmtId="166" fontId="0" fillId="0" borderId="19" xfId="1" applyFont="1" applyBorder="1"/>
    <xf numFmtId="9" fontId="0" fillId="0" borderId="19" xfId="2" applyFont="1" applyBorder="1" applyAlignment="1">
      <alignment horizontal="center"/>
    </xf>
    <xf numFmtId="9" fontId="3" fillId="0" borderId="21" xfId="2" applyFont="1" applyBorder="1" applyAlignment="1">
      <alignment horizontal="center"/>
    </xf>
    <xf numFmtId="166" fontId="0" fillId="0" borderId="39" xfId="1" applyFont="1" applyBorder="1"/>
    <xf numFmtId="167" fontId="0" fillId="0" borderId="23" xfId="1" applyNumberFormat="1" applyFont="1" applyBorder="1"/>
    <xf numFmtId="0" fontId="0" fillId="0" borderId="40" xfId="0" applyBorder="1"/>
    <xf numFmtId="0" fontId="0" fillId="0" borderId="24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0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8" borderId="44" xfId="0" applyFill="1" applyBorder="1" applyAlignment="1">
      <alignment horizontal="center"/>
    </xf>
    <xf numFmtId="0" fontId="0" fillId="0" borderId="45" xfId="0" applyBorder="1"/>
    <xf numFmtId="0" fontId="0" fillId="8" borderId="45" xfId="0" applyFill="1" applyBorder="1" applyAlignment="1">
      <alignment horizontal="center"/>
    </xf>
    <xf numFmtId="0" fontId="0" fillId="0" borderId="46" xfId="0" applyBorder="1"/>
    <xf numFmtId="0" fontId="0" fillId="0" borderId="11" xfId="0" applyBorder="1" applyAlignment="1">
      <alignment horizontal="center"/>
    </xf>
    <xf numFmtId="167" fontId="0" fillId="0" borderId="6" xfId="1" applyNumberFormat="1" applyFont="1" applyFill="1" applyBorder="1"/>
    <xf numFmtId="9" fontId="0" fillId="0" borderId="6" xfId="2" applyFont="1" applyFill="1" applyBorder="1" applyAlignment="1">
      <alignment horizontal="center"/>
    </xf>
    <xf numFmtId="166" fontId="0" fillId="0" borderId="6" xfId="1" applyFont="1" applyBorder="1"/>
    <xf numFmtId="9" fontId="3" fillId="0" borderId="10" xfId="2" applyFont="1" applyBorder="1" applyAlignment="1">
      <alignment horizontal="center"/>
    </xf>
    <xf numFmtId="167" fontId="0" fillId="0" borderId="39" xfId="1" applyNumberFormat="1" applyFont="1" applyBorder="1"/>
    <xf numFmtId="167" fontId="0" fillId="0" borderId="0" xfId="0" applyNumberFormat="1"/>
    <xf numFmtId="167" fontId="0" fillId="0" borderId="40" xfId="0" applyNumberFormat="1" applyBorder="1"/>
    <xf numFmtId="167" fontId="0" fillId="0" borderId="24" xfId="0" applyNumberFormat="1" applyBorder="1"/>
    <xf numFmtId="0" fontId="0" fillId="0" borderId="6" xfId="0" applyBorder="1"/>
    <xf numFmtId="9" fontId="0" fillId="0" borderId="6" xfId="2" applyFont="1" applyBorder="1" applyAlignment="1">
      <alignment horizontal="center"/>
    </xf>
    <xf numFmtId="167" fontId="0" fillId="0" borderId="6" xfId="0" applyNumberFormat="1" applyBorder="1"/>
    <xf numFmtId="0" fontId="0" fillId="8" borderId="47" xfId="0" applyFill="1" applyBorder="1" applyAlignment="1">
      <alignment horizontal="center"/>
    </xf>
    <xf numFmtId="0" fontId="0" fillId="8" borderId="48" xfId="0" applyFill="1" applyBorder="1" applyAlignment="1">
      <alignment horizontal="center"/>
    </xf>
    <xf numFmtId="0" fontId="0" fillId="8" borderId="49" xfId="0" applyFill="1" applyBorder="1" applyAlignment="1">
      <alignment horizontal="center"/>
    </xf>
    <xf numFmtId="9" fontId="29" fillId="0" borderId="10" xfId="2" applyFont="1" applyBorder="1" applyAlignment="1">
      <alignment horizontal="center"/>
    </xf>
    <xf numFmtId="0" fontId="0" fillId="0" borderId="48" xfId="0" applyBorder="1"/>
    <xf numFmtId="0" fontId="0" fillId="0" borderId="49" xfId="0" applyBorder="1"/>
    <xf numFmtId="166" fontId="0" fillId="0" borderId="40" xfId="1" applyFont="1" applyBorder="1"/>
    <xf numFmtId="0" fontId="0" fillId="8" borderId="50" xfId="0" applyFill="1" applyBorder="1" applyAlignment="1">
      <alignment horizontal="center"/>
    </xf>
    <xf numFmtId="0" fontId="0" fillId="8" borderId="51" xfId="0" applyFill="1" applyBorder="1" applyAlignment="1">
      <alignment horizontal="center"/>
    </xf>
    <xf numFmtId="9" fontId="30" fillId="0" borderId="10" xfId="2" applyFont="1" applyBorder="1" applyAlignment="1">
      <alignment horizontal="center"/>
    </xf>
    <xf numFmtId="0" fontId="0" fillId="0" borderId="44" xfId="0" applyBorder="1"/>
    <xf numFmtId="166" fontId="0" fillId="0" borderId="11" xfId="1" applyFont="1" applyBorder="1"/>
    <xf numFmtId="9" fontId="31" fillId="0" borderId="10" xfId="2" applyFont="1" applyBorder="1" applyAlignment="1">
      <alignment horizontal="center"/>
    </xf>
    <xf numFmtId="0" fontId="0" fillId="0" borderId="10" xfId="0" applyBorder="1"/>
    <xf numFmtId="0" fontId="0" fillId="0" borderId="35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6" fontId="0" fillId="0" borderId="3" xfId="1" applyFont="1" applyBorder="1"/>
    <xf numFmtId="9" fontId="0" fillId="0" borderId="3" xfId="2" applyFont="1" applyBorder="1" applyAlignment="1">
      <alignment horizontal="center"/>
    </xf>
    <xf numFmtId="9" fontId="0" fillId="0" borderId="13" xfId="2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7" xfId="0" applyBorder="1" applyAlignment="1">
      <alignment horizontal="center"/>
    </xf>
    <xf numFmtId="49" fontId="0" fillId="0" borderId="27" xfId="0" applyNumberFormat="1" applyBorder="1" applyAlignment="1">
      <alignment horizontal="center"/>
    </xf>
    <xf numFmtId="0" fontId="0" fillId="0" borderId="54" xfId="0" applyBorder="1"/>
    <xf numFmtId="166" fontId="0" fillId="0" borderId="27" xfId="1" applyFont="1" applyBorder="1"/>
    <xf numFmtId="9" fontId="0" fillId="0" borderId="27" xfId="2" applyFont="1" applyBorder="1" applyAlignment="1">
      <alignment horizontal="center"/>
    </xf>
    <xf numFmtId="166" fontId="0" fillId="0" borderId="55" xfId="1" applyFont="1" applyBorder="1"/>
    <xf numFmtId="9" fontId="0" fillId="0" borderId="56" xfId="2" applyFont="1" applyBorder="1" applyAlignment="1">
      <alignment horizontal="center"/>
    </xf>
    <xf numFmtId="167" fontId="0" fillId="0" borderId="57" xfId="1" applyNumberFormat="1" applyFont="1" applyBorder="1"/>
    <xf numFmtId="166" fontId="0" fillId="0" borderId="10" xfId="1" applyFont="1" applyBorder="1"/>
    <xf numFmtId="167" fontId="0" fillId="0" borderId="30" xfId="1" applyNumberFormat="1" applyFont="1" applyBorder="1"/>
    <xf numFmtId="0" fontId="0" fillId="0" borderId="31" xfId="0" applyBorder="1"/>
    <xf numFmtId="0" fontId="0" fillId="0" borderId="25" xfId="0" applyBorder="1"/>
    <xf numFmtId="0" fontId="0" fillId="0" borderId="32" xfId="0" applyBorder="1"/>
    <xf numFmtId="0" fontId="0" fillId="0" borderId="26" xfId="0" applyBorder="1"/>
    <xf numFmtId="0" fontId="0" fillId="7" borderId="58" xfId="0" applyFill="1" applyBorder="1" applyAlignment="1">
      <alignment horizontal="center"/>
    </xf>
    <xf numFmtId="0" fontId="0" fillId="7" borderId="59" xfId="0" applyFill="1" applyBorder="1" applyAlignment="1">
      <alignment horizontal="center"/>
    </xf>
    <xf numFmtId="49" fontId="0" fillId="7" borderId="59" xfId="0" applyNumberFormat="1" applyFill="1" applyBorder="1" applyAlignment="1">
      <alignment horizontal="center"/>
    </xf>
    <xf numFmtId="166" fontId="0" fillId="7" borderId="59" xfId="1" applyFont="1" applyFill="1" applyBorder="1"/>
    <xf numFmtId="9" fontId="0" fillId="7" borderId="59" xfId="2" applyFont="1" applyFill="1" applyBorder="1" applyAlignment="1">
      <alignment horizontal="center"/>
    </xf>
    <xf numFmtId="167" fontId="2" fillId="7" borderId="59" xfId="1" applyNumberFormat="1" applyFont="1" applyFill="1" applyBorder="1"/>
    <xf numFmtId="9" fontId="0" fillId="7" borderId="60" xfId="2" applyFont="1" applyFill="1" applyBorder="1" applyAlignment="1">
      <alignment horizontal="center"/>
    </xf>
    <xf numFmtId="167" fontId="2" fillId="7" borderId="61" xfId="1" applyNumberFormat="1" applyFont="1" applyFill="1" applyBorder="1"/>
    <xf numFmtId="167" fontId="0" fillId="7" borderId="23" xfId="1" applyNumberFormat="1" applyFont="1" applyFill="1" applyBorder="1"/>
    <xf numFmtId="167" fontId="0" fillId="7" borderId="0" xfId="1" applyNumberFormat="1" applyFont="1" applyFill="1" applyBorder="1"/>
    <xf numFmtId="167" fontId="0" fillId="7" borderId="40" xfId="1" applyNumberFormat="1" applyFont="1" applyFill="1" applyBorder="1"/>
    <xf numFmtId="167" fontId="0" fillId="7" borderId="24" xfId="1" applyNumberFormat="1" applyFont="1" applyFill="1" applyBorder="1"/>
    <xf numFmtId="166" fontId="0" fillId="7" borderId="0" xfId="1" applyFont="1" applyFill="1"/>
    <xf numFmtId="166" fontId="0" fillId="7" borderId="18" xfId="1" applyFont="1" applyFill="1" applyBorder="1"/>
    <xf numFmtId="166" fontId="0" fillId="7" borderId="19" xfId="1" applyFont="1" applyFill="1" applyBorder="1"/>
    <xf numFmtId="166" fontId="0" fillId="7" borderId="62" xfId="1" applyFont="1" applyFill="1" applyBorder="1"/>
    <xf numFmtId="0" fontId="0" fillId="7" borderId="63" xfId="0" applyFill="1" applyBorder="1" applyAlignment="1">
      <alignment horizontal="center"/>
    </xf>
    <xf numFmtId="0" fontId="0" fillId="7" borderId="54" xfId="0" applyFill="1" applyBorder="1" applyAlignment="1">
      <alignment horizontal="center"/>
    </xf>
    <xf numFmtId="49" fontId="0" fillId="7" borderId="54" xfId="0" applyNumberFormat="1" applyFill="1" applyBorder="1" applyAlignment="1">
      <alignment horizontal="center"/>
    </xf>
    <xf numFmtId="166" fontId="0" fillId="7" borderId="54" xfId="1" applyFont="1" applyFill="1" applyBorder="1"/>
    <xf numFmtId="9" fontId="0" fillId="7" borderId="54" xfId="2" applyFont="1" applyFill="1" applyBorder="1" applyAlignment="1">
      <alignment horizontal="center"/>
    </xf>
    <xf numFmtId="9" fontId="0" fillId="7" borderId="64" xfId="2" applyFont="1" applyFill="1" applyBorder="1" applyAlignment="1">
      <alignment horizontal="center"/>
    </xf>
    <xf numFmtId="167" fontId="0" fillId="7" borderId="29" xfId="1" applyNumberFormat="1" applyFont="1" applyFill="1" applyBorder="1"/>
    <xf numFmtId="9" fontId="0" fillId="7" borderId="30" xfId="2" applyFont="1" applyFill="1" applyBorder="1" applyAlignment="1">
      <alignment horizontal="center"/>
    </xf>
    <xf numFmtId="9" fontId="0" fillId="7" borderId="31" xfId="2" applyFont="1" applyFill="1" applyBorder="1" applyAlignment="1">
      <alignment horizontal="center"/>
    </xf>
    <xf numFmtId="9" fontId="0" fillId="7" borderId="40" xfId="2" applyFont="1" applyFill="1" applyBorder="1" applyAlignment="1">
      <alignment horizontal="center"/>
    </xf>
    <xf numFmtId="9" fontId="0" fillId="7" borderId="24" xfId="2" applyFont="1" applyFill="1" applyBorder="1" applyAlignment="1">
      <alignment horizontal="center"/>
    </xf>
    <xf numFmtId="0" fontId="2" fillId="7" borderId="0" xfId="0" applyFont="1" applyFill="1" applyAlignment="1">
      <alignment horizontal="left"/>
    </xf>
    <xf numFmtId="0" fontId="2" fillId="7" borderId="25" xfId="0" applyFont="1" applyFill="1" applyBorder="1" applyAlignment="1">
      <alignment horizontal="left"/>
    </xf>
    <xf numFmtId="0" fontId="0" fillId="7" borderId="26" xfId="0" applyFill="1" applyBorder="1"/>
    <xf numFmtId="0" fontId="0" fillId="7" borderId="32" xfId="0" applyFill="1" applyBorder="1"/>
    <xf numFmtId="0" fontId="0" fillId="0" borderId="12" xfId="0" applyBorder="1"/>
    <xf numFmtId="49" fontId="0" fillId="0" borderId="13" xfId="0" applyNumberFormat="1" applyBorder="1" applyAlignment="1">
      <alignment horizontal="center"/>
    </xf>
    <xf numFmtId="0" fontId="0" fillId="0" borderId="13" xfId="0" applyBorder="1"/>
    <xf numFmtId="166" fontId="0" fillId="0" borderId="13" xfId="1" applyFont="1" applyBorder="1"/>
    <xf numFmtId="9" fontId="0" fillId="0" borderId="14" xfId="2" applyFont="1" applyBorder="1" applyAlignment="1">
      <alignment horizontal="center"/>
    </xf>
    <xf numFmtId="167" fontId="2" fillId="0" borderId="0" xfId="0" applyNumberFormat="1" applyFont="1"/>
    <xf numFmtId="0" fontId="2" fillId="0" borderId="18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5" xfId="0" applyBorder="1"/>
    <xf numFmtId="166" fontId="0" fillId="0" borderId="5" xfId="1" applyFont="1" applyBorder="1"/>
    <xf numFmtId="9" fontId="0" fillId="0" borderId="5" xfId="2" applyFont="1" applyBorder="1" applyAlignment="1">
      <alignment horizontal="center"/>
    </xf>
    <xf numFmtId="166" fontId="0" fillId="0" borderId="1" xfId="1" applyFont="1" applyBorder="1"/>
    <xf numFmtId="166" fontId="2" fillId="7" borderId="15" xfId="1" applyFont="1" applyFill="1" applyBorder="1"/>
    <xf numFmtId="167" fontId="0" fillId="7" borderId="65" xfId="1" applyNumberFormat="1" applyFont="1" applyFill="1" applyBorder="1" applyAlignment="1">
      <alignment horizontal="center"/>
    </xf>
    <xf numFmtId="9" fontId="0" fillId="0" borderId="25" xfId="2" applyFont="1" applyBorder="1" applyAlignment="1">
      <alignment horizontal="center"/>
    </xf>
    <xf numFmtId="9" fontId="0" fillId="0" borderId="32" xfId="2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171" fontId="0" fillId="0" borderId="0" xfId="0" applyNumberFormat="1"/>
    <xf numFmtId="167" fontId="0" fillId="0" borderId="1" xfId="1" applyNumberFormat="1" applyFont="1" applyBorder="1"/>
    <xf numFmtId="0" fontId="0" fillId="7" borderId="19" xfId="0" applyFill="1" applyBorder="1" applyAlignment="1">
      <alignment horizontal="center"/>
    </xf>
    <xf numFmtId="166" fontId="0" fillId="7" borderId="19" xfId="1" applyFont="1" applyFill="1" applyBorder="1" applyAlignment="1">
      <alignment horizontal="center"/>
    </xf>
    <xf numFmtId="9" fontId="0" fillId="7" borderId="19" xfId="2" applyFont="1" applyFill="1" applyBorder="1" applyAlignment="1">
      <alignment horizontal="center"/>
    </xf>
    <xf numFmtId="166" fontId="3" fillId="7" borderId="22" xfId="1" applyFont="1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166" fontId="0" fillId="7" borderId="26" xfId="1" applyFont="1" applyFill="1" applyBorder="1" applyAlignment="1">
      <alignment horizontal="center"/>
    </xf>
    <xf numFmtId="9" fontId="0" fillId="7" borderId="26" xfId="2" applyFont="1" applyFill="1" applyBorder="1" applyAlignment="1">
      <alignment horizontal="center"/>
    </xf>
    <xf numFmtId="169" fontId="3" fillId="7" borderId="29" xfId="1" applyNumberFormat="1" applyFont="1" applyFill="1" applyBorder="1" applyAlignment="1">
      <alignment horizontal="center"/>
    </xf>
    <xf numFmtId="167" fontId="10" fillId="2" borderId="14" xfId="1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69" xfId="0" applyFont="1" applyFill="1" applyBorder="1" applyAlignment="1">
      <alignment horizontal="center"/>
    </xf>
    <xf numFmtId="0" fontId="10" fillId="2" borderId="35" xfId="0" applyFont="1" applyFill="1" applyBorder="1" applyAlignment="1">
      <alignment horizontal="center"/>
    </xf>
    <xf numFmtId="0" fontId="10" fillId="2" borderId="36" xfId="0" applyFont="1" applyFill="1" applyBorder="1" applyAlignment="1">
      <alignment horizontal="center"/>
    </xf>
    <xf numFmtId="166" fontId="0" fillId="9" borderId="39" xfId="1" applyFont="1" applyFill="1" applyBorder="1"/>
    <xf numFmtId="0" fontId="0" fillId="0" borderId="23" xfId="0" applyBorder="1"/>
    <xf numFmtId="167" fontId="0" fillId="9" borderId="39" xfId="1" applyNumberFormat="1" applyFont="1" applyFill="1" applyBorder="1"/>
    <xf numFmtId="167" fontId="0" fillId="0" borderId="23" xfId="0" applyNumberFormat="1" applyBorder="1"/>
    <xf numFmtId="166" fontId="0" fillId="0" borderId="23" xfId="1" applyFont="1" applyBorder="1"/>
    <xf numFmtId="0" fontId="0" fillId="8" borderId="70" xfId="0" applyFill="1" applyBorder="1" applyAlignment="1">
      <alignment horizontal="center"/>
    </xf>
    <xf numFmtId="0" fontId="0" fillId="8" borderId="71" xfId="0" applyFill="1" applyBorder="1" applyAlignment="1">
      <alignment horizontal="center"/>
    </xf>
    <xf numFmtId="0" fontId="0" fillId="0" borderId="11" xfId="0" applyBorder="1"/>
    <xf numFmtId="0" fontId="0" fillId="0" borderId="14" xfId="0" applyBorder="1"/>
    <xf numFmtId="166" fontId="0" fillId="0" borderId="14" xfId="1" applyFont="1" applyBorder="1"/>
    <xf numFmtId="0" fontId="0" fillId="0" borderId="4" xfId="0" applyBorder="1" applyAlignment="1">
      <alignment horizontal="center"/>
    </xf>
    <xf numFmtId="166" fontId="0" fillId="0" borderId="2" xfId="1" applyFont="1" applyBorder="1"/>
    <xf numFmtId="9" fontId="0" fillId="0" borderId="4" xfId="2" applyFont="1" applyBorder="1" applyAlignment="1">
      <alignment horizontal="center"/>
    </xf>
    <xf numFmtId="167" fontId="2" fillId="7" borderId="22" xfId="1" applyNumberFormat="1" applyFont="1" applyFill="1" applyBorder="1"/>
    <xf numFmtId="167" fontId="0" fillId="7" borderId="67" xfId="1" applyNumberFormat="1" applyFont="1" applyFill="1" applyBorder="1"/>
    <xf numFmtId="167" fontId="0" fillId="7" borderId="37" xfId="1" applyNumberFormat="1" applyFont="1" applyFill="1" applyBorder="1"/>
    <xf numFmtId="167" fontId="0" fillId="7" borderId="62" xfId="1" applyNumberFormat="1" applyFont="1" applyFill="1" applyBorder="1"/>
    <xf numFmtId="167" fontId="0" fillId="7" borderId="18" xfId="1" applyNumberFormat="1" applyFont="1" applyFill="1" applyBorder="1"/>
    <xf numFmtId="9" fontId="0" fillId="7" borderId="32" xfId="2" applyFont="1" applyFill="1" applyBorder="1" applyAlignment="1">
      <alignment horizontal="center"/>
    </xf>
    <xf numFmtId="9" fontId="0" fillId="7" borderId="25" xfId="2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166" fontId="2" fillId="7" borderId="72" xfId="1" applyFont="1" applyFill="1" applyBorder="1"/>
    <xf numFmtId="167" fontId="0" fillId="7" borderId="73" xfId="1" applyNumberFormat="1" applyFont="1" applyFill="1" applyBorder="1"/>
    <xf numFmtId="9" fontId="0" fillId="0" borderId="34" xfId="2" applyFont="1" applyBorder="1" applyAlignment="1">
      <alignment horizontal="center"/>
    </xf>
    <xf numFmtId="166" fontId="0" fillId="0" borderId="0" xfId="0" applyNumberFormat="1"/>
    <xf numFmtId="9" fontId="0" fillId="0" borderId="0" xfId="0" applyNumberFormat="1" applyAlignment="1">
      <alignment horizontal="center"/>
    </xf>
    <xf numFmtId="0" fontId="0" fillId="10" borderId="19" xfId="0" applyFill="1" applyBorder="1" applyAlignment="1">
      <alignment horizontal="center"/>
    </xf>
    <xf numFmtId="166" fontId="0" fillId="10" borderId="19" xfId="1" applyFont="1" applyFill="1" applyBorder="1" applyAlignment="1">
      <alignment horizontal="center"/>
    </xf>
    <xf numFmtId="9" fontId="0" fillId="10" borderId="19" xfId="2" applyFont="1" applyFill="1" applyBorder="1" applyAlignment="1">
      <alignment horizontal="center"/>
    </xf>
    <xf numFmtId="9" fontId="0" fillId="10" borderId="21" xfId="2" applyFont="1" applyFill="1" applyBorder="1" applyAlignment="1">
      <alignment horizontal="center" vertical="center"/>
    </xf>
    <xf numFmtId="166" fontId="3" fillId="10" borderId="22" xfId="1" applyFont="1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0" fillId="10" borderId="26" xfId="0" applyFill="1" applyBorder="1" applyAlignment="1">
      <alignment horizontal="center"/>
    </xf>
    <xf numFmtId="166" fontId="0" fillId="10" borderId="26" xfId="1" applyFont="1" applyFill="1" applyBorder="1" applyAlignment="1">
      <alignment horizontal="center"/>
    </xf>
    <xf numFmtId="9" fontId="0" fillId="10" borderId="26" xfId="2" applyFont="1" applyFill="1" applyBorder="1" applyAlignment="1">
      <alignment horizontal="center"/>
    </xf>
    <xf numFmtId="9" fontId="0" fillId="10" borderId="28" xfId="2" applyFont="1" applyFill="1" applyBorder="1" applyAlignment="1">
      <alignment horizontal="center" vertical="center"/>
    </xf>
    <xf numFmtId="169" fontId="3" fillId="10" borderId="29" xfId="1" applyNumberFormat="1" applyFont="1" applyFill="1" applyBorder="1" applyAlignment="1">
      <alignment horizontal="center"/>
    </xf>
    <xf numFmtId="0" fontId="27" fillId="2" borderId="61" xfId="0" applyFont="1" applyFill="1" applyBorder="1"/>
    <xf numFmtId="0" fontId="10" fillId="2" borderId="12" xfId="0" applyFont="1" applyFill="1" applyBorder="1" applyAlignment="1">
      <alignment horizontal="center"/>
    </xf>
    <xf numFmtId="9" fontId="3" fillId="0" borderId="74" xfId="2" applyFont="1" applyBorder="1" applyAlignment="1">
      <alignment horizontal="center"/>
    </xf>
    <xf numFmtId="167" fontId="1" fillId="0" borderId="0" xfId="1" applyNumberFormat="1" applyFont="1" applyBorder="1"/>
    <xf numFmtId="9" fontId="29" fillId="0" borderId="74" xfId="2" applyFont="1" applyBorder="1" applyAlignment="1">
      <alignment horizontal="center"/>
    </xf>
    <xf numFmtId="9" fontId="31" fillId="0" borderId="74" xfId="2" applyFont="1" applyBorder="1" applyAlignment="1">
      <alignment horizontal="center"/>
    </xf>
    <xf numFmtId="9" fontId="0" fillId="0" borderId="24" xfId="2" applyFont="1" applyBorder="1" applyAlignment="1">
      <alignment horizontal="center"/>
    </xf>
    <xf numFmtId="9" fontId="0" fillId="0" borderId="36" xfId="2" applyFont="1" applyBorder="1" applyAlignment="1">
      <alignment horizontal="center"/>
    </xf>
    <xf numFmtId="9" fontId="0" fillId="0" borderId="75" xfId="2" applyFont="1" applyBorder="1" applyAlignment="1">
      <alignment horizontal="center"/>
    </xf>
    <xf numFmtId="166" fontId="0" fillId="0" borderId="29" xfId="1" applyFont="1" applyBorder="1"/>
    <xf numFmtId="0" fontId="0" fillId="10" borderId="58" xfId="0" applyFill="1" applyBorder="1" applyAlignment="1">
      <alignment horizontal="center"/>
    </xf>
    <xf numFmtId="0" fontId="0" fillId="10" borderId="59" xfId="0" applyFill="1" applyBorder="1" applyAlignment="1">
      <alignment horizontal="center"/>
    </xf>
    <xf numFmtId="49" fontId="0" fillId="10" borderId="59" xfId="0" applyNumberFormat="1" applyFill="1" applyBorder="1" applyAlignment="1">
      <alignment horizontal="center"/>
    </xf>
    <xf numFmtId="166" fontId="0" fillId="10" borderId="59" xfId="1" applyFont="1" applyFill="1" applyBorder="1"/>
    <xf numFmtId="9" fontId="0" fillId="10" borderId="59" xfId="2" applyFont="1" applyFill="1" applyBorder="1" applyAlignment="1">
      <alignment horizontal="center"/>
    </xf>
    <xf numFmtId="167" fontId="0" fillId="10" borderId="59" xfId="1" applyNumberFormat="1" applyFont="1" applyFill="1" applyBorder="1"/>
    <xf numFmtId="9" fontId="0" fillId="10" borderId="60" xfId="2" applyFont="1" applyFill="1" applyBorder="1" applyAlignment="1">
      <alignment horizontal="center"/>
    </xf>
    <xf numFmtId="167" fontId="2" fillId="10" borderId="22" xfId="1" applyNumberFormat="1" applyFont="1" applyFill="1" applyBorder="1"/>
    <xf numFmtId="167" fontId="0" fillId="10" borderId="67" xfId="1" applyNumberFormat="1" applyFont="1" applyFill="1" applyBorder="1"/>
    <xf numFmtId="167" fontId="0" fillId="10" borderId="37" xfId="1" applyNumberFormat="1" applyFont="1" applyFill="1" applyBorder="1"/>
    <xf numFmtId="167" fontId="0" fillId="10" borderId="18" xfId="1" applyNumberFormat="1" applyFont="1" applyFill="1" applyBorder="1"/>
    <xf numFmtId="167" fontId="0" fillId="10" borderId="62" xfId="1" applyNumberFormat="1" applyFont="1" applyFill="1" applyBorder="1"/>
    <xf numFmtId="166" fontId="0" fillId="10" borderId="0" xfId="1" applyFont="1" applyFill="1"/>
    <xf numFmtId="166" fontId="0" fillId="10" borderId="18" xfId="1" applyFont="1" applyFill="1" applyBorder="1"/>
    <xf numFmtId="166" fontId="0" fillId="10" borderId="19" xfId="1" applyFont="1" applyFill="1" applyBorder="1"/>
    <xf numFmtId="166" fontId="0" fillId="10" borderId="62" xfId="1" applyFont="1" applyFill="1" applyBorder="1"/>
    <xf numFmtId="0" fontId="0" fillId="10" borderId="63" xfId="0" applyFill="1" applyBorder="1" applyAlignment="1">
      <alignment horizontal="center"/>
    </xf>
    <xf numFmtId="0" fontId="0" fillId="10" borderId="54" xfId="0" applyFill="1" applyBorder="1" applyAlignment="1">
      <alignment horizontal="center"/>
    </xf>
    <xf numFmtId="49" fontId="0" fillId="10" borderId="54" xfId="0" applyNumberFormat="1" applyFill="1" applyBorder="1" applyAlignment="1">
      <alignment horizontal="center"/>
    </xf>
    <xf numFmtId="166" fontId="0" fillId="10" borderId="54" xfId="1" applyFont="1" applyFill="1" applyBorder="1"/>
    <xf numFmtId="9" fontId="0" fillId="10" borderId="54" xfId="2" applyFont="1" applyFill="1" applyBorder="1" applyAlignment="1">
      <alignment horizontal="center"/>
    </xf>
    <xf numFmtId="9" fontId="0" fillId="10" borderId="64" xfId="2" applyFont="1" applyFill="1" applyBorder="1" applyAlignment="1">
      <alignment horizontal="center"/>
    </xf>
    <xf numFmtId="167" fontId="0" fillId="10" borderId="29" xfId="1" applyNumberFormat="1" applyFont="1" applyFill="1" applyBorder="1"/>
    <xf numFmtId="9" fontId="0" fillId="10" borderId="30" xfId="2" applyFont="1" applyFill="1" applyBorder="1" applyAlignment="1">
      <alignment horizontal="center"/>
    </xf>
    <xf numFmtId="9" fontId="0" fillId="10" borderId="31" xfId="2" applyFont="1" applyFill="1" applyBorder="1" applyAlignment="1">
      <alignment horizontal="center"/>
    </xf>
    <xf numFmtId="9" fontId="0" fillId="10" borderId="25" xfId="2" applyFont="1" applyFill="1" applyBorder="1" applyAlignment="1">
      <alignment horizontal="center"/>
    </xf>
    <xf numFmtId="9" fontId="0" fillId="10" borderId="32" xfId="2" applyFont="1" applyFill="1" applyBorder="1" applyAlignment="1">
      <alignment horizontal="center"/>
    </xf>
    <xf numFmtId="0" fontId="2" fillId="10" borderId="0" xfId="0" applyFont="1" applyFill="1" applyAlignment="1">
      <alignment horizontal="left"/>
    </xf>
    <xf numFmtId="0" fontId="2" fillId="10" borderId="25" xfId="0" applyFont="1" applyFill="1" applyBorder="1" applyAlignment="1">
      <alignment horizontal="left"/>
    </xf>
    <xf numFmtId="0" fontId="0" fillId="10" borderId="26" xfId="0" applyFill="1" applyBorder="1"/>
    <xf numFmtId="0" fontId="0" fillId="10" borderId="32" xfId="0" applyFill="1" applyBorder="1"/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6" fontId="2" fillId="10" borderId="72" xfId="1" applyFont="1" applyFill="1" applyBorder="1"/>
    <xf numFmtId="167" fontId="0" fillId="10" borderId="73" xfId="1" applyNumberFormat="1" applyFont="1" applyFill="1" applyBorder="1"/>
    <xf numFmtId="9" fontId="0" fillId="0" borderId="11" xfId="2" applyFont="1" applyBorder="1" applyAlignment="1">
      <alignment horizontal="center"/>
    </xf>
    <xf numFmtId="0" fontId="32" fillId="2" borderId="34" xfId="0" applyFont="1" applyFill="1" applyBorder="1"/>
    <xf numFmtId="167" fontId="10" fillId="2" borderId="35" xfId="1" applyNumberFormat="1" applyFont="1" applyFill="1" applyBorder="1" applyAlignment="1">
      <alignment horizontal="center"/>
    </xf>
    <xf numFmtId="9" fontId="0" fillId="0" borderId="74" xfId="2" applyFont="1" applyBorder="1" applyAlignment="1">
      <alignment horizontal="center"/>
    </xf>
    <xf numFmtId="0" fontId="0" fillId="0" borderId="76" xfId="0" applyBorder="1" applyAlignment="1">
      <alignment horizontal="center"/>
    </xf>
    <xf numFmtId="9" fontId="0" fillId="0" borderId="77" xfId="2" applyFont="1" applyBorder="1" applyAlignment="1">
      <alignment horizontal="center"/>
    </xf>
    <xf numFmtId="9" fontId="0" fillId="0" borderId="78" xfId="2" applyFont="1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/>
    </xf>
    <xf numFmtId="49" fontId="0" fillId="0" borderId="31" xfId="0" applyNumberFormat="1" applyBorder="1" applyAlignment="1">
      <alignment horizontal="center"/>
    </xf>
    <xf numFmtId="166" fontId="0" fillId="0" borderId="31" xfId="1" applyFont="1" applyBorder="1"/>
    <xf numFmtId="9" fontId="0" fillId="0" borderId="31" xfId="2" applyFont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66" fontId="0" fillId="2" borderId="19" xfId="1" applyFont="1" applyFill="1" applyBorder="1" applyAlignment="1">
      <alignment horizontal="center"/>
    </xf>
    <xf numFmtId="9" fontId="0" fillId="2" borderId="19" xfId="2" applyFont="1" applyFill="1" applyBorder="1" applyAlignment="1">
      <alignment horizontal="center"/>
    </xf>
    <xf numFmtId="166" fontId="3" fillId="2" borderId="22" xfId="1" applyFont="1" applyFill="1" applyBorder="1" applyAlignment="1">
      <alignment horizontal="center"/>
    </xf>
    <xf numFmtId="0" fontId="0" fillId="2" borderId="0" xfId="0" applyFill="1"/>
    <xf numFmtId="0" fontId="0" fillId="2" borderId="3" xfId="0" applyFill="1" applyBorder="1" applyAlignment="1">
      <alignment horizontal="center"/>
    </xf>
    <xf numFmtId="166" fontId="0" fillId="2" borderId="3" xfId="1" applyFont="1" applyFill="1" applyBorder="1" applyAlignment="1">
      <alignment horizontal="center"/>
    </xf>
    <xf numFmtId="9" fontId="0" fillId="2" borderId="3" xfId="2" applyFont="1" applyFill="1" applyBorder="1" applyAlignment="1">
      <alignment horizontal="center"/>
    </xf>
    <xf numFmtId="169" fontId="3" fillId="2" borderId="34" xfId="1" applyNumberFormat="1" applyFont="1" applyFill="1" applyBorder="1" applyAlignment="1">
      <alignment horizontal="center"/>
    </xf>
    <xf numFmtId="0" fontId="33" fillId="2" borderId="57" xfId="0" applyFont="1" applyFill="1" applyBorder="1"/>
    <xf numFmtId="167" fontId="10" fillId="2" borderId="55" xfId="1" applyNumberFormat="1" applyFont="1" applyFill="1" applyBorder="1" applyAlignment="1">
      <alignment horizontal="center"/>
    </xf>
    <xf numFmtId="0" fontId="10" fillId="2" borderId="27" xfId="0" applyFont="1" applyFill="1" applyBorder="1" applyAlignment="1">
      <alignment horizontal="center"/>
    </xf>
    <xf numFmtId="0" fontId="10" fillId="2" borderId="75" xfId="0" applyFont="1" applyFill="1" applyBorder="1" applyAlignment="1">
      <alignment horizontal="center"/>
    </xf>
    <xf numFmtId="0" fontId="10" fillId="2" borderId="53" xfId="0" applyFont="1" applyFill="1" applyBorder="1" applyAlignment="1">
      <alignment horizontal="center"/>
    </xf>
    <xf numFmtId="0" fontId="26" fillId="2" borderId="0" xfId="0" applyFont="1" applyFill="1"/>
    <xf numFmtId="0" fontId="10" fillId="2" borderId="25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10" fillId="2" borderId="32" xfId="0" applyFont="1" applyFill="1" applyBorder="1" applyAlignment="1">
      <alignment horizontal="center"/>
    </xf>
    <xf numFmtId="0" fontId="26" fillId="0" borderId="0" xfId="0" applyFont="1"/>
    <xf numFmtId="9" fontId="0" fillId="0" borderId="10" xfId="2" applyFont="1" applyBorder="1" applyAlignment="1">
      <alignment horizontal="center"/>
    </xf>
    <xf numFmtId="167" fontId="0" fillId="0" borderId="10" xfId="0" applyNumberFormat="1" applyBorder="1"/>
    <xf numFmtId="167" fontId="0" fillId="0" borderId="11" xfId="0" applyNumberFormat="1" applyBorder="1"/>
    <xf numFmtId="0" fontId="0" fillId="2" borderId="58" xfId="0" applyFill="1" applyBorder="1" applyAlignment="1">
      <alignment horizontal="center"/>
    </xf>
    <xf numFmtId="49" fontId="0" fillId="2" borderId="59" xfId="0" applyNumberFormat="1" applyFill="1" applyBorder="1" applyAlignment="1">
      <alignment horizontal="center"/>
    </xf>
    <xf numFmtId="166" fontId="0" fillId="2" borderId="59" xfId="1" applyFont="1" applyFill="1" applyBorder="1"/>
    <xf numFmtId="9" fontId="0" fillId="2" borderId="59" xfId="2" applyFont="1" applyFill="1" applyBorder="1" applyAlignment="1">
      <alignment horizontal="center"/>
    </xf>
    <xf numFmtId="167" fontId="0" fillId="2" borderId="59" xfId="1" applyNumberFormat="1" applyFont="1" applyFill="1" applyBorder="1"/>
    <xf numFmtId="9" fontId="0" fillId="2" borderId="60" xfId="2" applyFont="1" applyFill="1" applyBorder="1" applyAlignment="1">
      <alignment horizontal="center"/>
    </xf>
    <xf numFmtId="167" fontId="2" fillId="2" borderId="22" xfId="1" applyNumberFormat="1" applyFont="1" applyFill="1" applyBorder="1"/>
    <xf numFmtId="167" fontId="0" fillId="2" borderId="67" xfId="1" applyNumberFormat="1" applyFont="1" applyFill="1" applyBorder="1"/>
    <xf numFmtId="167" fontId="0" fillId="2" borderId="37" xfId="1" applyNumberFormat="1" applyFont="1" applyFill="1" applyBorder="1"/>
    <xf numFmtId="167" fontId="0" fillId="2" borderId="62" xfId="1" applyNumberFormat="1" applyFont="1" applyFill="1" applyBorder="1"/>
    <xf numFmtId="167" fontId="0" fillId="2" borderId="18" xfId="1" applyNumberFormat="1" applyFont="1" applyFill="1" applyBorder="1"/>
    <xf numFmtId="166" fontId="0" fillId="2" borderId="18" xfId="1" applyFont="1" applyFill="1" applyBorder="1"/>
    <xf numFmtId="166" fontId="0" fillId="2" borderId="19" xfId="1" applyFont="1" applyFill="1" applyBorder="1"/>
    <xf numFmtId="166" fontId="0" fillId="2" borderId="62" xfId="1" applyFont="1" applyFill="1" applyBorder="1"/>
    <xf numFmtId="0" fontId="0" fillId="2" borderId="63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49" fontId="0" fillId="2" borderId="54" xfId="0" applyNumberFormat="1" applyFill="1" applyBorder="1" applyAlignment="1">
      <alignment horizontal="center"/>
    </xf>
    <xf numFmtId="166" fontId="0" fillId="2" borderId="54" xfId="1" applyFont="1" applyFill="1" applyBorder="1"/>
    <xf numFmtId="9" fontId="0" fillId="2" borderId="54" xfId="2" applyFont="1" applyFill="1" applyBorder="1" applyAlignment="1">
      <alignment horizontal="center"/>
    </xf>
    <xf numFmtId="9" fontId="0" fillId="2" borderId="64" xfId="2" applyFont="1" applyFill="1" applyBorder="1" applyAlignment="1">
      <alignment horizontal="center"/>
    </xf>
    <xf numFmtId="167" fontId="0" fillId="2" borderId="29" xfId="1" applyNumberFormat="1" applyFont="1" applyFill="1" applyBorder="1"/>
    <xf numFmtId="9" fontId="0" fillId="2" borderId="30" xfId="2" applyFont="1" applyFill="1" applyBorder="1" applyAlignment="1">
      <alignment horizontal="center"/>
    </xf>
    <xf numFmtId="9" fontId="0" fillId="2" borderId="31" xfId="2" applyFont="1" applyFill="1" applyBorder="1" applyAlignment="1">
      <alignment horizontal="center"/>
    </xf>
    <xf numFmtId="9" fontId="0" fillId="2" borderId="32" xfId="2" applyFont="1" applyFill="1" applyBorder="1" applyAlignment="1">
      <alignment horizontal="center"/>
    </xf>
    <xf numFmtId="9" fontId="0" fillId="2" borderId="25" xfId="2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2" borderId="25" xfId="0" applyFont="1" applyFill="1" applyBorder="1" applyAlignment="1">
      <alignment horizontal="left"/>
    </xf>
    <xf numFmtId="0" fontId="0" fillId="2" borderId="26" xfId="0" applyFill="1" applyBorder="1"/>
    <xf numFmtId="0" fontId="0" fillId="2" borderId="32" xfId="0" applyFill="1" applyBorder="1"/>
    <xf numFmtId="166" fontId="0" fillId="2" borderId="72" xfId="1" applyFont="1" applyFill="1" applyBorder="1"/>
    <xf numFmtId="167" fontId="0" fillId="2" borderId="17" xfId="1" applyNumberFormat="1" applyFont="1" applyFill="1" applyBorder="1"/>
    <xf numFmtId="166" fontId="0" fillId="0" borderId="0" xfId="0" applyNumberFormat="1" applyAlignment="1">
      <alignment horizontal="center"/>
    </xf>
    <xf numFmtId="0" fontId="25" fillId="2" borderId="27" xfId="0" applyFont="1" applyFill="1" applyBorder="1" applyAlignment="1">
      <alignment horizontal="center"/>
    </xf>
    <xf numFmtId="0" fontId="25" fillId="2" borderId="55" xfId="0" applyFont="1" applyFill="1" applyBorder="1" applyAlignment="1">
      <alignment horizontal="center"/>
    </xf>
    <xf numFmtId="0" fontId="34" fillId="11" borderId="4" xfId="0" applyFont="1" applyFill="1" applyBorder="1"/>
    <xf numFmtId="0" fontId="34" fillId="11" borderId="5" xfId="0" applyFont="1" applyFill="1" applyBorder="1" applyAlignment="1">
      <alignment horizontal="center"/>
    </xf>
    <xf numFmtId="9" fontId="34" fillId="11" borderId="5" xfId="0" applyNumberFormat="1" applyFont="1" applyFill="1" applyBorder="1" applyAlignment="1">
      <alignment horizontal="center"/>
    </xf>
    <xf numFmtId="49" fontId="34" fillId="11" borderId="5" xfId="0" applyNumberFormat="1" applyFont="1" applyFill="1" applyBorder="1" applyAlignment="1">
      <alignment horizontal="center"/>
    </xf>
    <xf numFmtId="0" fontId="34" fillId="11" borderId="5" xfId="0" applyFont="1" applyFill="1" applyBorder="1"/>
    <xf numFmtId="166" fontId="34" fillId="11" borderId="5" xfId="1" applyFont="1" applyFill="1" applyBorder="1"/>
    <xf numFmtId="9" fontId="34" fillId="11" borderId="5" xfId="2" applyFont="1" applyFill="1" applyBorder="1" applyAlignment="1">
      <alignment horizontal="center"/>
    </xf>
    <xf numFmtId="167" fontId="35" fillId="11" borderId="2" xfId="1" applyNumberFormat="1" applyFont="1" applyFill="1" applyBorder="1"/>
    <xf numFmtId="167" fontId="28" fillId="0" borderId="0" xfId="1" applyNumberFormat="1" applyFont="1"/>
    <xf numFmtId="0" fontId="28" fillId="0" borderId="1" xfId="0" applyFont="1" applyBorder="1"/>
    <xf numFmtId="166" fontId="34" fillId="11" borderId="12" xfId="0" applyNumberFormat="1" applyFont="1" applyFill="1" applyBorder="1"/>
    <xf numFmtId="166" fontId="34" fillId="11" borderId="13" xfId="0" applyNumberFormat="1" applyFont="1" applyFill="1" applyBorder="1"/>
    <xf numFmtId="166" fontId="34" fillId="11" borderId="14" xfId="0" applyNumberFormat="1" applyFont="1" applyFill="1" applyBorder="1"/>
    <xf numFmtId="0" fontId="28" fillId="0" borderId="0" xfId="0" applyFont="1" applyAlignment="1">
      <alignment horizontal="center"/>
    </xf>
    <xf numFmtId="9" fontId="28" fillId="0" borderId="0" xfId="0" applyNumberFormat="1" applyFont="1" applyAlignment="1">
      <alignment horizontal="center"/>
    </xf>
    <xf numFmtId="49" fontId="28" fillId="0" borderId="0" xfId="0" applyNumberFormat="1" applyFont="1" applyAlignment="1">
      <alignment horizontal="center"/>
    </xf>
    <xf numFmtId="166" fontId="28" fillId="0" borderId="0" xfId="1" applyFont="1"/>
    <xf numFmtId="9" fontId="28" fillId="0" borderId="0" xfId="2" applyFont="1" applyAlignment="1">
      <alignment horizontal="center"/>
    </xf>
    <xf numFmtId="166" fontId="7" fillId="0" borderId="0" xfId="0" applyNumberFormat="1" applyFont="1"/>
    <xf numFmtId="0" fontId="36" fillId="0" borderId="0" xfId="0" applyFont="1"/>
    <xf numFmtId="3" fontId="36" fillId="0" borderId="0" xfId="0" applyNumberFormat="1" applyFont="1" applyAlignment="1">
      <alignment horizontal="center"/>
    </xf>
    <xf numFmtId="3" fontId="25" fillId="6" borderId="1" xfId="0" applyNumberFormat="1" applyFont="1" applyFill="1" applyBorder="1"/>
    <xf numFmtId="3" fontId="25" fillId="6" borderId="1" xfId="0" applyNumberFormat="1" applyFont="1" applyFill="1" applyBorder="1" applyAlignment="1">
      <alignment horizontal="center"/>
    </xf>
    <xf numFmtId="0" fontId="25" fillId="6" borderId="1" xfId="0" applyFont="1" applyFill="1" applyBorder="1"/>
    <xf numFmtId="166" fontId="10" fillId="7" borderId="19" xfId="1" applyFont="1" applyFill="1" applyBorder="1" applyAlignment="1">
      <alignment horizontal="center" vertical="center"/>
    </xf>
    <xf numFmtId="166" fontId="10" fillId="7" borderId="26" xfId="1" applyFont="1" applyFill="1" applyBorder="1" applyAlignment="1">
      <alignment horizontal="center" vertical="center"/>
    </xf>
    <xf numFmtId="166" fontId="0" fillId="2" borderId="34" xfId="1" applyFont="1" applyFill="1" applyBorder="1"/>
    <xf numFmtId="167" fontId="2" fillId="2" borderId="13" xfId="1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49" fontId="0" fillId="0" borderId="42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166" fontId="0" fillId="0" borderId="42" xfId="1" applyFont="1" applyBorder="1"/>
    <xf numFmtId="9" fontId="0" fillId="0" borderId="42" xfId="2" applyFont="1" applyBorder="1" applyAlignment="1">
      <alignment horizontal="center"/>
    </xf>
    <xf numFmtId="166" fontId="0" fillId="0" borderId="7" xfId="1" applyFont="1" applyBorder="1"/>
    <xf numFmtId="9" fontId="3" fillId="0" borderId="82" xfId="2" applyFont="1" applyBorder="1" applyAlignment="1">
      <alignment horizontal="center"/>
    </xf>
    <xf numFmtId="9" fontId="38" fillId="0" borderId="74" xfId="2" applyFont="1" applyBorder="1" applyAlignment="1">
      <alignment horizontal="center"/>
    </xf>
    <xf numFmtId="166" fontId="0" fillId="0" borderId="6" xfId="1" applyFont="1" applyFill="1" applyBorder="1"/>
    <xf numFmtId="0" fontId="0" fillId="0" borderId="10" xfId="0" applyBorder="1" applyAlignment="1">
      <alignment horizontal="center"/>
    </xf>
    <xf numFmtId="0" fontId="0" fillId="0" borderId="52" xfId="0" applyBorder="1" applyAlignment="1">
      <alignment horizontal="center"/>
    </xf>
    <xf numFmtId="166" fontId="0" fillId="0" borderId="11" xfId="1" applyFont="1" applyFill="1" applyBorder="1"/>
    <xf numFmtId="9" fontId="29" fillId="0" borderId="24" xfId="2" applyFont="1" applyFill="1" applyBorder="1" applyAlignment="1">
      <alignment horizontal="center"/>
    </xf>
    <xf numFmtId="167" fontId="0" fillId="0" borderId="39" xfId="1" applyNumberFormat="1" applyFont="1" applyFill="1" applyBorder="1"/>
    <xf numFmtId="49" fontId="0" fillId="0" borderId="1" xfId="0" applyNumberFormat="1" applyBorder="1" applyAlignment="1">
      <alignment horizontal="center"/>
    </xf>
    <xf numFmtId="166" fontId="0" fillId="0" borderId="4" xfId="1" applyFont="1" applyBorder="1"/>
    <xf numFmtId="167" fontId="0" fillId="7" borderId="59" xfId="1" applyNumberFormat="1" applyFont="1" applyFill="1" applyBorder="1"/>
    <xf numFmtId="167" fontId="0" fillId="7" borderId="19" xfId="1" applyNumberFormat="1" applyFont="1" applyFill="1" applyBorder="1"/>
    <xf numFmtId="167" fontId="0" fillId="7" borderId="38" xfId="1" applyNumberFormat="1" applyFont="1" applyFill="1" applyBorder="1"/>
    <xf numFmtId="167" fontId="0" fillId="7" borderId="31" xfId="1" applyNumberFormat="1" applyFont="1" applyFill="1" applyBorder="1" applyAlignment="1">
      <alignment horizontal="center"/>
    </xf>
    <xf numFmtId="9" fontId="0" fillId="7" borderId="83" xfId="2" applyFont="1" applyFill="1" applyBorder="1" applyAlignment="1">
      <alignment horizontal="center"/>
    </xf>
    <xf numFmtId="0" fontId="2" fillId="7" borderId="31" xfId="0" applyFont="1" applyFill="1" applyBorder="1" applyAlignment="1">
      <alignment horizontal="left"/>
    </xf>
    <xf numFmtId="0" fontId="0" fillId="7" borderId="31" xfId="0" applyFill="1" applyBorder="1"/>
    <xf numFmtId="166" fontId="0" fillId="7" borderId="72" xfId="1" applyFont="1" applyFill="1" applyBorder="1"/>
    <xf numFmtId="167" fontId="0" fillId="7" borderId="17" xfId="1" applyNumberFormat="1" applyFont="1" applyFill="1" applyBorder="1"/>
    <xf numFmtId="167" fontId="0" fillId="0" borderId="2" xfId="1" applyNumberFormat="1" applyFont="1" applyBorder="1"/>
    <xf numFmtId="166" fontId="0" fillId="7" borderId="19" xfId="1" applyFont="1" applyFill="1" applyBorder="1" applyAlignment="1">
      <alignment horizontal="center" vertical="center"/>
    </xf>
    <xf numFmtId="166" fontId="25" fillId="7" borderId="62" xfId="1" applyFont="1" applyFill="1" applyBorder="1" applyAlignment="1">
      <alignment horizontal="center"/>
    </xf>
    <xf numFmtId="169" fontId="25" fillId="7" borderId="32" xfId="1" applyNumberFormat="1" applyFont="1" applyFill="1" applyBorder="1" applyAlignment="1">
      <alignment horizontal="center"/>
    </xf>
    <xf numFmtId="166" fontId="0" fillId="2" borderId="1" xfId="1" applyFont="1" applyFill="1" applyBorder="1"/>
    <xf numFmtId="167" fontId="2" fillId="2" borderId="4" xfId="1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9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/>
    </xf>
    <xf numFmtId="9" fontId="3" fillId="0" borderId="7" xfId="2" applyFont="1" applyBorder="1" applyAlignment="1">
      <alignment horizontal="center"/>
    </xf>
    <xf numFmtId="167" fontId="0" fillId="0" borderId="10" xfId="1" applyNumberFormat="1" applyFont="1" applyBorder="1"/>
    <xf numFmtId="167" fontId="0" fillId="0" borderId="6" xfId="1" applyNumberFormat="1" applyFont="1" applyBorder="1"/>
    <xf numFmtId="9" fontId="38" fillId="0" borderId="10" xfId="2" applyFont="1" applyBorder="1" applyAlignment="1">
      <alignment horizontal="center"/>
    </xf>
    <xf numFmtId="49" fontId="0" fillId="0" borderId="6" xfId="0" quotePrefix="1" applyNumberFormat="1" applyBorder="1" applyAlignment="1">
      <alignment horizontal="center"/>
    </xf>
    <xf numFmtId="9" fontId="29" fillId="0" borderId="0" xfId="2" applyFont="1" applyFill="1" applyBorder="1" applyAlignment="1">
      <alignment horizontal="center"/>
    </xf>
    <xf numFmtId="167" fontId="0" fillId="0" borderId="10" xfId="1" applyNumberFormat="1" applyFont="1" applyFill="1" applyBorder="1"/>
    <xf numFmtId="167" fontId="2" fillId="7" borderId="18" xfId="1" applyNumberFormat="1" applyFont="1" applyFill="1" applyBorder="1"/>
    <xf numFmtId="167" fontId="0" fillId="7" borderId="21" xfId="1" applyNumberFormat="1" applyFont="1" applyFill="1" applyBorder="1"/>
    <xf numFmtId="167" fontId="0" fillId="7" borderId="25" xfId="1" applyNumberFormat="1" applyFont="1" applyFill="1" applyBorder="1"/>
    <xf numFmtId="167" fontId="0" fillId="7" borderId="28" xfId="1" applyNumberFormat="1" applyFont="1" applyFill="1" applyBorder="1" applyAlignment="1">
      <alignment horizontal="center"/>
    </xf>
    <xf numFmtId="166" fontId="0" fillId="10" borderId="19" xfId="1" applyFont="1" applyFill="1" applyBorder="1" applyAlignment="1">
      <alignment horizontal="center" vertical="center"/>
    </xf>
    <xf numFmtId="166" fontId="25" fillId="10" borderId="22" xfId="1" applyFont="1" applyFill="1" applyBorder="1" applyAlignment="1">
      <alignment horizontal="center"/>
    </xf>
    <xf numFmtId="166" fontId="0" fillId="10" borderId="26" xfId="1" applyFont="1" applyFill="1" applyBorder="1" applyAlignment="1">
      <alignment horizontal="center" vertical="center"/>
    </xf>
    <xf numFmtId="169" fontId="25" fillId="10" borderId="29" xfId="1" applyNumberFormat="1" applyFont="1" applyFill="1" applyBorder="1" applyAlignment="1">
      <alignment horizontal="center"/>
    </xf>
    <xf numFmtId="167" fontId="2" fillId="10" borderId="18" xfId="1" applyNumberFormat="1" applyFont="1" applyFill="1" applyBorder="1"/>
    <xf numFmtId="167" fontId="0" fillId="10" borderId="21" xfId="1" applyNumberFormat="1" applyFont="1" applyFill="1" applyBorder="1"/>
    <xf numFmtId="167" fontId="0" fillId="10" borderId="19" xfId="1" applyNumberFormat="1" applyFont="1" applyFill="1" applyBorder="1"/>
    <xf numFmtId="167" fontId="0" fillId="10" borderId="38" xfId="1" applyNumberFormat="1" applyFont="1" applyFill="1" applyBorder="1"/>
    <xf numFmtId="167" fontId="0" fillId="10" borderId="25" xfId="1" applyNumberFormat="1" applyFont="1" applyFill="1" applyBorder="1"/>
    <xf numFmtId="167" fontId="0" fillId="10" borderId="28" xfId="1" applyNumberFormat="1" applyFont="1" applyFill="1" applyBorder="1" applyAlignment="1">
      <alignment horizontal="center"/>
    </xf>
    <xf numFmtId="9" fontId="0" fillId="10" borderId="83" xfId="2" applyFont="1" applyFill="1" applyBorder="1" applyAlignment="1">
      <alignment horizontal="center"/>
    </xf>
    <xf numFmtId="0" fontId="2" fillId="10" borderId="31" xfId="0" applyFont="1" applyFill="1" applyBorder="1" applyAlignment="1">
      <alignment horizontal="left"/>
    </xf>
    <xf numFmtId="0" fontId="0" fillId="10" borderId="31" xfId="0" applyFill="1" applyBorder="1"/>
    <xf numFmtId="166" fontId="0" fillId="10" borderId="15" xfId="1" applyFont="1" applyFill="1" applyBorder="1"/>
    <xf numFmtId="167" fontId="0" fillId="10" borderId="17" xfId="1" applyNumberFormat="1" applyFont="1" applyFill="1" applyBorder="1"/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166" fontId="0" fillId="0" borderId="8" xfId="1" applyFont="1" applyBorder="1"/>
    <xf numFmtId="9" fontId="0" fillId="0" borderId="8" xfId="2" applyFont="1" applyBorder="1" applyAlignment="1">
      <alignment horizontal="center"/>
    </xf>
    <xf numFmtId="167" fontId="0" fillId="0" borderId="8" xfId="1" applyNumberFormat="1" applyFont="1" applyBorder="1"/>
    <xf numFmtId="9" fontId="0" fillId="0" borderId="7" xfId="2" applyFont="1" applyBorder="1" applyAlignment="1">
      <alignment horizontal="center"/>
    </xf>
    <xf numFmtId="9" fontId="0" fillId="10" borderId="28" xfId="2" applyFont="1" applyFill="1" applyBorder="1" applyAlignment="1">
      <alignment horizontal="center"/>
    </xf>
    <xf numFmtId="166" fontId="0" fillId="2" borderId="19" xfId="1" applyFont="1" applyFill="1" applyBorder="1" applyAlignment="1">
      <alignment horizontal="center" vertical="center"/>
    </xf>
    <xf numFmtId="166" fontId="25" fillId="2" borderId="22" xfId="1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166" fontId="0" fillId="2" borderId="26" xfId="1" applyFont="1" applyFill="1" applyBorder="1" applyAlignment="1">
      <alignment horizontal="center"/>
    </xf>
    <xf numFmtId="9" fontId="0" fillId="2" borderId="26" xfId="2" applyFont="1" applyFill="1" applyBorder="1" applyAlignment="1">
      <alignment horizontal="center"/>
    </xf>
    <xf numFmtId="169" fontId="25" fillId="2" borderId="29" xfId="1" applyNumberFormat="1" applyFont="1" applyFill="1" applyBorder="1" applyAlignment="1">
      <alignment horizontal="center"/>
    </xf>
    <xf numFmtId="167" fontId="2" fillId="2" borderId="18" xfId="1" applyNumberFormat="1" applyFont="1" applyFill="1" applyBorder="1"/>
    <xf numFmtId="167" fontId="0" fillId="2" borderId="21" xfId="1" applyNumberFormat="1" applyFont="1" applyFill="1" applyBorder="1"/>
    <xf numFmtId="167" fontId="0" fillId="2" borderId="19" xfId="1" applyNumberFormat="1" applyFont="1" applyFill="1" applyBorder="1"/>
    <xf numFmtId="167" fontId="0" fillId="2" borderId="38" xfId="1" applyNumberFormat="1" applyFont="1" applyFill="1" applyBorder="1"/>
    <xf numFmtId="167" fontId="0" fillId="2" borderId="37" xfId="0" applyNumberFormat="1" applyFill="1" applyBorder="1"/>
    <xf numFmtId="167" fontId="0" fillId="2" borderId="25" xfId="1" applyNumberFormat="1" applyFont="1" applyFill="1" applyBorder="1"/>
    <xf numFmtId="167" fontId="0" fillId="2" borderId="28" xfId="1" applyNumberFormat="1" applyFont="1" applyFill="1" applyBorder="1" applyAlignment="1">
      <alignment horizontal="center"/>
    </xf>
    <xf numFmtId="9" fontId="0" fillId="2" borderId="83" xfId="2" applyFont="1" applyFill="1" applyBorder="1" applyAlignment="1">
      <alignment horizontal="center"/>
    </xf>
    <xf numFmtId="0" fontId="2" fillId="2" borderId="31" xfId="0" applyFont="1" applyFill="1" applyBorder="1" applyAlignment="1">
      <alignment horizontal="left"/>
    </xf>
    <xf numFmtId="0" fontId="0" fillId="2" borderId="31" xfId="0" applyFill="1" applyBorder="1"/>
    <xf numFmtId="166" fontId="0" fillId="2" borderId="15" xfId="1" applyFont="1" applyFill="1" applyBorder="1"/>
    <xf numFmtId="166" fontId="34" fillId="11" borderId="4" xfId="1" applyFont="1" applyFill="1" applyBorder="1"/>
    <xf numFmtId="166" fontId="34" fillId="11" borderId="2" xfId="1" applyFont="1" applyFill="1" applyBorder="1"/>
    <xf numFmtId="0" fontId="7" fillId="0" borderId="0" xfId="0" applyFont="1"/>
    <xf numFmtId="3" fontId="7" fillId="0" borderId="0" xfId="0" applyNumberFormat="1" applyFont="1" applyAlignment="1">
      <alignment horizontal="center"/>
    </xf>
    <xf numFmtId="0" fontId="10" fillId="2" borderId="1" xfId="0" applyFont="1" applyFill="1" applyBorder="1"/>
    <xf numFmtId="3" fontId="10" fillId="2" borderId="1" xfId="0" applyNumberFormat="1" applyFont="1" applyFill="1" applyBorder="1" applyAlignment="1">
      <alignment horizontal="center"/>
    </xf>
    <xf numFmtId="166" fontId="0" fillId="7" borderId="26" xfId="1" applyFont="1" applyFill="1" applyBorder="1" applyAlignment="1">
      <alignment horizontal="center" vertical="center"/>
    </xf>
    <xf numFmtId="166" fontId="28" fillId="2" borderId="61" xfId="1" applyFont="1" applyFill="1" applyBorder="1"/>
    <xf numFmtId="167" fontId="28" fillId="2" borderId="58" xfId="1" applyNumberFormat="1" applyFont="1" applyFill="1" applyBorder="1" applyAlignment="1">
      <alignment horizontal="center"/>
    </xf>
    <xf numFmtId="0" fontId="28" fillId="2" borderId="59" xfId="0" applyFont="1" applyFill="1" applyBorder="1" applyAlignment="1">
      <alignment horizontal="center"/>
    </xf>
    <xf numFmtId="0" fontId="28" fillId="2" borderId="60" xfId="0" applyFont="1" applyFill="1" applyBorder="1" applyAlignment="1">
      <alignment horizontal="center"/>
    </xf>
    <xf numFmtId="0" fontId="28" fillId="2" borderId="58" xfId="0" applyFont="1" applyFill="1" applyBorder="1" applyAlignment="1">
      <alignment horizontal="center"/>
    </xf>
    <xf numFmtId="0" fontId="28" fillId="2" borderId="60" xfId="0" applyFont="1" applyFill="1" applyBorder="1"/>
    <xf numFmtId="167" fontId="0" fillId="0" borderId="23" xfId="1" applyNumberFormat="1" applyFont="1" applyFill="1" applyBorder="1"/>
    <xf numFmtId="0" fontId="0" fillId="0" borderId="81" xfId="0" applyBorder="1"/>
    <xf numFmtId="0" fontId="0" fillId="0" borderId="36" xfId="0" applyBorder="1"/>
    <xf numFmtId="167" fontId="2" fillId="7" borderId="84" xfId="1" applyNumberFormat="1" applyFont="1" applyFill="1" applyBorder="1"/>
    <xf numFmtId="167" fontId="0" fillId="7" borderId="85" xfId="1" applyNumberFormat="1" applyFont="1" applyFill="1" applyBorder="1"/>
    <xf numFmtId="167" fontId="0" fillId="7" borderId="8" xfId="1" applyNumberFormat="1" applyFont="1" applyFill="1" applyBorder="1"/>
    <xf numFmtId="167" fontId="0" fillId="7" borderId="43" xfId="1" applyNumberFormat="1" applyFont="1" applyFill="1" applyBorder="1"/>
    <xf numFmtId="167" fontId="0" fillId="7" borderId="41" xfId="1" applyNumberFormat="1" applyFont="1" applyFill="1" applyBorder="1"/>
    <xf numFmtId="0" fontId="2" fillId="7" borderId="30" xfId="0" applyFont="1" applyFill="1" applyBorder="1" applyAlignment="1">
      <alignment horizontal="left"/>
    </xf>
    <xf numFmtId="166" fontId="0" fillId="7" borderId="15" xfId="1" applyFont="1" applyFill="1" applyBorder="1"/>
    <xf numFmtId="0" fontId="0" fillId="0" borderId="86" xfId="0" applyBorder="1"/>
    <xf numFmtId="0" fontId="0" fillId="0" borderId="87" xfId="0" applyBorder="1"/>
    <xf numFmtId="0" fontId="0" fillId="0" borderId="88" xfId="0" applyBorder="1"/>
    <xf numFmtId="167" fontId="0" fillId="0" borderId="81" xfId="1" applyNumberFormat="1" applyFont="1" applyBorder="1"/>
    <xf numFmtId="0" fontId="0" fillId="7" borderId="24" xfId="0" applyFill="1" applyBorder="1"/>
    <xf numFmtId="167" fontId="0" fillId="7" borderId="30" xfId="1" applyNumberFormat="1" applyFont="1" applyFill="1" applyBorder="1" applyAlignment="1">
      <alignment horizontal="center"/>
    </xf>
    <xf numFmtId="166" fontId="25" fillId="10" borderId="67" xfId="1" applyFont="1" applyFill="1" applyBorder="1" applyAlignment="1">
      <alignment horizontal="center"/>
    </xf>
    <xf numFmtId="169" fontId="25" fillId="10" borderId="30" xfId="1" applyNumberFormat="1" applyFont="1" applyFill="1" applyBorder="1" applyAlignment="1">
      <alignment horizontal="center"/>
    </xf>
    <xf numFmtId="167" fontId="2" fillId="10" borderId="84" xfId="1" applyNumberFormat="1" applyFont="1" applyFill="1" applyBorder="1"/>
    <xf numFmtId="167" fontId="0" fillId="10" borderId="85" xfId="1" applyNumberFormat="1" applyFont="1" applyFill="1" applyBorder="1"/>
    <xf numFmtId="167" fontId="0" fillId="10" borderId="8" xfId="1" applyNumberFormat="1" applyFont="1" applyFill="1" applyBorder="1"/>
    <xf numFmtId="167" fontId="0" fillId="10" borderId="43" xfId="1" applyNumberFormat="1" applyFont="1" applyFill="1" applyBorder="1"/>
    <xf numFmtId="167" fontId="0" fillId="10" borderId="41" xfId="1" applyNumberFormat="1" applyFont="1" applyFill="1" applyBorder="1"/>
    <xf numFmtId="167" fontId="0" fillId="10" borderId="23" xfId="1" applyNumberFormat="1" applyFont="1" applyFill="1" applyBorder="1"/>
    <xf numFmtId="167" fontId="0" fillId="10" borderId="0" xfId="1" applyNumberFormat="1" applyFont="1" applyFill="1" applyBorder="1"/>
    <xf numFmtId="0" fontId="0" fillId="10" borderId="24" xfId="0" applyFill="1" applyBorder="1"/>
    <xf numFmtId="0" fontId="2" fillId="10" borderId="30" xfId="0" applyFont="1" applyFill="1" applyBorder="1" applyAlignment="1">
      <alignment horizontal="left"/>
    </xf>
    <xf numFmtId="0" fontId="0" fillId="0" borderId="47" xfId="0" applyBorder="1"/>
    <xf numFmtId="0" fontId="0" fillId="10" borderId="62" xfId="0" applyFill="1" applyBorder="1"/>
    <xf numFmtId="166" fontId="25" fillId="2" borderId="67" xfId="1" applyFont="1" applyFill="1" applyBorder="1" applyAlignment="1">
      <alignment horizontal="center"/>
    </xf>
    <xf numFmtId="169" fontId="25" fillId="2" borderId="30" xfId="1" applyNumberFormat="1" applyFont="1" applyFill="1" applyBorder="1" applyAlignment="1">
      <alignment horizontal="center"/>
    </xf>
    <xf numFmtId="167" fontId="28" fillId="2" borderId="59" xfId="1" applyNumberFormat="1" applyFont="1" applyFill="1" applyBorder="1" applyAlignment="1">
      <alignment horizontal="center"/>
    </xf>
    <xf numFmtId="0" fontId="0" fillId="2" borderId="62" xfId="0" applyFill="1" applyBorder="1"/>
    <xf numFmtId="167" fontId="0" fillId="2" borderId="30" xfId="1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left"/>
    </xf>
    <xf numFmtId="166" fontId="2" fillId="0" borderId="0" xfId="1" applyFont="1"/>
    <xf numFmtId="0" fontId="28" fillId="2" borderId="4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7" fillId="2" borderId="1" xfId="0" applyFont="1" applyFill="1" applyBorder="1"/>
    <xf numFmtId="3" fontId="7" fillId="2" borderId="1" xfId="0" applyNumberFormat="1" applyFont="1" applyFill="1" applyBorder="1" applyAlignment="1">
      <alignment horizontal="center"/>
    </xf>
    <xf numFmtId="166" fontId="0" fillId="0" borderId="10" xfId="1" applyFont="1" applyFill="1" applyBorder="1"/>
    <xf numFmtId="166" fontId="0" fillId="0" borderId="23" xfId="1" applyFont="1" applyFill="1" applyBorder="1"/>
    <xf numFmtId="9" fontId="3" fillId="0" borderId="10" xfId="2" applyFont="1" applyFill="1" applyBorder="1" applyAlignment="1">
      <alignment horizontal="center"/>
    </xf>
    <xf numFmtId="9" fontId="31" fillId="0" borderId="10" xfId="2" applyFont="1" applyFill="1" applyBorder="1" applyAlignment="1">
      <alignment horizontal="center"/>
    </xf>
    <xf numFmtId="167" fontId="2" fillId="7" borderId="39" xfId="1" applyNumberFormat="1" applyFont="1" applyFill="1" applyBorder="1"/>
    <xf numFmtId="167" fontId="0" fillId="7" borderId="67" xfId="0" applyNumberFormat="1" applyFill="1" applyBorder="1"/>
    <xf numFmtId="167" fontId="0" fillId="7" borderId="37" xfId="0" applyNumberFormat="1" applyFill="1" applyBorder="1"/>
    <xf numFmtId="171" fontId="0" fillId="7" borderId="17" xfId="0" applyNumberFormat="1" applyFill="1" applyBorder="1"/>
    <xf numFmtId="166" fontId="0" fillId="7" borderId="23" xfId="1" applyFont="1" applyFill="1" applyBorder="1"/>
    <xf numFmtId="166" fontId="0" fillId="7" borderId="0" xfId="1" applyFont="1" applyFill="1" applyBorder="1"/>
    <xf numFmtId="166" fontId="0" fillId="7" borderId="37" xfId="1" applyFont="1" applyFill="1" applyBorder="1"/>
    <xf numFmtId="0" fontId="28" fillId="2" borderId="81" xfId="0" applyFont="1" applyFill="1" applyBorder="1" applyAlignment="1">
      <alignment horizontal="center"/>
    </xf>
    <xf numFmtId="0" fontId="28" fillId="2" borderId="13" xfId="0" applyFont="1" applyFill="1" applyBorder="1" applyAlignment="1">
      <alignment horizontal="center"/>
    </xf>
    <xf numFmtId="166" fontId="0" fillId="10" borderId="67" xfId="1" applyFont="1" applyFill="1" applyBorder="1"/>
    <xf numFmtId="166" fontId="0" fillId="10" borderId="37" xfId="1" applyFont="1" applyFill="1" applyBorder="1"/>
    <xf numFmtId="171" fontId="0" fillId="10" borderId="17" xfId="0" applyNumberFormat="1" applyFill="1" applyBorder="1"/>
    <xf numFmtId="0" fontId="0" fillId="2" borderId="67" xfId="0" applyFill="1" applyBorder="1"/>
    <xf numFmtId="167" fontId="0" fillId="2" borderId="62" xfId="0" applyNumberFormat="1" applyFill="1" applyBorder="1"/>
    <xf numFmtId="9" fontId="0" fillId="2" borderId="28" xfId="2" applyFont="1" applyFill="1" applyBorder="1" applyAlignment="1">
      <alignment horizontal="center"/>
    </xf>
    <xf numFmtId="171" fontId="0" fillId="2" borderId="17" xfId="0" applyNumberFormat="1" applyFill="1" applyBorder="1"/>
    <xf numFmtId="170" fontId="0" fillId="0" borderId="0" xfId="1" applyNumberFormat="1" applyFont="1" applyAlignment="1">
      <alignment horizontal="center"/>
    </xf>
    <xf numFmtId="3" fontId="0" fillId="2" borderId="1" xfId="0" applyNumberFormat="1" applyFill="1" applyBorder="1"/>
    <xf numFmtId="3" fontId="0" fillId="2" borderId="1" xfId="0" applyNumberFormat="1" applyFill="1" applyBorder="1" applyAlignment="1">
      <alignment horizontal="center"/>
    </xf>
    <xf numFmtId="9" fontId="20" fillId="0" borderId="24" xfId="2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62" xfId="0" applyFill="1" applyBorder="1"/>
    <xf numFmtId="9" fontId="20" fillId="0" borderId="0" xfId="2" applyFont="1" applyFill="1" applyBorder="1" applyAlignment="1">
      <alignment horizontal="center"/>
    </xf>
    <xf numFmtId="167" fontId="0" fillId="10" borderId="67" xfId="0" applyNumberFormat="1" applyFill="1" applyBorder="1"/>
    <xf numFmtId="9" fontId="0" fillId="0" borderId="82" xfId="2" applyFont="1" applyBorder="1" applyAlignment="1">
      <alignment horizontal="center"/>
    </xf>
    <xf numFmtId="0" fontId="0" fillId="7" borderId="37" xfId="0" applyFill="1" applyBorder="1"/>
    <xf numFmtId="0" fontId="0" fillId="10" borderId="37" xfId="0" applyFill="1" applyBorder="1"/>
    <xf numFmtId="167" fontId="0" fillId="10" borderId="30" xfId="1" applyNumberFormat="1" applyFont="1" applyFill="1" applyBorder="1" applyAlignment="1">
      <alignment horizontal="center"/>
    </xf>
    <xf numFmtId="167" fontId="0" fillId="2" borderId="31" xfId="1" applyNumberFormat="1" applyFont="1" applyFill="1" applyBorder="1" applyAlignment="1">
      <alignment horizontal="center"/>
    </xf>
    <xf numFmtId="9" fontId="3" fillId="0" borderId="24" xfId="2" applyFont="1" applyFill="1" applyBorder="1" applyAlignment="1">
      <alignment horizontal="center"/>
    </xf>
    <xf numFmtId="167" fontId="0" fillId="7" borderId="23" xfId="0" applyNumberFormat="1" applyFill="1" applyBorder="1"/>
    <xf numFmtId="167" fontId="0" fillId="7" borderId="0" xfId="0" applyNumberFormat="1" applyFill="1"/>
    <xf numFmtId="167" fontId="0" fillId="7" borderId="24" xfId="0" applyNumberFormat="1" applyFill="1" applyBorder="1"/>
    <xf numFmtId="0" fontId="0" fillId="8" borderId="90" xfId="0" applyFill="1" applyBorder="1" applyAlignment="1">
      <alignment horizontal="center"/>
    </xf>
    <xf numFmtId="0" fontId="0" fillId="7" borderId="0" xfId="0" applyFill="1"/>
    <xf numFmtId="166" fontId="0" fillId="0" borderId="34" xfId="1" applyFont="1" applyBorder="1"/>
    <xf numFmtId="167" fontId="2" fillId="10" borderId="39" xfId="1" applyNumberFormat="1" applyFont="1" applyFill="1" applyBorder="1"/>
    <xf numFmtId="167" fontId="0" fillId="10" borderId="24" xfId="1" applyNumberFormat="1" applyFont="1" applyFill="1" applyBorder="1"/>
    <xf numFmtId="167" fontId="0" fillId="10" borderId="40" xfId="1" applyNumberFormat="1" applyFont="1" applyFill="1" applyBorder="1"/>
    <xf numFmtId="0" fontId="0" fillId="10" borderId="0" xfId="0" applyFill="1"/>
    <xf numFmtId="167" fontId="0" fillId="0" borderId="13" xfId="1" applyNumberFormat="1" applyFont="1" applyBorder="1"/>
    <xf numFmtId="167" fontId="2" fillId="2" borderId="39" xfId="1" applyNumberFormat="1" applyFont="1" applyFill="1" applyBorder="1"/>
    <xf numFmtId="167" fontId="0" fillId="2" borderId="0" xfId="1" applyNumberFormat="1" applyFont="1" applyFill="1" applyBorder="1"/>
    <xf numFmtId="167" fontId="0" fillId="2" borderId="40" xfId="1" applyNumberFormat="1" applyFont="1" applyFill="1" applyBorder="1"/>
    <xf numFmtId="167" fontId="0" fillId="2" borderId="24" xfId="1" applyNumberFormat="1" applyFont="1" applyFill="1" applyBorder="1"/>
    <xf numFmtId="167" fontId="7" fillId="0" borderId="0" xfId="0" applyNumberFormat="1" applyFont="1"/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7" fontId="41" fillId="11" borderId="1" xfId="1" applyNumberFormat="1" applyFont="1" applyFill="1" applyBorder="1"/>
    <xf numFmtId="167" fontId="41" fillId="11" borderId="2" xfId="1" applyNumberFormat="1" applyFont="1" applyFill="1" applyBorder="1"/>
    <xf numFmtId="9" fontId="0" fillId="0" borderId="0" xfId="2" applyFont="1" applyAlignment="1">
      <alignment horizontal="left"/>
    </xf>
    <xf numFmtId="9" fontId="0" fillId="0" borderId="0" xfId="0" applyNumberFormat="1" applyAlignment="1">
      <alignment horizontal="left"/>
    </xf>
    <xf numFmtId="0" fontId="28" fillId="7" borderId="6" xfId="0" applyFont="1" applyFill="1" applyBorder="1" applyAlignment="1">
      <alignment horizontal="center"/>
    </xf>
    <xf numFmtId="166" fontId="28" fillId="7" borderId="6" xfId="1" applyFont="1" applyFill="1" applyBorder="1" applyAlignment="1">
      <alignment horizontal="center"/>
    </xf>
    <xf numFmtId="9" fontId="28" fillId="7" borderId="6" xfId="2" applyFont="1" applyFill="1" applyBorder="1" applyAlignment="1">
      <alignment horizontal="center"/>
    </xf>
    <xf numFmtId="166" fontId="42" fillId="7" borderId="39" xfId="1" applyFont="1" applyFill="1" applyBorder="1" applyAlignment="1">
      <alignment horizontal="center"/>
    </xf>
    <xf numFmtId="0" fontId="28" fillId="7" borderId="27" xfId="0" applyFont="1" applyFill="1" applyBorder="1" applyAlignment="1">
      <alignment horizontal="center"/>
    </xf>
    <xf numFmtId="0" fontId="28" fillId="7" borderId="26" xfId="0" applyFont="1" applyFill="1" applyBorder="1" applyAlignment="1">
      <alignment horizontal="center"/>
    </xf>
    <xf numFmtId="166" fontId="28" fillId="7" borderId="26" xfId="1" applyFont="1" applyFill="1" applyBorder="1" applyAlignment="1">
      <alignment horizontal="center"/>
    </xf>
    <xf numFmtId="9" fontId="28" fillId="7" borderId="26" xfId="2" applyFont="1" applyFill="1" applyBorder="1" applyAlignment="1">
      <alignment horizontal="center"/>
    </xf>
    <xf numFmtId="169" fontId="42" fillId="7" borderId="29" xfId="1" applyNumberFormat="1" applyFont="1" applyFill="1" applyBorder="1" applyAlignment="1">
      <alignment horizontal="center"/>
    </xf>
    <xf numFmtId="0" fontId="28" fillId="0" borderId="41" xfId="0" applyFont="1" applyBorder="1"/>
    <xf numFmtId="0" fontId="28" fillId="0" borderId="42" xfId="0" applyFont="1" applyBorder="1" applyAlignment="1">
      <alignment horizontal="center"/>
    </xf>
    <xf numFmtId="49" fontId="28" fillId="0" borderId="42" xfId="0" applyNumberFormat="1" applyFont="1" applyBorder="1" applyAlignment="1">
      <alignment horizontal="center"/>
    </xf>
    <xf numFmtId="0" fontId="28" fillId="0" borderId="7" xfId="0" applyFont="1" applyBorder="1"/>
    <xf numFmtId="0" fontId="28" fillId="0" borderId="8" xfId="0" applyFont="1" applyBorder="1"/>
    <xf numFmtId="0" fontId="28" fillId="0" borderId="9" xfId="0" applyFont="1" applyBorder="1"/>
    <xf numFmtId="0" fontId="28" fillId="0" borderId="9" xfId="0" applyFont="1" applyBorder="1" applyAlignment="1">
      <alignment horizontal="center"/>
    </xf>
    <xf numFmtId="166" fontId="28" fillId="0" borderId="42" xfId="1" applyFont="1" applyBorder="1"/>
    <xf numFmtId="9" fontId="28" fillId="0" borderId="42" xfId="2" applyFont="1" applyBorder="1" applyAlignment="1">
      <alignment horizontal="center"/>
    </xf>
    <xf numFmtId="9" fontId="42" fillId="0" borderId="82" xfId="2" applyFont="1" applyBorder="1" applyAlignment="1">
      <alignment horizontal="center"/>
    </xf>
    <xf numFmtId="166" fontId="28" fillId="0" borderId="39" xfId="1" applyFont="1" applyBorder="1"/>
    <xf numFmtId="167" fontId="28" fillId="0" borderId="23" xfId="1" applyNumberFormat="1" applyFont="1" applyBorder="1"/>
    <xf numFmtId="0" fontId="28" fillId="0" borderId="24" xfId="0" applyFont="1" applyBorder="1"/>
    <xf numFmtId="0" fontId="28" fillId="0" borderId="23" xfId="0" applyFont="1" applyBorder="1"/>
    <xf numFmtId="9" fontId="29" fillId="0" borderId="74" xfId="2" applyFont="1" applyFill="1" applyBorder="1" applyAlignment="1">
      <alignment horizontal="center"/>
    </xf>
    <xf numFmtId="9" fontId="30" fillId="0" borderId="74" xfId="2" applyFont="1" applyBorder="1" applyAlignment="1">
      <alignment horizontal="center"/>
    </xf>
    <xf numFmtId="0" fontId="0" fillId="8" borderId="91" xfId="0" applyFill="1" applyBorder="1" applyAlignment="1">
      <alignment horizontal="center"/>
    </xf>
    <xf numFmtId="166" fontId="0" fillId="0" borderId="24" xfId="0" applyNumberFormat="1" applyBorder="1"/>
    <xf numFmtId="0" fontId="0" fillId="7" borderId="59" xfId="0" applyFill="1" applyBorder="1"/>
    <xf numFmtId="0" fontId="0" fillId="7" borderId="54" xfId="0" applyFill="1" applyBorder="1"/>
    <xf numFmtId="166" fontId="42" fillId="7" borderId="22" xfId="1" applyFont="1" applyFill="1" applyBorder="1" applyAlignment="1">
      <alignment horizontal="center"/>
    </xf>
    <xf numFmtId="166" fontId="0" fillId="7" borderId="67" xfId="1" applyFont="1" applyFill="1" applyBorder="1"/>
    <xf numFmtId="167" fontId="0" fillId="7" borderId="62" xfId="0" applyNumberFormat="1" applyFill="1" applyBorder="1"/>
    <xf numFmtId="166" fontId="42" fillId="10" borderId="22" xfId="1" applyFont="1" applyFill="1" applyBorder="1" applyAlignment="1">
      <alignment horizontal="center"/>
    </xf>
    <xf numFmtId="169" fontId="42" fillId="10" borderId="29" xfId="1" applyNumberFormat="1" applyFont="1" applyFill="1" applyBorder="1" applyAlignment="1">
      <alignment horizontal="center"/>
    </xf>
    <xf numFmtId="0" fontId="0" fillId="10" borderId="59" xfId="0" applyFill="1" applyBorder="1"/>
    <xf numFmtId="167" fontId="0" fillId="10" borderId="37" xfId="0" applyNumberFormat="1" applyFill="1" applyBorder="1"/>
    <xf numFmtId="167" fontId="0" fillId="10" borderId="62" xfId="0" applyNumberFormat="1" applyFill="1" applyBorder="1"/>
    <xf numFmtId="0" fontId="0" fillId="10" borderId="54" xfId="0" applyFill="1" applyBorder="1"/>
    <xf numFmtId="166" fontId="2" fillId="0" borderId="0" xfId="1" applyFont="1" applyBorder="1"/>
    <xf numFmtId="166" fontId="2" fillId="0" borderId="13" xfId="1" applyFont="1" applyBorder="1"/>
    <xf numFmtId="166" fontId="42" fillId="2" borderId="22" xfId="1" applyFont="1" applyFill="1" applyBorder="1" applyAlignment="1">
      <alignment horizontal="center"/>
    </xf>
    <xf numFmtId="169" fontId="42" fillId="2" borderId="29" xfId="1" applyNumberFormat="1" applyFont="1" applyFill="1" applyBorder="1" applyAlignment="1">
      <alignment horizontal="center"/>
    </xf>
    <xf numFmtId="0" fontId="0" fillId="2" borderId="59" xfId="0" applyFill="1" applyBorder="1"/>
    <xf numFmtId="166" fontId="0" fillId="2" borderId="67" xfId="1" applyFont="1" applyFill="1" applyBorder="1"/>
    <xf numFmtId="0" fontId="0" fillId="2" borderId="54" xfId="0" applyFill="1" applyBorder="1"/>
    <xf numFmtId="9" fontId="2" fillId="0" borderId="0" xfId="2" applyFont="1" applyBorder="1" applyAlignment="1">
      <alignment horizontal="center"/>
    </xf>
    <xf numFmtId="9" fontId="2" fillId="0" borderId="13" xfId="2" applyFont="1" applyBorder="1" applyAlignment="1">
      <alignment horizontal="center"/>
    </xf>
    <xf numFmtId="166" fontId="43" fillId="11" borderId="4" xfId="1" applyFont="1" applyFill="1" applyBorder="1"/>
    <xf numFmtId="166" fontId="43" fillId="11" borderId="5" xfId="1" applyFont="1" applyFill="1" applyBorder="1"/>
    <xf numFmtId="166" fontId="43" fillId="11" borderId="2" xfId="1" applyFont="1" applyFill="1" applyBorder="1"/>
    <xf numFmtId="0" fontId="36" fillId="0" borderId="0" xfId="0" applyFont="1" applyAlignment="1">
      <alignment horizontal="center"/>
    </xf>
    <xf numFmtId="0" fontId="0" fillId="2" borderId="1" xfId="0" applyFill="1" applyBorder="1" applyAlignment="1">
      <alignment horizontal="left"/>
    </xf>
    <xf numFmtId="166" fontId="1" fillId="2" borderId="79" xfId="1" applyFont="1" applyFill="1" applyBorder="1"/>
    <xf numFmtId="167" fontId="10" fillId="2" borderId="58" xfId="1" applyNumberFormat="1" applyFont="1" applyFill="1" applyBorder="1" applyAlignment="1">
      <alignment horizontal="center"/>
    </xf>
    <xf numFmtId="0" fontId="10" fillId="2" borderId="59" xfId="0" applyFont="1" applyFill="1" applyBorder="1" applyAlignment="1">
      <alignment horizontal="center"/>
    </xf>
    <xf numFmtId="0" fontId="10" fillId="2" borderId="60" xfId="0" applyFont="1" applyFill="1" applyBorder="1" applyAlignment="1">
      <alignment horizontal="center"/>
    </xf>
    <xf numFmtId="0" fontId="10" fillId="2" borderId="58" xfId="0" applyFont="1" applyFill="1" applyBorder="1" applyAlignment="1">
      <alignment horizontal="center"/>
    </xf>
    <xf numFmtId="0" fontId="28" fillId="2" borderId="59" xfId="0" applyFont="1" applyFill="1" applyBorder="1"/>
    <xf numFmtId="0" fontId="28" fillId="2" borderId="92" xfId="0" applyFont="1" applyFill="1" applyBorder="1" applyAlignment="1">
      <alignment horizontal="center"/>
    </xf>
    <xf numFmtId="0" fontId="28" fillId="2" borderId="20" xfId="0" applyFont="1" applyFill="1" applyBorder="1" applyAlignment="1">
      <alignment horizontal="center"/>
    </xf>
    <xf numFmtId="0" fontId="28" fillId="2" borderId="93" xfId="0" applyFont="1" applyFill="1" applyBorder="1" applyAlignment="1">
      <alignment horizontal="center"/>
    </xf>
    <xf numFmtId="0" fontId="0" fillId="0" borderId="74" xfId="0" applyBorder="1"/>
    <xf numFmtId="0" fontId="0" fillId="8" borderId="9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1" xfId="0" applyFill="1" applyBorder="1" applyAlignment="1">
      <alignment horizontal="center"/>
    </xf>
    <xf numFmtId="167" fontId="0" fillId="0" borderId="74" xfId="0" applyNumberFormat="1" applyBorder="1"/>
    <xf numFmtId="0" fontId="0" fillId="8" borderId="95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1" xfId="1" applyFont="1" applyFill="1" applyBorder="1"/>
    <xf numFmtId="9" fontId="0" fillId="0" borderId="1" xfId="2" applyFont="1" applyFill="1" applyBorder="1" applyAlignment="1">
      <alignment horizontal="center"/>
    </xf>
    <xf numFmtId="166" fontId="0" fillId="0" borderId="2" xfId="1" applyFont="1" applyFill="1" applyBorder="1"/>
    <xf numFmtId="166" fontId="0" fillId="0" borderId="5" xfId="1" applyFont="1" applyFill="1" applyBorder="1"/>
    <xf numFmtId="9" fontId="3" fillId="0" borderId="1" xfId="2" applyFont="1" applyBorder="1" applyAlignment="1">
      <alignment horizontal="center"/>
    </xf>
    <xf numFmtId="0" fontId="0" fillId="0" borderId="2" xfId="0" applyBorder="1"/>
    <xf numFmtId="0" fontId="0" fillId="0" borderId="35" xfId="0" applyBorder="1"/>
    <xf numFmtId="0" fontId="0" fillId="0" borderId="3" xfId="0" applyBorder="1"/>
    <xf numFmtId="0" fontId="0" fillId="0" borderId="69" xfId="0" applyBorder="1"/>
    <xf numFmtId="167" fontId="2" fillId="0" borderId="1" xfId="1" applyNumberFormat="1" applyFont="1" applyBorder="1"/>
    <xf numFmtId="166" fontId="1" fillId="2" borderId="61" xfId="1" applyFont="1" applyFill="1" applyBorder="1"/>
    <xf numFmtId="9" fontId="3" fillId="0" borderId="4" xfId="2" applyFont="1" applyBorder="1" applyAlignment="1">
      <alignment horizontal="center"/>
    </xf>
    <xf numFmtId="0" fontId="0" fillId="7" borderId="30" xfId="0" applyFill="1" applyBorder="1"/>
    <xf numFmtId="167" fontId="2" fillId="10" borderId="59" xfId="1" applyNumberFormat="1" applyFont="1" applyFill="1" applyBorder="1"/>
    <xf numFmtId="167" fontId="2" fillId="10" borderId="67" xfId="1" applyNumberFormat="1" applyFont="1" applyFill="1" applyBorder="1"/>
    <xf numFmtId="167" fontId="0" fillId="10" borderId="30" xfId="1" applyNumberFormat="1" applyFont="1" applyFill="1" applyBorder="1"/>
    <xf numFmtId="0" fontId="0" fillId="10" borderId="30" xfId="0" applyFill="1" applyBorder="1"/>
    <xf numFmtId="166" fontId="0" fillId="10" borderId="0" xfId="1" applyFont="1" applyFill="1" applyBorder="1"/>
    <xf numFmtId="166" fontId="0" fillId="10" borderId="10" xfId="1" applyFont="1" applyFill="1" applyBorder="1"/>
    <xf numFmtId="166" fontId="0" fillId="10" borderId="24" xfId="1" applyFont="1" applyFill="1" applyBorder="1"/>
    <xf numFmtId="167" fontId="0" fillId="10" borderId="31" xfId="1" applyNumberFormat="1" applyFont="1" applyFill="1" applyBorder="1" applyAlignment="1">
      <alignment horizontal="center"/>
    </xf>
    <xf numFmtId="0" fontId="0" fillId="10" borderId="28" xfId="0" applyFill="1" applyBorder="1"/>
    <xf numFmtId="167" fontId="2" fillId="2" borderId="84" xfId="1" applyNumberFormat="1" applyFont="1" applyFill="1" applyBorder="1"/>
    <xf numFmtId="167" fontId="0" fillId="2" borderId="23" xfId="1" applyNumberFormat="1" applyFont="1" applyFill="1" applyBorder="1"/>
    <xf numFmtId="166" fontId="0" fillId="2" borderId="0" xfId="1" applyFont="1" applyFill="1" applyBorder="1"/>
    <xf numFmtId="167" fontId="10" fillId="2" borderId="23" xfId="0" applyNumberFormat="1" applyFont="1" applyFill="1" applyBorder="1"/>
    <xf numFmtId="167" fontId="10" fillId="2" borderId="0" xfId="0" applyNumberFormat="1" applyFont="1" applyFill="1"/>
    <xf numFmtId="167" fontId="10" fillId="2" borderId="43" xfId="0" applyNumberFormat="1" applyFont="1" applyFill="1" applyBorder="1"/>
    <xf numFmtId="0" fontId="2" fillId="2" borderId="0" xfId="0" applyFont="1" applyFill="1" applyAlignment="1">
      <alignment horizontal="left"/>
    </xf>
    <xf numFmtId="0" fontId="0" fillId="2" borderId="30" xfId="0" applyFill="1" applyBorder="1"/>
    <xf numFmtId="0" fontId="2" fillId="0" borderId="19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7" fontId="35" fillId="11" borderId="5" xfId="1" applyNumberFormat="1" applyFont="1" applyFill="1" applyBorder="1"/>
    <xf numFmtId="172" fontId="0" fillId="0" borderId="0" xfId="0" applyNumberFormat="1"/>
    <xf numFmtId="9" fontId="0" fillId="0" borderId="0" xfId="2" applyFont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73" fontId="0" fillId="2" borderId="2" xfId="1" applyNumberFormat="1" applyFont="1" applyFill="1" applyBorder="1" applyAlignment="1">
      <alignment horizontal="center"/>
    </xf>
    <xf numFmtId="170" fontId="36" fillId="0" borderId="0" xfId="1" applyNumberFormat="1" applyFont="1" applyAlignment="1">
      <alignment horizontal="center"/>
    </xf>
    <xf numFmtId="3" fontId="0" fillId="2" borderId="1" xfId="0" applyNumberFormat="1" applyFill="1" applyBorder="1" applyAlignment="1">
      <alignment horizontal="right"/>
    </xf>
    <xf numFmtId="170" fontId="0" fillId="2" borderId="1" xfId="1" applyNumberFormat="1" applyFont="1" applyFill="1" applyBorder="1" applyAlignment="1">
      <alignment horizontal="center"/>
    </xf>
    <xf numFmtId="166" fontId="10" fillId="2" borderId="61" xfId="1" applyFont="1" applyFill="1" applyBorder="1"/>
    <xf numFmtId="0" fontId="0" fillId="0" borderId="89" xfId="0" applyBorder="1"/>
    <xf numFmtId="0" fontId="0" fillId="8" borderId="96" xfId="0" applyFill="1" applyBorder="1" applyAlignment="1">
      <alignment horizontal="center"/>
    </xf>
    <xf numFmtId="0" fontId="0" fillId="0" borderId="97" xfId="0" applyBorder="1"/>
    <xf numFmtId="0" fontId="28" fillId="7" borderId="19" xfId="0" applyFont="1" applyFill="1" applyBorder="1" applyAlignment="1">
      <alignment horizontal="center"/>
    </xf>
    <xf numFmtId="166" fontId="28" fillId="7" borderId="19" xfId="1" applyFont="1" applyFill="1" applyBorder="1" applyAlignment="1">
      <alignment horizontal="center"/>
    </xf>
    <xf numFmtId="9" fontId="28" fillId="7" borderId="19" xfId="2" applyFont="1" applyFill="1" applyBorder="1" applyAlignment="1">
      <alignment horizontal="center"/>
    </xf>
    <xf numFmtId="166" fontId="0" fillId="0" borderId="23" xfId="0" applyNumberFormat="1" applyBorder="1"/>
    <xf numFmtId="9" fontId="20" fillId="0" borderId="0" xfId="0" applyNumberFormat="1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42" xfId="0" applyFill="1" applyBorder="1" applyAlignment="1">
      <alignment horizontal="center"/>
    </xf>
    <xf numFmtId="166" fontId="0" fillId="10" borderId="42" xfId="1" applyFont="1" applyFill="1" applyBorder="1" applyAlignment="1">
      <alignment horizontal="center"/>
    </xf>
    <xf numFmtId="9" fontId="0" fillId="10" borderId="42" xfId="2" applyFont="1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166" fontId="0" fillId="10" borderId="3" xfId="1" applyFont="1" applyFill="1" applyBorder="1" applyAlignment="1">
      <alignment horizontal="center"/>
    </xf>
    <xf numFmtId="9" fontId="0" fillId="10" borderId="3" xfId="2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49" fontId="0" fillId="10" borderId="5" xfId="0" applyNumberFormat="1" applyFill="1" applyBorder="1" applyAlignment="1">
      <alignment horizontal="center"/>
    </xf>
    <xf numFmtId="0" fontId="0" fillId="10" borderId="5" xfId="0" applyFill="1" applyBorder="1"/>
    <xf numFmtId="166" fontId="0" fillId="10" borderId="5" xfId="1" applyFont="1" applyFill="1" applyBorder="1"/>
    <xf numFmtId="9" fontId="0" fillId="10" borderId="5" xfId="2" applyFont="1" applyFill="1" applyBorder="1" applyAlignment="1">
      <alignment horizontal="center"/>
    </xf>
    <xf numFmtId="167" fontId="0" fillId="10" borderId="5" xfId="1" applyNumberFormat="1" applyFont="1" applyFill="1" applyBorder="1"/>
    <xf numFmtId="167" fontId="0" fillId="10" borderId="17" xfId="1" applyNumberFormat="1" applyFont="1" applyFill="1" applyBorder="1" applyAlignment="1">
      <alignment horizontal="center"/>
    </xf>
    <xf numFmtId="167" fontId="0" fillId="2" borderId="85" xfId="1" applyNumberFormat="1" applyFont="1" applyFill="1" applyBorder="1"/>
    <xf numFmtId="167" fontId="0" fillId="2" borderId="8" xfId="1" applyNumberFormat="1" applyFont="1" applyFill="1" applyBorder="1"/>
    <xf numFmtId="167" fontId="0" fillId="2" borderId="43" xfId="1" applyNumberFormat="1" applyFont="1" applyFill="1" applyBorder="1"/>
    <xf numFmtId="0" fontId="0" fillId="2" borderId="24" xfId="0" applyFill="1" applyBorder="1"/>
    <xf numFmtId="167" fontId="24" fillId="2" borderId="30" xfId="0" applyNumberFormat="1" applyFont="1" applyFill="1" applyBorder="1"/>
    <xf numFmtId="167" fontId="24" fillId="2" borderId="31" xfId="0" applyNumberFormat="1" applyFont="1" applyFill="1" applyBorder="1"/>
    <xf numFmtId="167" fontId="0" fillId="2" borderId="17" xfId="1" applyNumberFormat="1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0" fillId="7" borderId="79" xfId="0" applyFill="1" applyBorder="1" applyAlignment="1">
      <alignment horizontal="center"/>
    </xf>
    <xf numFmtId="0" fontId="0" fillId="8" borderId="98" xfId="0" applyFill="1" applyBorder="1" applyAlignment="1">
      <alignment horizontal="center"/>
    </xf>
    <xf numFmtId="0" fontId="3" fillId="8" borderId="94" xfId="0" applyFont="1" applyFill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4" borderId="99" xfId="7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45" fillId="0" borderId="0" xfId="0" applyFont="1"/>
    <xf numFmtId="0" fontId="45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9" fontId="3" fillId="0" borderId="6" xfId="2" applyFont="1" applyBorder="1" applyAlignment="1">
      <alignment horizontal="center"/>
    </xf>
    <xf numFmtId="167" fontId="0" fillId="7" borderId="6" xfId="1" applyNumberFormat="1" applyFont="1" applyFill="1" applyBorder="1"/>
    <xf numFmtId="167" fontId="0" fillId="7" borderId="74" xfId="1" applyNumberFormat="1" applyFont="1" applyFill="1" applyBorder="1"/>
    <xf numFmtId="0" fontId="10" fillId="2" borderId="92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167" fontId="0" fillId="7" borderId="82" xfId="1" applyNumberFormat="1" applyFont="1" applyFill="1" applyBorder="1"/>
    <xf numFmtId="0" fontId="28" fillId="10" borderId="19" xfId="0" applyFont="1" applyFill="1" applyBorder="1" applyAlignment="1">
      <alignment horizontal="center"/>
    </xf>
    <xf numFmtId="166" fontId="28" fillId="10" borderId="19" xfId="1" applyFont="1" applyFill="1" applyBorder="1" applyAlignment="1">
      <alignment horizontal="center"/>
    </xf>
    <xf numFmtId="9" fontId="28" fillId="10" borderId="19" xfId="2" applyFont="1" applyFill="1" applyBorder="1" applyAlignment="1">
      <alignment horizontal="center"/>
    </xf>
    <xf numFmtId="0" fontId="28" fillId="10" borderId="27" xfId="0" applyFont="1" applyFill="1" applyBorder="1" applyAlignment="1">
      <alignment horizontal="center"/>
    </xf>
    <xf numFmtId="0" fontId="28" fillId="10" borderId="26" xfId="0" applyFont="1" applyFill="1" applyBorder="1" applyAlignment="1">
      <alignment horizontal="center"/>
    </xf>
    <xf numFmtId="166" fontId="28" fillId="10" borderId="26" xfId="1" applyFont="1" applyFill="1" applyBorder="1" applyAlignment="1">
      <alignment horizontal="center"/>
    </xf>
    <xf numFmtId="9" fontId="28" fillId="10" borderId="26" xfId="2" applyFont="1" applyFill="1" applyBorder="1" applyAlignment="1">
      <alignment horizontal="center"/>
    </xf>
    <xf numFmtId="0" fontId="3" fillId="8" borderId="45" xfId="0" applyFont="1" applyFill="1" applyBorder="1" applyAlignment="1">
      <alignment horizontal="center"/>
    </xf>
    <xf numFmtId="1" fontId="2" fillId="10" borderId="31" xfId="0" applyNumberFormat="1" applyFont="1" applyFill="1" applyBorder="1" applyAlignment="1">
      <alignment horizontal="left"/>
    </xf>
    <xf numFmtId="1" fontId="2" fillId="0" borderId="6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1" fontId="2" fillId="2" borderId="30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66" fontId="46" fillId="11" borderId="4" xfId="1" applyFont="1" applyFill="1" applyBorder="1" applyAlignment="1">
      <alignment horizontal="center"/>
    </xf>
    <xf numFmtId="166" fontId="10" fillId="0" borderId="0" xfId="1" applyFont="1"/>
    <xf numFmtId="169" fontId="0" fillId="0" borderId="0" xfId="0" applyNumberFormat="1"/>
    <xf numFmtId="0" fontId="3" fillId="8" borderId="100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49" fontId="0" fillId="7" borderId="5" xfId="0" applyNumberFormat="1" applyFill="1" applyBorder="1" applyAlignment="1">
      <alignment horizontal="center"/>
    </xf>
    <xf numFmtId="166" fontId="0" fillId="7" borderId="5" xfId="1" applyFont="1" applyFill="1" applyBorder="1"/>
    <xf numFmtId="9" fontId="0" fillId="7" borderId="5" xfId="2" applyFont="1" applyFill="1" applyBorder="1" applyAlignment="1">
      <alignment horizontal="center"/>
    </xf>
    <xf numFmtId="167" fontId="0" fillId="7" borderId="5" xfId="1" applyNumberFormat="1" applyFont="1" applyFill="1" applyBorder="1"/>
    <xf numFmtId="0" fontId="3" fillId="8" borderId="48" xfId="0" applyFont="1" applyFill="1" applyBorder="1" applyAlignment="1">
      <alignment horizontal="center"/>
    </xf>
    <xf numFmtId="0" fontId="3" fillId="8" borderId="98" xfId="0" applyFont="1" applyFill="1" applyBorder="1" applyAlignment="1">
      <alignment horizontal="center"/>
    </xf>
    <xf numFmtId="1" fontId="2" fillId="10" borderId="30" xfId="0" applyNumberFormat="1" applyFont="1" applyFill="1" applyBorder="1" applyAlignment="1">
      <alignment horizontal="left"/>
    </xf>
    <xf numFmtId="0" fontId="47" fillId="0" borderId="0" xfId="0" applyFont="1"/>
    <xf numFmtId="0" fontId="4" fillId="0" borderId="0" xfId="0" applyFont="1"/>
    <xf numFmtId="166" fontId="4" fillId="0" borderId="0" xfId="1" applyFont="1" applyAlignment="1">
      <alignment horizontal="center"/>
    </xf>
    <xf numFmtId="0" fontId="48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9" fillId="0" borderId="1" xfId="0" applyFont="1" applyBorder="1"/>
    <xf numFmtId="0" fontId="49" fillId="0" borderId="1" xfId="0" applyFont="1" applyBorder="1" applyAlignment="1">
      <alignment horizontal="center"/>
    </xf>
    <xf numFmtId="9" fontId="49" fillId="0" borderId="1" xfId="0" applyNumberFormat="1" applyFont="1" applyBorder="1" applyAlignment="1">
      <alignment horizontal="center"/>
    </xf>
    <xf numFmtId="166" fontId="49" fillId="0" borderId="1" xfId="0" applyNumberFormat="1" applyFont="1" applyBorder="1" applyAlignment="1">
      <alignment horizontal="center"/>
    </xf>
    <xf numFmtId="166" fontId="49" fillId="0" borderId="1" xfId="0" applyNumberFormat="1" applyFont="1" applyBorder="1"/>
    <xf numFmtId="9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9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67" fontId="0" fillId="0" borderId="2" xfId="1" applyNumberFormat="1" applyFont="1" applyBorder="1" applyAlignment="1">
      <alignment vertical="center"/>
    </xf>
    <xf numFmtId="167" fontId="42" fillId="7" borderId="22" xfId="1" applyNumberFormat="1" applyFont="1" applyFill="1" applyBorder="1" applyAlignment="1">
      <alignment horizontal="center"/>
    </xf>
    <xf numFmtId="174" fontId="5" fillId="7" borderId="26" xfId="0" applyNumberFormat="1" applyFont="1" applyFill="1" applyBorder="1" applyAlignment="1">
      <alignment horizontal="center" vertical="center" wrapText="1"/>
    </xf>
    <xf numFmtId="1" fontId="5" fillId="7" borderId="26" xfId="0" applyNumberFormat="1" applyFont="1" applyFill="1" applyBorder="1" applyAlignment="1">
      <alignment horizontal="center" vertical="center"/>
    </xf>
    <xf numFmtId="167" fontId="42" fillId="7" borderId="29" xfId="1" applyNumberFormat="1" applyFont="1" applyFill="1" applyBorder="1" applyAlignment="1">
      <alignment horizontal="center"/>
    </xf>
    <xf numFmtId="167" fontId="1" fillId="2" borderId="61" xfId="1" applyNumberFormat="1" applyFont="1" applyFill="1" applyBorder="1"/>
    <xf numFmtId="167" fontId="10" fillId="2" borderId="59" xfId="1" applyNumberFormat="1" applyFont="1" applyFill="1" applyBorder="1" applyAlignment="1">
      <alignment horizontal="center"/>
    </xf>
    <xf numFmtId="167" fontId="10" fillId="2" borderId="92" xfId="1" applyNumberFormat="1" applyFont="1" applyFill="1" applyBorder="1" applyAlignment="1">
      <alignment horizontal="center"/>
    </xf>
    <xf numFmtId="167" fontId="10" fillId="2" borderId="60" xfId="1" applyNumberFormat="1" applyFont="1" applyFill="1" applyBorder="1" applyAlignment="1">
      <alignment horizontal="center"/>
    </xf>
    <xf numFmtId="0" fontId="50" fillId="0" borderId="42" xfId="4" applyFont="1" applyBorder="1" applyAlignment="1">
      <alignment horizontal="center" vertical="center"/>
    </xf>
    <xf numFmtId="0" fontId="51" fillId="0" borderId="6" xfId="4" applyFont="1" applyBorder="1" applyAlignment="1">
      <alignment vertical="center"/>
    </xf>
    <xf numFmtId="0" fontId="52" fillId="9" borderId="6" xfId="5" applyFont="1" applyFill="1" applyBorder="1" applyAlignment="1">
      <alignment horizontal="center" vertical="center"/>
    </xf>
    <xf numFmtId="49" fontId="52" fillId="9" borderId="6" xfId="5" applyNumberFormat="1" applyFont="1" applyFill="1" applyBorder="1" applyAlignment="1">
      <alignment horizontal="center" vertical="center"/>
    </xf>
    <xf numFmtId="0" fontId="52" fillId="9" borderId="0" xfId="3" applyFont="1" applyFill="1" applyAlignment="1">
      <alignment horizontal="center" vertical="center" wrapText="1"/>
    </xf>
    <xf numFmtId="0" fontId="52" fillId="9" borderId="0" xfId="3" applyFont="1" applyFill="1" applyAlignment="1">
      <alignment horizontal="center" vertical="center"/>
    </xf>
    <xf numFmtId="17" fontId="52" fillId="9" borderId="0" xfId="3" applyNumberFormat="1" applyFont="1" applyFill="1" applyAlignment="1">
      <alignment horizontal="center" vertical="center" wrapText="1"/>
    </xf>
    <xf numFmtId="1" fontId="52" fillId="0" borderId="6" xfId="3" applyNumberFormat="1" applyFont="1" applyBorder="1" applyAlignment="1">
      <alignment horizontal="center" vertical="center" wrapText="1"/>
    </xf>
    <xf numFmtId="167" fontId="52" fillId="0" borderId="6" xfId="1" applyNumberFormat="1" applyFont="1" applyBorder="1" applyAlignment="1">
      <alignment horizontal="center" vertical="center" wrapText="1"/>
    </xf>
    <xf numFmtId="167" fontId="52" fillId="0" borderId="11" xfId="1" applyNumberFormat="1" applyFont="1" applyBorder="1" applyAlignment="1">
      <alignment horizontal="center" vertical="center" wrapText="1"/>
    </xf>
    <xf numFmtId="167" fontId="52" fillId="9" borderId="6" xfId="1" applyNumberFormat="1" applyFont="1" applyFill="1" applyBorder="1" applyAlignment="1">
      <alignment horizontal="center" vertical="center" wrapText="1"/>
    </xf>
    <xf numFmtId="9" fontId="52" fillId="9" borderId="10" xfId="2" applyFont="1" applyFill="1" applyBorder="1" applyAlignment="1">
      <alignment horizontal="center" vertical="center" wrapText="1"/>
    </xf>
    <xf numFmtId="167" fontId="52" fillId="0" borderId="39" xfId="1" applyNumberFormat="1" applyFont="1" applyBorder="1" applyAlignment="1">
      <alignment horizontal="center" vertical="center" wrapText="1"/>
    </xf>
    <xf numFmtId="167" fontId="52" fillId="0" borderId="23" xfId="1" applyNumberFormat="1" applyFont="1" applyBorder="1" applyAlignment="1">
      <alignment horizontal="center" vertical="center" wrapText="1"/>
    </xf>
    <xf numFmtId="167" fontId="0" fillId="0" borderId="0" xfId="1" applyNumberFormat="1" applyFont="1" applyBorder="1" applyAlignment="1">
      <alignment horizontal="center"/>
    </xf>
    <xf numFmtId="167" fontId="0" fillId="0" borderId="40" xfId="1" applyNumberFormat="1" applyFont="1" applyBorder="1"/>
    <xf numFmtId="167" fontId="0" fillId="0" borderId="24" xfId="1" applyNumberFormat="1" applyFont="1" applyBorder="1"/>
    <xf numFmtId="0" fontId="8" fillId="0" borderId="6" xfId="5" applyFont="1" applyBorder="1" applyAlignment="1">
      <alignment horizontal="center" vertical="center"/>
    </xf>
    <xf numFmtId="49" fontId="8" fillId="0" borderId="6" xfId="5" applyNumberFormat="1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17" fontId="8" fillId="0" borderId="6" xfId="3" applyNumberFormat="1" applyFont="1" applyBorder="1" applyAlignment="1">
      <alignment horizontal="center" vertical="center" wrapText="1"/>
    </xf>
    <xf numFmtId="1" fontId="8" fillId="13" borderId="48" xfId="3" applyNumberFormat="1" applyFont="1" applyFill="1" applyBorder="1" applyAlignment="1">
      <alignment horizontal="center" vertical="center" wrapText="1"/>
    </xf>
    <xf numFmtId="1" fontId="8" fillId="0" borderId="6" xfId="3" applyNumberFormat="1" applyFont="1" applyBorder="1" applyAlignment="1">
      <alignment horizontal="center" vertical="center" wrapText="1"/>
    </xf>
    <xf numFmtId="167" fontId="8" fillId="0" borderId="6" xfId="1" applyNumberFormat="1" applyFont="1" applyBorder="1" applyAlignment="1">
      <alignment horizontal="center" vertical="center"/>
    </xf>
    <xf numFmtId="9" fontId="8" fillId="0" borderId="6" xfId="2" applyFont="1" applyBorder="1" applyAlignment="1">
      <alignment horizontal="center" vertical="center"/>
    </xf>
    <xf numFmtId="9" fontId="8" fillId="0" borderId="10" xfId="2" applyFont="1" applyBorder="1" applyAlignment="1">
      <alignment horizontal="center" vertical="center"/>
    </xf>
    <xf numFmtId="167" fontId="8" fillId="0" borderId="39" xfId="1" applyNumberFormat="1" applyFont="1" applyFill="1" applyBorder="1" applyAlignment="1">
      <alignment horizontal="center" vertical="center"/>
    </xf>
    <xf numFmtId="167" fontId="8" fillId="0" borderId="23" xfId="1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1" fontId="8" fillId="13" borderId="0" xfId="3" applyNumberFormat="1" applyFont="1" applyFill="1" applyAlignment="1">
      <alignment horizontal="center" vertical="center" wrapText="1"/>
    </xf>
    <xf numFmtId="1" fontId="8" fillId="13" borderId="96" xfId="3" applyNumberFormat="1" applyFont="1" applyFill="1" applyBorder="1" applyAlignment="1">
      <alignment horizontal="center" vertical="center" wrapText="1"/>
    </xf>
    <xf numFmtId="1" fontId="8" fillId="13" borderId="10" xfId="3" applyNumberFormat="1" applyFont="1" applyFill="1" applyBorder="1" applyAlignment="1">
      <alignment horizontal="center" vertical="center" wrapText="1"/>
    </xf>
    <xf numFmtId="1" fontId="8" fillId="0" borderId="48" xfId="3" applyNumberFormat="1" applyFont="1" applyBorder="1" applyAlignment="1">
      <alignment horizontal="center" vertical="center" wrapText="1"/>
    </xf>
    <xf numFmtId="1" fontId="8" fillId="13" borderId="47" xfId="3" applyNumberFormat="1" applyFont="1" applyFill="1" applyBorder="1" applyAlignment="1">
      <alignment horizontal="center" vertical="center" wrapText="1"/>
    </xf>
    <xf numFmtId="167" fontId="8" fillId="0" borderId="6" xfId="1" applyNumberFormat="1" applyFont="1" applyFill="1" applyBorder="1" applyAlignment="1">
      <alignment horizontal="center" vertical="center"/>
    </xf>
    <xf numFmtId="9" fontId="8" fillId="0" borderId="6" xfId="2" applyFont="1" applyFill="1" applyBorder="1" applyAlignment="1">
      <alignment horizontal="center" vertical="center"/>
    </xf>
    <xf numFmtId="9" fontId="53" fillId="0" borderId="10" xfId="2" applyFont="1" applyFill="1" applyBorder="1" applyAlignment="1">
      <alignment horizontal="center" vertical="center"/>
    </xf>
    <xf numFmtId="1" fontId="8" fillId="0" borderId="0" xfId="3" applyNumberFormat="1" applyFont="1" applyAlignment="1">
      <alignment horizontal="center" vertical="center" wrapText="1"/>
    </xf>
    <xf numFmtId="9" fontId="8" fillId="0" borderId="10" xfId="2" applyFont="1" applyFill="1" applyBorder="1" applyAlignment="1">
      <alignment horizontal="center" vertical="center"/>
    </xf>
    <xf numFmtId="1" fontId="8" fillId="0" borderId="0" xfId="3" applyNumberFormat="1" applyFont="1" applyAlignment="1">
      <alignment vertical="center" wrapText="1"/>
    </xf>
    <xf numFmtId="0" fontId="8" fillId="0" borderId="1" xfId="5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" fontId="8" fillId="0" borderId="5" xfId="3" applyNumberFormat="1" applyFont="1" applyBorder="1" applyAlignment="1">
      <alignment vertical="center" wrapText="1"/>
    </xf>
    <xf numFmtId="1" fontId="8" fillId="0" borderId="5" xfId="3" applyNumberFormat="1" applyFont="1" applyBorder="1" applyAlignment="1">
      <alignment horizontal="center" vertical="center" wrapText="1"/>
    </xf>
    <xf numFmtId="1" fontId="8" fillId="0" borderId="1" xfId="3" applyNumberFormat="1" applyFont="1" applyBorder="1" applyAlignment="1">
      <alignment horizontal="center" vertical="center" wrapText="1"/>
    </xf>
    <xf numFmtId="167" fontId="8" fillId="0" borderId="1" xfId="1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9" fontId="8" fillId="0" borderId="4" xfId="2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67" fontId="8" fillId="0" borderId="1" xfId="1" applyNumberFormat="1" applyFont="1" applyBorder="1" applyAlignment="1">
      <alignment horizontal="center"/>
    </xf>
    <xf numFmtId="167" fontId="8" fillId="0" borderId="1" xfId="1" applyNumberFormat="1" applyFont="1" applyBorder="1" applyAlignment="1">
      <alignment horizontal="center" vertical="center"/>
    </xf>
    <xf numFmtId="9" fontId="8" fillId="0" borderId="4" xfId="2" applyFont="1" applyBorder="1" applyAlignment="1">
      <alignment horizontal="center"/>
    </xf>
    <xf numFmtId="167" fontId="8" fillId="0" borderId="23" xfId="1" applyNumberFormat="1" applyFont="1" applyBorder="1" applyAlignment="1">
      <alignment horizontal="center"/>
    </xf>
    <xf numFmtId="0" fontId="4" fillId="0" borderId="10" xfId="0" applyFont="1" applyBorder="1"/>
    <xf numFmtId="49" fontId="4" fillId="0" borderId="0" xfId="0" applyNumberFormat="1" applyFont="1" applyAlignment="1">
      <alignment horizontal="center"/>
    </xf>
    <xf numFmtId="167" fontId="4" fillId="0" borderId="0" xfId="1" applyNumberFormat="1" applyFont="1" applyAlignment="1">
      <alignment horizontal="center"/>
    </xf>
    <xf numFmtId="167" fontId="4" fillId="0" borderId="11" xfId="1" applyNumberFormat="1" applyFont="1" applyBorder="1" applyAlignment="1">
      <alignment horizontal="center"/>
    </xf>
    <xf numFmtId="9" fontId="4" fillId="0" borderId="10" xfId="2" applyFont="1" applyBorder="1" applyAlignment="1">
      <alignment horizontal="center"/>
    </xf>
    <xf numFmtId="167" fontId="4" fillId="0" borderId="34" xfId="1" applyNumberFormat="1" applyFont="1" applyBorder="1" applyAlignment="1">
      <alignment horizontal="center"/>
    </xf>
    <xf numFmtId="167" fontId="4" fillId="0" borderId="81" xfId="1" applyNumberFormat="1" applyFont="1" applyBorder="1" applyAlignment="1">
      <alignment horizontal="center"/>
    </xf>
    <xf numFmtId="167" fontId="0" fillId="0" borderId="35" xfId="1" applyNumberFormat="1" applyFont="1" applyBorder="1"/>
    <xf numFmtId="167" fontId="0" fillId="0" borderId="36" xfId="1" applyNumberFormat="1" applyFont="1" applyBorder="1"/>
    <xf numFmtId="0" fontId="4" fillId="7" borderId="58" xfId="0" applyFont="1" applyFill="1" applyBorder="1" applyAlignment="1">
      <alignment horizontal="center"/>
    </xf>
    <xf numFmtId="0" fontId="4" fillId="7" borderId="59" xfId="0" applyFont="1" applyFill="1" applyBorder="1" applyAlignment="1">
      <alignment horizontal="center"/>
    </xf>
    <xf numFmtId="49" fontId="4" fillId="7" borderId="59" xfId="0" applyNumberFormat="1" applyFont="1" applyFill="1" applyBorder="1" applyAlignment="1">
      <alignment horizontal="center"/>
    </xf>
    <xf numFmtId="1" fontId="4" fillId="7" borderId="59" xfId="0" applyNumberFormat="1" applyFont="1" applyFill="1" applyBorder="1" applyAlignment="1">
      <alignment horizontal="center"/>
    </xf>
    <xf numFmtId="1" fontId="49" fillId="7" borderId="59" xfId="0" applyNumberFormat="1" applyFont="1" applyFill="1" applyBorder="1" applyAlignment="1">
      <alignment horizontal="center"/>
    </xf>
    <xf numFmtId="167" fontId="4" fillId="7" borderId="59" xfId="1" applyNumberFormat="1" applyFont="1" applyFill="1" applyBorder="1" applyAlignment="1">
      <alignment horizontal="center"/>
    </xf>
    <xf numFmtId="167" fontId="4" fillId="7" borderId="80" xfId="1" applyNumberFormat="1" applyFont="1" applyFill="1" applyBorder="1" applyAlignment="1">
      <alignment horizontal="center"/>
    </xf>
    <xf numFmtId="9" fontId="4" fillId="7" borderId="93" xfId="0" applyNumberFormat="1" applyFont="1" applyFill="1" applyBorder="1" applyAlignment="1">
      <alignment horizontal="center"/>
    </xf>
    <xf numFmtId="167" fontId="4" fillId="7" borderId="39" xfId="1" applyNumberFormat="1" applyFont="1" applyFill="1" applyBorder="1" applyAlignment="1">
      <alignment horizontal="center"/>
    </xf>
    <xf numFmtId="167" fontId="4" fillId="7" borderId="23" xfId="1" applyNumberFormat="1" applyFont="1" applyFill="1" applyBorder="1" applyAlignment="1">
      <alignment horizontal="center"/>
    </xf>
    <xf numFmtId="0" fontId="4" fillId="7" borderId="63" xfId="0" applyFont="1" applyFill="1" applyBorder="1" applyAlignment="1">
      <alignment horizontal="center"/>
    </xf>
    <xf numFmtId="0" fontId="4" fillId="7" borderId="54" xfId="0" applyFont="1" applyFill="1" applyBorder="1" applyAlignment="1">
      <alignment horizontal="center"/>
    </xf>
    <xf numFmtId="49" fontId="4" fillId="7" borderId="54" xfId="0" applyNumberFormat="1" applyFont="1" applyFill="1" applyBorder="1" applyAlignment="1">
      <alignment horizontal="center"/>
    </xf>
    <xf numFmtId="1" fontId="4" fillId="7" borderId="54" xfId="0" applyNumberFormat="1" applyFont="1" applyFill="1" applyBorder="1" applyAlignment="1">
      <alignment horizontal="center"/>
    </xf>
    <xf numFmtId="1" fontId="5" fillId="7" borderId="54" xfId="0" applyNumberFormat="1" applyFont="1" applyFill="1" applyBorder="1" applyAlignment="1">
      <alignment horizontal="center"/>
    </xf>
    <xf numFmtId="167" fontId="4" fillId="7" borderId="54" xfId="1" applyNumberFormat="1" applyFont="1" applyFill="1" applyBorder="1" applyAlignment="1">
      <alignment horizontal="center"/>
    </xf>
    <xf numFmtId="167" fontId="4" fillId="7" borderId="55" xfId="1" applyNumberFormat="1" applyFont="1" applyFill="1" applyBorder="1" applyAlignment="1">
      <alignment horizontal="center"/>
    </xf>
    <xf numFmtId="165" fontId="5" fillId="7" borderId="75" xfId="0" applyNumberFormat="1" applyFont="1" applyFill="1" applyBorder="1" applyAlignment="1">
      <alignment horizontal="center"/>
    </xf>
    <xf numFmtId="167" fontId="4" fillId="7" borderId="29" xfId="1" applyNumberFormat="1" applyFont="1" applyFill="1" applyBorder="1" applyAlignment="1">
      <alignment horizontal="center"/>
    </xf>
    <xf numFmtId="167" fontId="4" fillId="7" borderId="30" xfId="1" applyNumberFormat="1" applyFont="1" applyFill="1" applyBorder="1" applyAlignment="1">
      <alignment horizontal="center"/>
    </xf>
    <xf numFmtId="167" fontId="0" fillId="7" borderId="31" xfId="1" applyNumberFormat="1" applyFont="1" applyFill="1" applyBorder="1"/>
    <xf numFmtId="167" fontId="0" fillId="7" borderId="32" xfId="1" applyNumberFormat="1" applyFont="1" applyFill="1" applyBorder="1"/>
    <xf numFmtId="0" fontId="2" fillId="0" borderId="40" xfId="1" applyNumberFormat="1" applyFont="1" applyBorder="1" applyAlignment="1">
      <alignment horizontal="center"/>
    </xf>
    <xf numFmtId="0" fontId="2" fillId="0" borderId="24" xfId="1" applyNumberFormat="1" applyFont="1" applyBorder="1" applyAlignment="1">
      <alignment horizontal="center"/>
    </xf>
    <xf numFmtId="167" fontId="2" fillId="0" borderId="0" xfId="1" applyNumberFormat="1" applyFont="1"/>
    <xf numFmtId="167" fontId="0" fillId="7" borderId="17" xfId="1" applyNumberFormat="1" applyFont="1" applyFill="1" applyBorder="1" applyAlignment="1">
      <alignment horizontal="center"/>
    </xf>
    <xf numFmtId="9" fontId="0" fillId="0" borderId="35" xfId="2" applyFont="1" applyBorder="1" applyAlignment="1">
      <alignment horizontal="center"/>
    </xf>
    <xf numFmtId="167" fontId="5" fillId="0" borderId="0" xfId="1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9" fontId="53" fillId="0" borderId="10" xfId="2" applyFont="1" applyBorder="1" applyAlignment="1">
      <alignment horizontal="center" vertical="center"/>
    </xf>
    <xf numFmtId="9" fontId="4" fillId="7" borderId="79" xfId="0" applyNumberFormat="1" applyFont="1" applyFill="1" applyBorder="1" applyAlignment="1">
      <alignment horizontal="center"/>
    </xf>
    <xf numFmtId="165" fontId="5" fillId="7" borderId="28" xfId="0" applyNumberFormat="1" applyFont="1" applyFill="1" applyBorder="1" applyAlignment="1">
      <alignment horizontal="center"/>
    </xf>
    <xf numFmtId="167" fontId="0" fillId="7" borderId="30" xfId="1" applyNumberFormat="1" applyFont="1" applyFill="1" applyBorder="1"/>
    <xf numFmtId="1" fontId="2" fillId="0" borderId="40" xfId="1" applyNumberFormat="1" applyFont="1" applyBorder="1" applyAlignment="1">
      <alignment horizontal="center"/>
    </xf>
    <xf numFmtId="1" fontId="2" fillId="0" borderId="24" xfId="1" applyNumberFormat="1" applyFont="1" applyBorder="1" applyAlignment="1">
      <alignment horizontal="center"/>
    </xf>
    <xf numFmtId="49" fontId="7" fillId="0" borderId="0" xfId="0" applyNumberFormat="1" applyFont="1"/>
    <xf numFmtId="3" fontId="49" fillId="0" borderId="0" xfId="0" applyNumberFormat="1" applyFont="1" applyAlignment="1">
      <alignment horizontal="center"/>
    </xf>
    <xf numFmtId="0" fontId="5" fillId="10" borderId="19" xfId="3" applyFont="1" applyFill="1" applyBorder="1" applyAlignment="1">
      <alignment horizontal="center" vertical="center"/>
    </xf>
    <xf numFmtId="167" fontId="42" fillId="10" borderId="22" xfId="1" applyNumberFormat="1" applyFont="1" applyFill="1" applyBorder="1" applyAlignment="1">
      <alignment horizontal="center"/>
    </xf>
    <xf numFmtId="0" fontId="5" fillId="10" borderId="26" xfId="3" applyFont="1" applyFill="1" applyBorder="1" applyAlignment="1">
      <alignment horizontal="center" vertical="center"/>
    </xf>
    <xf numFmtId="174" fontId="5" fillId="10" borderId="26" xfId="0" applyNumberFormat="1" applyFont="1" applyFill="1" applyBorder="1" applyAlignment="1">
      <alignment horizontal="center" vertical="center" wrapText="1"/>
    </xf>
    <xf numFmtId="1" fontId="5" fillId="10" borderId="26" xfId="0" applyNumberFormat="1" applyFont="1" applyFill="1" applyBorder="1" applyAlignment="1">
      <alignment horizontal="center" vertical="center"/>
    </xf>
    <xf numFmtId="167" fontId="42" fillId="10" borderId="29" xfId="1" applyNumberFormat="1" applyFont="1" applyFill="1" applyBorder="1" applyAlignment="1">
      <alignment horizontal="center"/>
    </xf>
    <xf numFmtId="167" fontId="0" fillId="0" borderId="41" xfId="1" applyNumberFormat="1" applyFont="1" applyBorder="1"/>
    <xf numFmtId="167" fontId="0" fillId="0" borderId="42" xfId="1" applyNumberFormat="1" applyFont="1" applyBorder="1"/>
    <xf numFmtId="167" fontId="0" fillId="0" borderId="3" xfId="1" applyNumberFormat="1" applyFont="1" applyBorder="1"/>
    <xf numFmtId="0" fontId="4" fillId="10" borderId="58" xfId="0" applyFont="1" applyFill="1" applyBorder="1" applyAlignment="1">
      <alignment horizontal="center"/>
    </xf>
    <xf numFmtId="0" fontId="4" fillId="10" borderId="59" xfId="0" applyFont="1" applyFill="1" applyBorder="1" applyAlignment="1">
      <alignment horizontal="center"/>
    </xf>
    <xf numFmtId="49" fontId="4" fillId="10" borderId="59" xfId="0" applyNumberFormat="1" applyFont="1" applyFill="1" applyBorder="1" applyAlignment="1">
      <alignment horizontal="center"/>
    </xf>
    <xf numFmtId="1" fontId="4" fillId="10" borderId="59" xfId="0" applyNumberFormat="1" applyFont="1" applyFill="1" applyBorder="1" applyAlignment="1">
      <alignment horizontal="center"/>
    </xf>
    <xf numFmtId="1" fontId="49" fillId="10" borderId="59" xfId="0" applyNumberFormat="1" applyFont="1" applyFill="1" applyBorder="1" applyAlignment="1">
      <alignment horizontal="center"/>
    </xf>
    <xf numFmtId="167" fontId="4" fillId="10" borderId="59" xfId="1" applyNumberFormat="1" applyFont="1" applyFill="1" applyBorder="1" applyAlignment="1">
      <alignment horizontal="center"/>
    </xf>
    <xf numFmtId="167" fontId="4" fillId="10" borderId="80" xfId="1" applyNumberFormat="1" applyFont="1" applyFill="1" applyBorder="1" applyAlignment="1">
      <alignment horizontal="center"/>
    </xf>
    <xf numFmtId="9" fontId="4" fillId="10" borderId="93" xfId="0" applyNumberFormat="1" applyFont="1" applyFill="1" applyBorder="1" applyAlignment="1">
      <alignment horizontal="center"/>
    </xf>
    <xf numFmtId="167" fontId="4" fillId="10" borderId="39" xfId="1" applyNumberFormat="1" applyFont="1" applyFill="1" applyBorder="1" applyAlignment="1">
      <alignment horizontal="center"/>
    </xf>
    <xf numFmtId="167" fontId="4" fillId="10" borderId="23" xfId="1" applyNumberFormat="1" applyFont="1" applyFill="1" applyBorder="1" applyAlignment="1">
      <alignment horizontal="center"/>
    </xf>
    <xf numFmtId="0" fontId="4" fillId="10" borderId="63" xfId="0" applyFont="1" applyFill="1" applyBorder="1" applyAlignment="1">
      <alignment horizontal="center"/>
    </xf>
    <xf numFmtId="0" fontId="4" fillId="10" borderId="54" xfId="0" applyFont="1" applyFill="1" applyBorder="1" applyAlignment="1">
      <alignment horizontal="center"/>
    </xf>
    <xf numFmtId="49" fontId="4" fillId="10" borderId="54" xfId="0" applyNumberFormat="1" applyFont="1" applyFill="1" applyBorder="1" applyAlignment="1">
      <alignment horizontal="center"/>
    </xf>
    <xf numFmtId="1" fontId="4" fillId="10" borderId="54" xfId="0" applyNumberFormat="1" applyFont="1" applyFill="1" applyBorder="1" applyAlignment="1">
      <alignment horizontal="center"/>
    </xf>
    <xf numFmtId="1" fontId="5" fillId="10" borderId="54" xfId="0" applyNumberFormat="1" applyFont="1" applyFill="1" applyBorder="1" applyAlignment="1">
      <alignment horizontal="center"/>
    </xf>
    <xf numFmtId="167" fontId="4" fillId="10" borderId="54" xfId="1" applyNumberFormat="1" applyFont="1" applyFill="1" applyBorder="1" applyAlignment="1">
      <alignment horizontal="center"/>
    </xf>
    <xf numFmtId="167" fontId="4" fillId="10" borderId="55" xfId="1" applyNumberFormat="1" applyFont="1" applyFill="1" applyBorder="1" applyAlignment="1">
      <alignment horizontal="center"/>
    </xf>
    <xf numFmtId="165" fontId="5" fillId="10" borderId="68" xfId="0" applyNumberFormat="1" applyFont="1" applyFill="1" applyBorder="1" applyAlignment="1">
      <alignment horizontal="center"/>
    </xf>
    <xf numFmtId="167" fontId="4" fillId="10" borderId="29" xfId="1" applyNumberFormat="1" applyFont="1" applyFill="1" applyBorder="1" applyAlignment="1">
      <alignment horizontal="center"/>
    </xf>
    <xf numFmtId="167" fontId="4" fillId="10" borderId="30" xfId="1" applyNumberFormat="1" applyFont="1" applyFill="1" applyBorder="1" applyAlignment="1">
      <alignment horizontal="center"/>
    </xf>
    <xf numFmtId="167" fontId="0" fillId="10" borderId="31" xfId="1" applyNumberFormat="1" applyFont="1" applyFill="1" applyBorder="1"/>
    <xf numFmtId="167" fontId="0" fillId="10" borderId="32" xfId="1" applyNumberFormat="1" applyFont="1" applyFill="1" applyBorder="1"/>
    <xf numFmtId="167" fontId="42" fillId="2" borderId="22" xfId="1" applyNumberFormat="1" applyFont="1" applyFill="1" applyBorder="1" applyAlignment="1">
      <alignment horizontal="center"/>
    </xf>
    <xf numFmtId="174" fontId="5" fillId="2" borderId="26" xfId="0" applyNumberFormat="1" applyFont="1" applyFill="1" applyBorder="1" applyAlignment="1">
      <alignment horizontal="center" vertical="center" wrapText="1"/>
    </xf>
    <xf numFmtId="1" fontId="5" fillId="2" borderId="26" xfId="0" applyNumberFormat="1" applyFont="1" applyFill="1" applyBorder="1" applyAlignment="1">
      <alignment horizontal="center" vertical="center"/>
    </xf>
    <xf numFmtId="167" fontId="42" fillId="2" borderId="29" xfId="1" applyNumberFormat="1" applyFont="1" applyFill="1" applyBorder="1" applyAlignment="1">
      <alignment horizontal="center"/>
    </xf>
    <xf numFmtId="0" fontId="52" fillId="9" borderId="101" xfId="3" applyFont="1" applyFill="1" applyBorder="1" applyAlignment="1">
      <alignment horizontal="center" vertical="center" wrapText="1"/>
    </xf>
    <xf numFmtId="1" fontId="8" fillId="13" borderId="70" xfId="3" applyNumberFormat="1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49" fontId="4" fillId="2" borderId="59" xfId="0" applyNumberFormat="1" applyFont="1" applyFill="1" applyBorder="1" applyAlignment="1">
      <alignment horizontal="center"/>
    </xf>
    <xf numFmtId="1" fontId="4" fillId="2" borderId="59" xfId="0" applyNumberFormat="1" applyFont="1" applyFill="1" applyBorder="1" applyAlignment="1">
      <alignment horizontal="center"/>
    </xf>
    <xf numFmtId="1" fontId="49" fillId="2" borderId="59" xfId="0" applyNumberFormat="1" applyFont="1" applyFill="1" applyBorder="1" applyAlignment="1">
      <alignment horizontal="center"/>
    </xf>
    <xf numFmtId="167" fontId="4" fillId="2" borderId="59" xfId="1" applyNumberFormat="1" applyFont="1" applyFill="1" applyBorder="1" applyAlignment="1">
      <alignment horizontal="center"/>
    </xf>
    <xf numFmtId="167" fontId="4" fillId="2" borderId="80" xfId="1" applyNumberFormat="1" applyFont="1" applyFill="1" applyBorder="1" applyAlignment="1">
      <alignment horizontal="center"/>
    </xf>
    <xf numFmtId="9" fontId="4" fillId="2" borderId="93" xfId="0" applyNumberFormat="1" applyFont="1" applyFill="1" applyBorder="1" applyAlignment="1">
      <alignment horizontal="center"/>
    </xf>
    <xf numFmtId="167" fontId="4" fillId="2" borderId="39" xfId="1" applyNumberFormat="1" applyFont="1" applyFill="1" applyBorder="1" applyAlignment="1">
      <alignment horizontal="center"/>
    </xf>
    <xf numFmtId="167" fontId="4" fillId="2" borderId="23" xfId="1" applyNumberFormat="1" applyFont="1" applyFill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49" fontId="4" fillId="2" borderId="54" xfId="0" applyNumberFormat="1" applyFont="1" applyFill="1" applyBorder="1" applyAlignment="1">
      <alignment horizontal="center"/>
    </xf>
    <xf numFmtId="1" fontId="4" fillId="2" borderId="54" xfId="0" applyNumberFormat="1" applyFont="1" applyFill="1" applyBorder="1" applyAlignment="1">
      <alignment horizontal="center"/>
    </xf>
    <xf numFmtId="1" fontId="5" fillId="2" borderId="54" xfId="0" applyNumberFormat="1" applyFont="1" applyFill="1" applyBorder="1" applyAlignment="1">
      <alignment horizontal="center"/>
    </xf>
    <xf numFmtId="167" fontId="4" fillId="2" borderId="54" xfId="1" applyNumberFormat="1" applyFont="1" applyFill="1" applyBorder="1" applyAlignment="1">
      <alignment horizontal="center"/>
    </xf>
    <xf numFmtId="167" fontId="4" fillId="2" borderId="55" xfId="1" applyNumberFormat="1" applyFont="1" applyFill="1" applyBorder="1" applyAlignment="1">
      <alignment horizontal="center"/>
    </xf>
    <xf numFmtId="165" fontId="5" fillId="2" borderId="68" xfId="0" applyNumberFormat="1" applyFont="1" applyFill="1" applyBorder="1" applyAlignment="1">
      <alignment horizontal="center"/>
    </xf>
    <xf numFmtId="167" fontId="4" fillId="2" borderId="29" xfId="1" applyNumberFormat="1" applyFont="1" applyFill="1" applyBorder="1" applyAlignment="1">
      <alignment horizontal="center"/>
    </xf>
    <xf numFmtId="167" fontId="4" fillId="2" borderId="30" xfId="1" applyNumberFormat="1" applyFont="1" applyFill="1" applyBorder="1" applyAlignment="1">
      <alignment horizontal="center"/>
    </xf>
    <xf numFmtId="167" fontId="0" fillId="2" borderId="31" xfId="1" applyNumberFormat="1" applyFont="1" applyFill="1" applyBorder="1"/>
    <xf numFmtId="167" fontId="0" fillId="2" borderId="32" xfId="1" applyNumberFormat="1" applyFont="1" applyFill="1" applyBorder="1"/>
    <xf numFmtId="167" fontId="0" fillId="2" borderId="30" xfId="1" applyNumberFormat="1" applyFont="1" applyFill="1" applyBorder="1"/>
    <xf numFmtId="166" fontId="15" fillId="11" borderId="5" xfId="1" applyFont="1" applyFill="1" applyBorder="1"/>
    <xf numFmtId="9" fontId="0" fillId="0" borderId="0" xfId="0" applyNumberFormat="1"/>
    <xf numFmtId="0" fontId="54" fillId="0" borderId="0" xfId="0" applyFont="1" applyAlignment="1">
      <alignment horizontal="left"/>
    </xf>
    <xf numFmtId="167" fontId="55" fillId="7" borderId="24" xfId="1" applyNumberFormat="1" applyFont="1" applyFill="1" applyBorder="1" applyAlignment="1">
      <alignment horizontal="center" vertical="center"/>
    </xf>
    <xf numFmtId="167" fontId="56" fillId="2" borderId="58" xfId="1" applyNumberFormat="1" applyFont="1" applyFill="1" applyBorder="1"/>
    <xf numFmtId="167" fontId="56" fillId="2" borderId="58" xfId="1" applyNumberFormat="1" applyFont="1" applyFill="1" applyBorder="1" applyAlignment="1">
      <alignment horizontal="center"/>
    </xf>
    <xf numFmtId="167" fontId="56" fillId="2" borderId="59" xfId="1" applyNumberFormat="1" applyFont="1" applyFill="1" applyBorder="1" applyAlignment="1">
      <alignment horizontal="center"/>
    </xf>
    <xf numFmtId="167" fontId="56" fillId="2" borderId="92" xfId="1" applyNumberFormat="1" applyFont="1" applyFill="1" applyBorder="1" applyAlignment="1">
      <alignment horizontal="center"/>
    </xf>
    <xf numFmtId="167" fontId="56" fillId="2" borderId="19" xfId="1" applyNumberFormat="1" applyFont="1" applyFill="1" applyBorder="1" applyAlignment="1">
      <alignment horizontal="center"/>
    </xf>
    <xf numFmtId="167" fontId="56" fillId="2" borderId="20" xfId="1" applyNumberFormat="1" applyFont="1" applyFill="1" applyBorder="1" applyAlignment="1">
      <alignment horizontal="center"/>
    </xf>
    <xf numFmtId="167" fontId="56" fillId="2" borderId="60" xfId="1" applyNumberFormat="1" applyFont="1" applyFill="1" applyBorder="1" applyAlignment="1">
      <alignment horizontal="center"/>
    </xf>
    <xf numFmtId="9" fontId="29" fillId="0" borderId="10" xfId="2" applyFont="1" applyFill="1" applyBorder="1" applyAlignment="1">
      <alignment horizontal="center"/>
    </xf>
    <xf numFmtId="167" fontId="2" fillId="7" borderId="8" xfId="1" applyNumberFormat="1" applyFont="1" applyFill="1" applyBorder="1"/>
    <xf numFmtId="0" fontId="2" fillId="0" borderId="4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66" fontId="19" fillId="7" borderId="15" xfId="1" applyFont="1" applyFill="1" applyBorder="1"/>
    <xf numFmtId="167" fontId="19" fillId="7" borderId="17" xfId="1" applyNumberFormat="1" applyFont="1" applyFill="1" applyBorder="1"/>
    <xf numFmtId="167" fontId="55" fillId="7" borderId="39" xfId="1" applyNumberFormat="1" applyFont="1" applyFill="1" applyBorder="1" applyAlignment="1">
      <alignment horizontal="center" vertical="center"/>
    </xf>
    <xf numFmtId="167" fontId="56" fillId="2" borderId="80" xfId="1" applyNumberFormat="1" applyFont="1" applyFill="1" applyBorder="1" applyAlignment="1">
      <alignment horizontal="center"/>
    </xf>
    <xf numFmtId="9" fontId="57" fillId="0" borderId="10" xfId="2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167" fontId="0" fillId="7" borderId="9" xfId="1" applyNumberFormat="1" applyFont="1" applyFill="1" applyBorder="1"/>
    <xf numFmtId="167" fontId="0" fillId="7" borderId="0" xfId="1" applyNumberFormat="1" applyFont="1" applyFill="1"/>
    <xf numFmtId="0" fontId="2" fillId="0" borderId="37" xfId="0" applyFont="1" applyBorder="1" applyAlignment="1">
      <alignment horizontal="left"/>
    </xf>
    <xf numFmtId="167" fontId="55" fillId="10" borderId="22" xfId="1" applyNumberFormat="1" applyFont="1" applyFill="1" applyBorder="1" applyAlignment="1">
      <alignment horizontal="center" vertical="center"/>
    </xf>
    <xf numFmtId="167" fontId="55" fillId="10" borderId="29" xfId="1" applyNumberFormat="1" applyFont="1" applyFill="1" applyBorder="1" applyAlignment="1">
      <alignment horizontal="center" vertical="center"/>
    </xf>
    <xf numFmtId="167" fontId="56" fillId="2" borderId="34" xfId="1" applyNumberFormat="1" applyFont="1" applyFill="1" applyBorder="1"/>
    <xf numFmtId="167" fontId="56" fillId="2" borderId="81" xfId="1" applyNumberFormat="1" applyFont="1" applyFill="1" applyBorder="1" applyAlignment="1">
      <alignment horizontal="center"/>
    </xf>
    <xf numFmtId="167" fontId="56" fillId="2" borderId="13" xfId="1" applyNumberFormat="1" applyFont="1" applyFill="1" applyBorder="1" applyAlignment="1">
      <alignment horizontal="center"/>
    </xf>
    <xf numFmtId="167" fontId="56" fillId="2" borderId="36" xfId="1" applyNumberFormat="1" applyFont="1" applyFill="1" applyBorder="1" applyAlignment="1">
      <alignment horizontal="center"/>
    </xf>
    <xf numFmtId="167" fontId="56" fillId="2" borderId="35" xfId="1" applyNumberFormat="1" applyFont="1" applyFill="1" applyBorder="1" applyAlignment="1">
      <alignment horizontal="center"/>
    </xf>
    <xf numFmtId="167" fontId="2" fillId="10" borderId="43" xfId="1" applyNumberFormat="1" applyFont="1" applyFill="1" applyBorder="1"/>
    <xf numFmtId="167" fontId="0" fillId="10" borderId="0" xfId="1" applyNumberFormat="1" applyFont="1" applyFill="1"/>
    <xf numFmtId="166" fontId="19" fillId="10" borderId="15" xfId="1" applyFont="1" applyFill="1" applyBorder="1"/>
    <xf numFmtId="167" fontId="19" fillId="10" borderId="17" xfId="1" applyNumberFormat="1" applyFont="1" applyFill="1" applyBorder="1"/>
    <xf numFmtId="167" fontId="55" fillId="10" borderId="67" xfId="1" applyNumberFormat="1" applyFont="1" applyFill="1" applyBorder="1" applyAlignment="1">
      <alignment horizontal="center" vertical="center"/>
    </xf>
    <xf numFmtId="167" fontId="55" fillId="10" borderId="30" xfId="1" applyNumberFormat="1" applyFont="1" applyFill="1" applyBorder="1" applyAlignment="1">
      <alignment horizontal="center" vertical="center"/>
    </xf>
    <xf numFmtId="167" fontId="2" fillId="10" borderId="8" xfId="1" applyNumberFormat="1" applyFont="1" applyFill="1" applyBorder="1"/>
    <xf numFmtId="167" fontId="55" fillId="2" borderId="22" xfId="1" applyNumberFormat="1" applyFont="1" applyFill="1" applyBorder="1" applyAlignment="1">
      <alignment horizontal="center" vertical="center"/>
    </xf>
    <xf numFmtId="167" fontId="55" fillId="2" borderId="39" xfId="1" applyNumberFormat="1" applyFont="1" applyFill="1" applyBorder="1" applyAlignment="1">
      <alignment horizontal="center" vertical="center"/>
    </xf>
    <xf numFmtId="166" fontId="0" fillId="0" borderId="81" xfId="1" applyFont="1" applyBorder="1"/>
    <xf numFmtId="167" fontId="2" fillId="2" borderId="23" xfId="1" applyNumberFormat="1" applyFont="1" applyFill="1" applyBorder="1"/>
    <xf numFmtId="166" fontId="19" fillId="2" borderId="15" xfId="1" applyFont="1" applyFill="1" applyBorder="1"/>
    <xf numFmtId="167" fontId="19" fillId="2" borderId="17" xfId="1" applyNumberFormat="1" applyFont="1" applyFill="1" applyBorder="1"/>
    <xf numFmtId="167" fontId="19" fillId="2" borderId="4" xfId="1" applyNumberFormat="1" applyFont="1" applyFill="1" applyBorder="1" applyAlignment="1">
      <alignment horizontal="center"/>
    </xf>
    <xf numFmtId="167" fontId="19" fillId="2" borderId="5" xfId="1" applyNumberFormat="1" applyFont="1" applyFill="1" applyBorder="1" applyAlignment="1">
      <alignment horizontal="center"/>
    </xf>
    <xf numFmtId="167" fontId="19" fillId="2" borderId="2" xfId="1" applyNumberFormat="1" applyFont="1" applyFill="1" applyBorder="1" applyAlignment="1">
      <alignment horizontal="center"/>
    </xf>
    <xf numFmtId="167" fontId="19" fillId="2" borderId="1" xfId="1" applyNumberFormat="1" applyFont="1" applyFill="1" applyBorder="1" applyAlignment="1">
      <alignment horizontal="center"/>
    </xf>
    <xf numFmtId="166" fontId="15" fillId="11" borderId="4" xfId="1" applyFont="1" applyFill="1" applyBorder="1"/>
    <xf numFmtId="166" fontId="15" fillId="11" borderId="2" xfId="1" applyFont="1" applyFill="1" applyBorder="1"/>
    <xf numFmtId="0" fontId="19" fillId="0" borderId="0" xfId="0" applyFont="1"/>
    <xf numFmtId="167" fontId="55" fillId="7" borderId="22" xfId="1" applyNumberFormat="1" applyFont="1" applyFill="1" applyBorder="1" applyAlignment="1">
      <alignment horizontal="center" vertical="center"/>
    </xf>
    <xf numFmtId="174" fontId="55" fillId="7" borderId="26" xfId="0" applyNumberFormat="1" applyFont="1" applyFill="1" applyBorder="1" applyAlignment="1">
      <alignment horizontal="center" vertical="center" wrapText="1"/>
    </xf>
    <xf numFmtId="1" fontId="55" fillId="7" borderId="26" xfId="0" applyNumberFormat="1" applyFont="1" applyFill="1" applyBorder="1" applyAlignment="1">
      <alignment horizontal="center" vertical="center"/>
    </xf>
    <xf numFmtId="167" fontId="55" fillId="7" borderId="29" xfId="1" applyNumberFormat="1" applyFont="1" applyFill="1" applyBorder="1" applyAlignment="1">
      <alignment horizontal="center" vertical="center"/>
    </xf>
    <xf numFmtId="167" fontId="56" fillId="2" borderId="61" xfId="1" applyNumberFormat="1" applyFont="1" applyFill="1" applyBorder="1"/>
    <xf numFmtId="167" fontId="0" fillId="7" borderId="42" xfId="1" applyNumberFormat="1" applyFont="1" applyFill="1" applyBorder="1"/>
    <xf numFmtId="167" fontId="0" fillId="0" borderId="34" xfId="1" applyNumberFormat="1" applyFont="1" applyBorder="1"/>
    <xf numFmtId="166" fontId="19" fillId="0" borderId="0" xfId="1" applyFont="1" applyFill="1" applyBorder="1"/>
    <xf numFmtId="167" fontId="19" fillId="0" borderId="0" xfId="1" applyNumberFormat="1" applyFont="1" applyFill="1" applyBorder="1"/>
    <xf numFmtId="174" fontId="55" fillId="10" borderId="26" xfId="0" applyNumberFormat="1" applyFont="1" applyFill="1" applyBorder="1" applyAlignment="1">
      <alignment horizontal="center" vertical="center" wrapText="1"/>
    </xf>
    <xf numFmtId="1" fontId="55" fillId="10" borderId="26" xfId="0" applyNumberFormat="1" applyFont="1" applyFill="1" applyBorder="1" applyAlignment="1">
      <alignment horizontal="center" vertical="center"/>
    </xf>
    <xf numFmtId="167" fontId="0" fillId="10" borderId="6" xfId="1" applyNumberFormat="1" applyFont="1" applyFill="1" applyBorder="1"/>
    <xf numFmtId="167" fontId="55" fillId="2" borderId="29" xfId="1" applyNumberFormat="1" applyFont="1" applyFill="1" applyBorder="1" applyAlignment="1">
      <alignment horizontal="center" vertical="center"/>
    </xf>
    <xf numFmtId="0" fontId="60" fillId="0" borderId="0" xfId="0" applyFont="1"/>
    <xf numFmtId="166" fontId="19" fillId="0" borderId="0" xfId="1" applyFont="1"/>
    <xf numFmtId="9" fontId="19" fillId="0" borderId="0" xfId="2" applyFont="1" applyAlignment="1">
      <alignment horizontal="center"/>
    </xf>
    <xf numFmtId="3" fontId="19" fillId="0" borderId="0" xfId="0" applyNumberFormat="1" applyFont="1" applyAlignment="1">
      <alignment horizontal="center"/>
    </xf>
    <xf numFmtId="9" fontId="61" fillId="0" borderId="0" xfId="2" applyFont="1" applyAlignment="1">
      <alignment horizontal="right"/>
    </xf>
    <xf numFmtId="0" fontId="61" fillId="0" borderId="0" xfId="0" applyFont="1" applyAlignment="1">
      <alignment horizontal="left"/>
    </xf>
    <xf numFmtId="166" fontId="19" fillId="0" borderId="0" xfId="1" applyFont="1" applyAlignment="1">
      <alignment horizontal="center"/>
    </xf>
    <xf numFmtId="0" fontId="19" fillId="2" borderId="1" xfId="0" applyFont="1" applyFill="1" applyBorder="1"/>
    <xf numFmtId="169" fontId="19" fillId="2" borderId="2" xfId="1" applyNumberFormat="1" applyFont="1" applyFill="1" applyBorder="1" applyAlignment="1">
      <alignment horizontal="center"/>
    </xf>
    <xf numFmtId="9" fontId="61" fillId="0" borderId="0" xfId="2" applyFont="1" applyAlignment="1">
      <alignment horizontal="left"/>
    </xf>
    <xf numFmtId="0" fontId="61" fillId="0" borderId="0" xfId="0" applyFont="1" applyAlignment="1">
      <alignment horizontal="center"/>
    </xf>
    <xf numFmtId="0" fontId="62" fillId="5" borderId="1" xfId="0" applyFont="1" applyFill="1" applyBorder="1"/>
    <xf numFmtId="169" fontId="62" fillId="5" borderId="2" xfId="1" applyNumberFormat="1" applyFont="1" applyFill="1" applyBorder="1" applyAlignment="1">
      <alignment horizontal="center"/>
    </xf>
    <xf numFmtId="9" fontId="61" fillId="0" borderId="0" xfId="0" applyNumberFormat="1" applyFont="1" applyAlignment="1">
      <alignment horizontal="left"/>
    </xf>
    <xf numFmtId="0" fontId="63" fillId="0" borderId="0" xfId="0" applyFont="1"/>
    <xf numFmtId="3" fontId="63" fillId="0" borderId="0" xfId="0" applyNumberFormat="1" applyFont="1" applyAlignment="1">
      <alignment horizontal="center"/>
    </xf>
    <xf numFmtId="0" fontId="64" fillId="0" borderId="0" xfId="0" applyFont="1"/>
    <xf numFmtId="0" fontId="19" fillId="2" borderId="1" xfId="0" applyFont="1" applyFill="1" applyBorder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9" fontId="19" fillId="0" borderId="1" xfId="2" applyFont="1" applyBorder="1" applyAlignment="1">
      <alignment horizontal="center"/>
    </xf>
    <xf numFmtId="169" fontId="19" fillId="0" borderId="1" xfId="0" applyNumberFormat="1" applyFont="1" applyBorder="1" applyAlignment="1">
      <alignment horizontal="center"/>
    </xf>
    <xf numFmtId="169" fontId="19" fillId="0" borderId="0" xfId="0" applyNumberFormat="1" applyFont="1" applyAlignment="1">
      <alignment horizontal="center"/>
    </xf>
    <xf numFmtId="9" fontId="19" fillId="0" borderId="0" xfId="2" applyFont="1"/>
    <xf numFmtId="9" fontId="19" fillId="0" borderId="0" xfId="0" applyNumberFormat="1" applyFont="1" applyAlignment="1">
      <alignment horizontal="center"/>
    </xf>
    <xf numFmtId="9" fontId="19" fillId="0" borderId="0" xfId="0" applyNumberFormat="1" applyFont="1"/>
    <xf numFmtId="3" fontId="19" fillId="0" borderId="0" xfId="0" applyNumberFormat="1" applyFont="1"/>
    <xf numFmtId="170" fontId="19" fillId="0" borderId="0" xfId="1" applyNumberFormat="1" applyFont="1"/>
    <xf numFmtId="167" fontId="19" fillId="0" borderId="0" xfId="1" applyNumberFormat="1" applyFont="1"/>
    <xf numFmtId="167" fontId="65" fillId="7" borderId="22" xfId="1" applyNumberFormat="1" applyFont="1" applyFill="1" applyBorder="1" applyAlignment="1">
      <alignment horizontal="center" vertical="center"/>
    </xf>
    <xf numFmtId="167" fontId="65" fillId="7" borderId="22" xfId="1" applyNumberFormat="1" applyFont="1" applyFill="1" applyBorder="1" applyAlignment="1">
      <alignment horizontal="center"/>
    </xf>
    <xf numFmtId="174" fontId="65" fillId="7" borderId="26" xfId="0" applyNumberFormat="1" applyFont="1" applyFill="1" applyBorder="1" applyAlignment="1">
      <alignment horizontal="center" vertical="center" wrapText="1"/>
    </xf>
    <xf numFmtId="1" fontId="65" fillId="7" borderId="26" xfId="0" applyNumberFormat="1" applyFont="1" applyFill="1" applyBorder="1" applyAlignment="1">
      <alignment horizontal="center" vertical="center"/>
    </xf>
    <xf numFmtId="167" fontId="65" fillId="7" borderId="29" xfId="1" applyNumberFormat="1" applyFont="1" applyFill="1" applyBorder="1" applyAlignment="1">
      <alignment horizontal="center" vertical="center"/>
    </xf>
    <xf numFmtId="167" fontId="65" fillId="7" borderId="29" xfId="1" applyNumberFormat="1" applyFont="1" applyFill="1" applyBorder="1" applyAlignment="1">
      <alignment horizontal="center"/>
    </xf>
    <xf numFmtId="0" fontId="19" fillId="0" borderId="42" xfId="0" applyFont="1" applyBorder="1"/>
    <xf numFmtId="0" fontId="19" fillId="0" borderId="42" xfId="0" applyFont="1" applyBorder="1" applyAlignment="1">
      <alignment horizontal="center"/>
    </xf>
    <xf numFmtId="49" fontId="19" fillId="0" borderId="42" xfId="0" applyNumberFormat="1" applyFont="1" applyBorder="1" applyAlignment="1">
      <alignment horizontal="center"/>
    </xf>
    <xf numFmtId="0" fontId="19" fillId="0" borderId="7" xfId="0" applyFont="1" applyBorder="1"/>
    <xf numFmtId="0" fontId="19" fillId="0" borderId="8" xfId="0" applyFont="1" applyBorder="1"/>
    <xf numFmtId="0" fontId="19" fillId="0" borderId="9" xfId="0" applyFont="1" applyBorder="1"/>
    <xf numFmtId="0" fontId="19" fillId="0" borderId="9" xfId="0" applyFont="1" applyBorder="1" applyAlignment="1">
      <alignment horizontal="center"/>
    </xf>
    <xf numFmtId="166" fontId="19" fillId="0" borderId="42" xfId="1" applyFont="1" applyBorder="1"/>
    <xf numFmtId="9" fontId="19" fillId="0" borderId="42" xfId="2" applyFont="1" applyBorder="1" applyAlignment="1">
      <alignment horizontal="center"/>
    </xf>
    <xf numFmtId="166" fontId="19" fillId="0" borderId="7" xfId="1" applyFont="1" applyBorder="1"/>
    <xf numFmtId="9" fontId="67" fillId="0" borderId="84" xfId="2" applyFont="1" applyBorder="1" applyAlignment="1">
      <alignment horizontal="center"/>
    </xf>
    <xf numFmtId="9" fontId="67" fillId="0" borderId="85" xfId="2" applyFont="1" applyBorder="1" applyAlignment="1">
      <alignment horizontal="center"/>
    </xf>
    <xf numFmtId="166" fontId="19" fillId="0" borderId="85" xfId="1" applyFont="1" applyBorder="1"/>
    <xf numFmtId="0" fontId="19" fillId="0" borderId="24" xfId="0" applyFont="1" applyBorder="1"/>
    <xf numFmtId="0" fontId="19" fillId="0" borderId="40" xfId="0" applyFont="1" applyBorder="1"/>
    <xf numFmtId="0" fontId="19" fillId="0" borderId="74" xfId="0" applyFont="1" applyBorder="1"/>
    <xf numFmtId="0" fontId="19" fillId="0" borderId="11" xfId="0" applyFont="1" applyBorder="1"/>
    <xf numFmtId="0" fontId="19" fillId="0" borderId="6" xfId="0" applyFont="1" applyBorder="1"/>
    <xf numFmtId="49" fontId="19" fillId="0" borderId="6" xfId="0" applyNumberFormat="1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 applyAlignment="1">
      <alignment horizontal="center"/>
    </xf>
    <xf numFmtId="167" fontId="19" fillId="0" borderId="6" xfId="1" applyNumberFormat="1" applyFont="1" applyFill="1" applyBorder="1"/>
    <xf numFmtId="9" fontId="19" fillId="0" borderId="6" xfId="2" applyFont="1" applyFill="1" applyBorder="1" applyAlignment="1">
      <alignment horizontal="center"/>
    </xf>
    <xf numFmtId="167" fontId="19" fillId="0" borderId="10" xfId="1" applyNumberFormat="1" applyFont="1" applyFill="1" applyBorder="1"/>
    <xf numFmtId="9" fontId="68" fillId="0" borderId="39" xfId="2" applyFont="1" applyFill="1" applyBorder="1" applyAlignment="1">
      <alignment horizontal="center"/>
    </xf>
    <xf numFmtId="9" fontId="68" fillId="0" borderId="23" xfId="2" applyFont="1" applyFill="1" applyBorder="1" applyAlignment="1">
      <alignment horizontal="center"/>
    </xf>
    <xf numFmtId="167" fontId="19" fillId="0" borderId="23" xfId="1" applyNumberFormat="1" applyFont="1" applyFill="1" applyBorder="1"/>
    <xf numFmtId="167" fontId="19" fillId="0" borderId="0" xfId="0" applyNumberFormat="1" applyFont="1"/>
    <xf numFmtId="167" fontId="19" fillId="0" borderId="24" xfId="0" applyNumberFormat="1" applyFont="1" applyBorder="1"/>
    <xf numFmtId="167" fontId="19" fillId="0" borderId="40" xfId="0" applyNumberFormat="1" applyFont="1" applyBorder="1"/>
    <xf numFmtId="167" fontId="19" fillId="0" borderId="74" xfId="0" applyNumberFormat="1" applyFont="1" applyBorder="1"/>
    <xf numFmtId="166" fontId="19" fillId="0" borderId="6" xfId="1" applyFont="1" applyBorder="1"/>
    <xf numFmtId="9" fontId="19" fillId="0" borderId="6" xfId="2" applyFont="1" applyBorder="1" applyAlignment="1">
      <alignment horizontal="center"/>
    </xf>
    <xf numFmtId="166" fontId="19" fillId="0" borderId="10" xfId="1" applyFont="1" applyBorder="1"/>
    <xf numFmtId="9" fontId="68" fillId="0" borderId="39" xfId="2" applyFont="1" applyBorder="1" applyAlignment="1">
      <alignment horizontal="center"/>
    </xf>
    <xf numFmtId="167" fontId="67" fillId="0" borderId="23" xfId="1" applyNumberFormat="1" applyFont="1" applyBorder="1" applyAlignment="1">
      <alignment horizontal="center"/>
    </xf>
    <xf numFmtId="167" fontId="19" fillId="0" borderId="23" xfId="1" applyNumberFormat="1" applyFont="1" applyBorder="1"/>
    <xf numFmtId="166" fontId="19" fillId="0" borderId="74" xfId="1" applyFont="1" applyBorder="1"/>
    <xf numFmtId="9" fontId="67" fillId="0" borderId="39" xfId="2" applyFont="1" applyBorder="1" applyAlignment="1">
      <alignment horizontal="center"/>
    </xf>
    <xf numFmtId="167" fontId="19" fillId="0" borderId="11" xfId="0" applyNumberFormat="1" applyFont="1" applyBorder="1"/>
    <xf numFmtId="9" fontId="69" fillId="0" borderId="39" xfId="2" applyFont="1" applyBorder="1" applyAlignment="1">
      <alignment horizontal="center"/>
    </xf>
    <xf numFmtId="167" fontId="19" fillId="0" borderId="6" xfId="0" applyNumberFormat="1" applyFont="1" applyBorder="1"/>
    <xf numFmtId="166" fontId="19" fillId="0" borderId="11" xfId="1" applyFont="1" applyBorder="1"/>
    <xf numFmtId="9" fontId="19" fillId="0" borderId="39" xfId="2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49" fontId="19" fillId="0" borderId="3" xfId="0" applyNumberFormat="1" applyFont="1" applyBorder="1" applyAlignment="1">
      <alignment horizontal="center"/>
    </xf>
    <xf numFmtId="0" fontId="19" fillId="0" borderId="13" xfId="0" applyFont="1" applyBorder="1"/>
    <xf numFmtId="0" fontId="19" fillId="0" borderId="14" xfId="0" applyFont="1" applyBorder="1"/>
    <xf numFmtId="166" fontId="19" fillId="0" borderId="3" xfId="1" applyFont="1" applyBorder="1"/>
    <xf numFmtId="9" fontId="19" fillId="0" borderId="3" xfId="2" applyFont="1" applyBorder="1" applyAlignment="1">
      <alignment horizontal="center"/>
    </xf>
    <xf numFmtId="166" fontId="19" fillId="0" borderId="14" xfId="1" applyFont="1" applyBorder="1"/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49" fontId="19" fillId="0" borderId="13" xfId="0" applyNumberFormat="1" applyFont="1" applyBorder="1" applyAlignment="1">
      <alignment horizontal="center"/>
    </xf>
    <xf numFmtId="166" fontId="19" fillId="0" borderId="13" xfId="1" applyFont="1" applyBorder="1"/>
    <xf numFmtId="9" fontId="19" fillId="0" borderId="13" xfId="2" applyFont="1" applyBorder="1" applyAlignment="1">
      <alignment horizontal="center"/>
    </xf>
    <xf numFmtId="166" fontId="19" fillId="0" borderId="1" xfId="1" applyFont="1" applyBorder="1"/>
    <xf numFmtId="166" fontId="19" fillId="0" borderId="5" xfId="1" applyFont="1" applyBorder="1"/>
    <xf numFmtId="9" fontId="19" fillId="0" borderId="102" xfId="2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49" fontId="19" fillId="0" borderId="5" xfId="0" applyNumberFormat="1" applyFont="1" applyBorder="1" applyAlignment="1">
      <alignment horizontal="center"/>
    </xf>
    <xf numFmtId="0" fontId="19" fillId="0" borderId="5" xfId="0" applyFont="1" applyBorder="1"/>
    <xf numFmtId="9" fontId="19" fillId="0" borderId="5" xfId="2" applyFont="1" applyBorder="1" applyAlignment="1">
      <alignment horizontal="center"/>
    </xf>
    <xf numFmtId="166" fontId="19" fillId="0" borderId="2" xfId="1" applyFont="1" applyBorder="1"/>
    <xf numFmtId="166" fontId="19" fillId="0" borderId="4" xfId="1" applyFont="1" applyBorder="1"/>
    <xf numFmtId="167" fontId="67" fillId="0" borderId="34" xfId="1" applyNumberFormat="1" applyFont="1" applyBorder="1" applyAlignment="1">
      <alignment horizontal="center"/>
    </xf>
    <xf numFmtId="166" fontId="19" fillId="0" borderId="81" xfId="1" applyFont="1" applyBorder="1"/>
    <xf numFmtId="0" fontId="19" fillId="0" borderId="36" xfId="0" applyFont="1" applyBorder="1"/>
    <xf numFmtId="0" fontId="19" fillId="0" borderId="35" xfId="0" applyFont="1" applyBorder="1"/>
    <xf numFmtId="0" fontId="19" fillId="0" borderId="69" xfId="0" applyFont="1" applyBorder="1"/>
    <xf numFmtId="0" fontId="19" fillId="0" borderId="3" xfId="0" applyFont="1" applyBorder="1"/>
    <xf numFmtId="0" fontId="19" fillId="7" borderId="58" xfId="0" applyFont="1" applyFill="1" applyBorder="1" applyAlignment="1">
      <alignment horizontal="center"/>
    </xf>
    <xf numFmtId="0" fontId="19" fillId="7" borderId="59" xfId="0" applyFont="1" applyFill="1" applyBorder="1" applyAlignment="1">
      <alignment horizontal="center"/>
    </xf>
    <xf numFmtId="49" fontId="19" fillId="7" borderId="59" xfId="0" applyNumberFormat="1" applyFont="1" applyFill="1" applyBorder="1" applyAlignment="1">
      <alignment horizontal="center"/>
    </xf>
    <xf numFmtId="166" fontId="19" fillId="7" borderId="59" xfId="1" applyFont="1" applyFill="1" applyBorder="1"/>
    <xf numFmtId="9" fontId="19" fillId="7" borderId="59" xfId="2" applyFont="1" applyFill="1" applyBorder="1" applyAlignment="1">
      <alignment horizontal="center"/>
    </xf>
    <xf numFmtId="167" fontId="19" fillId="7" borderId="60" xfId="1" applyNumberFormat="1" applyFont="1" applyFill="1" applyBorder="1"/>
    <xf numFmtId="167" fontId="19" fillId="7" borderId="5" xfId="1" applyNumberFormat="1" applyFont="1" applyFill="1" applyBorder="1"/>
    <xf numFmtId="9" fontId="19" fillId="7" borderId="102" xfId="2" applyFont="1" applyFill="1" applyBorder="1" applyAlignment="1">
      <alignment horizontal="center"/>
    </xf>
    <xf numFmtId="167" fontId="67" fillId="7" borderId="23" xfId="1" applyNumberFormat="1" applyFont="1" applyFill="1" applyBorder="1" applyAlignment="1">
      <alignment horizontal="center"/>
    </xf>
    <xf numFmtId="167" fontId="19" fillId="7" borderId="23" xfId="1" applyNumberFormat="1" applyFont="1" applyFill="1" applyBorder="1"/>
    <xf numFmtId="167" fontId="19" fillId="7" borderId="0" xfId="1" applyNumberFormat="1" applyFont="1" applyFill="1" applyBorder="1"/>
    <xf numFmtId="167" fontId="19" fillId="7" borderId="24" xfId="1" applyNumberFormat="1" applyFont="1" applyFill="1" applyBorder="1"/>
    <xf numFmtId="167" fontId="19" fillId="7" borderId="74" xfId="1" applyNumberFormat="1" applyFont="1" applyFill="1" applyBorder="1"/>
    <xf numFmtId="167" fontId="19" fillId="7" borderId="40" xfId="1" applyNumberFormat="1" applyFont="1" applyFill="1" applyBorder="1"/>
    <xf numFmtId="167" fontId="19" fillId="7" borderId="11" xfId="1" applyNumberFormat="1" applyFont="1" applyFill="1" applyBorder="1"/>
    <xf numFmtId="167" fontId="19" fillId="7" borderId="6" xfId="1" applyNumberFormat="1" applyFont="1" applyFill="1" applyBorder="1"/>
    <xf numFmtId="0" fontId="19" fillId="7" borderId="63" xfId="0" applyFont="1" applyFill="1" applyBorder="1" applyAlignment="1">
      <alignment horizontal="center"/>
    </xf>
    <xf numFmtId="0" fontId="19" fillId="7" borderId="54" xfId="0" applyFont="1" applyFill="1" applyBorder="1" applyAlignment="1">
      <alignment horizontal="center"/>
    </xf>
    <xf numFmtId="49" fontId="19" fillId="7" borderId="54" xfId="0" applyNumberFormat="1" applyFont="1" applyFill="1" applyBorder="1" applyAlignment="1">
      <alignment horizontal="center"/>
    </xf>
    <xf numFmtId="166" fontId="19" fillId="7" borderId="54" xfId="1" applyFont="1" applyFill="1" applyBorder="1"/>
    <xf numFmtId="9" fontId="19" fillId="7" borderId="54" xfId="2" applyFont="1" applyFill="1" applyBorder="1" applyAlignment="1">
      <alignment horizontal="center"/>
    </xf>
    <xf numFmtId="166" fontId="19" fillId="7" borderId="64" xfId="1" applyFont="1" applyFill="1" applyBorder="1"/>
    <xf numFmtId="166" fontId="19" fillId="7" borderId="5" xfId="1" applyFont="1" applyFill="1" applyBorder="1"/>
    <xf numFmtId="9" fontId="19" fillId="7" borderId="57" xfId="2" applyFont="1" applyFill="1" applyBorder="1" applyAlignment="1">
      <alignment horizontal="center"/>
    </xf>
    <xf numFmtId="167" fontId="67" fillId="7" borderId="30" xfId="1" applyNumberFormat="1" applyFont="1" applyFill="1" applyBorder="1" applyAlignment="1">
      <alignment horizontal="center"/>
    </xf>
    <xf numFmtId="167" fontId="19" fillId="7" borderId="30" xfId="1" applyNumberFormat="1" applyFont="1" applyFill="1" applyBorder="1"/>
    <xf numFmtId="9" fontId="19" fillId="7" borderId="31" xfId="2" applyFont="1" applyFill="1" applyBorder="1" applyAlignment="1">
      <alignment horizontal="center"/>
    </xf>
    <xf numFmtId="9" fontId="19" fillId="7" borderId="32" xfId="2" applyFont="1" applyFill="1" applyBorder="1" applyAlignment="1">
      <alignment horizontal="center"/>
    </xf>
    <xf numFmtId="9" fontId="19" fillId="7" borderId="30" xfId="2" applyFont="1" applyFill="1" applyBorder="1" applyAlignment="1">
      <alignment horizontal="center"/>
    </xf>
    <xf numFmtId="9" fontId="19" fillId="7" borderId="68" xfId="2" applyFont="1" applyFill="1" applyBorder="1" applyAlignment="1">
      <alignment horizontal="center"/>
    </xf>
    <xf numFmtId="9" fontId="19" fillId="7" borderId="25" xfId="2" applyFont="1" applyFill="1" applyBorder="1" applyAlignment="1">
      <alignment horizontal="center"/>
    </xf>
    <xf numFmtId="0" fontId="64" fillId="7" borderId="83" xfId="0" applyFont="1" applyFill="1" applyBorder="1" applyAlignment="1">
      <alignment horizontal="left"/>
    </xf>
    <xf numFmtId="0" fontId="19" fillId="7" borderId="26" xfId="0" applyFont="1" applyFill="1" applyBorder="1"/>
    <xf numFmtId="0" fontId="19" fillId="7" borderId="83" xfId="0" applyFont="1" applyFill="1" applyBorder="1"/>
    <xf numFmtId="0" fontId="19" fillId="7" borderId="32" xfId="0" applyFont="1" applyFill="1" applyBorder="1"/>
    <xf numFmtId="0" fontId="19" fillId="0" borderId="12" xfId="0" applyFont="1" applyBorder="1"/>
    <xf numFmtId="9" fontId="19" fillId="0" borderId="14" xfId="2" applyFont="1" applyBorder="1" applyAlignment="1">
      <alignment horizontal="center"/>
    </xf>
    <xf numFmtId="9" fontId="19" fillId="0" borderId="0" xfId="2" applyFont="1" applyBorder="1" applyAlignment="1">
      <alignment horizontal="center"/>
    </xf>
    <xf numFmtId="166" fontId="19" fillId="0" borderId="0" xfId="0" applyNumberFormat="1" applyFont="1"/>
    <xf numFmtId="0" fontId="64" fillId="0" borderId="19" xfId="2" applyNumberFormat="1" applyFont="1" applyBorder="1" applyAlignment="1">
      <alignment horizontal="center"/>
    </xf>
    <xf numFmtId="0" fontId="64" fillId="0" borderId="11" xfId="0" applyFont="1" applyBorder="1" applyAlignment="1">
      <alignment horizontal="center"/>
    </xf>
    <xf numFmtId="0" fontId="19" fillId="0" borderId="4" xfId="0" applyFont="1" applyBorder="1"/>
    <xf numFmtId="9" fontId="19" fillId="0" borderId="2" xfId="2" applyFont="1" applyBorder="1" applyAlignment="1">
      <alignment horizontal="center"/>
    </xf>
    <xf numFmtId="171" fontId="19" fillId="0" borderId="0" xfId="0" applyNumberFormat="1" applyFont="1"/>
    <xf numFmtId="167" fontId="19" fillId="0" borderId="1" xfId="1" applyNumberFormat="1" applyFont="1" applyBorder="1"/>
    <xf numFmtId="167" fontId="19" fillId="0" borderId="2" xfId="1" applyNumberFormat="1" applyFont="1" applyBorder="1"/>
    <xf numFmtId="166" fontId="19" fillId="2" borderId="61" xfId="1" applyFont="1" applyFill="1" applyBorder="1"/>
    <xf numFmtId="9" fontId="67" fillId="0" borderId="7" xfId="2" applyFont="1" applyBorder="1" applyAlignment="1">
      <alignment horizontal="center"/>
    </xf>
    <xf numFmtId="166" fontId="19" fillId="0" borderId="39" xfId="1" applyFont="1" applyBorder="1"/>
    <xf numFmtId="9" fontId="69" fillId="0" borderId="10" xfId="2" applyFont="1" applyBorder="1" applyAlignment="1">
      <alignment horizontal="center"/>
    </xf>
    <xf numFmtId="167" fontId="19" fillId="0" borderId="39" xfId="1" applyNumberFormat="1" applyFont="1" applyBorder="1"/>
    <xf numFmtId="9" fontId="19" fillId="0" borderId="10" xfId="2" applyFont="1" applyBorder="1" applyAlignment="1">
      <alignment horizontal="center"/>
    </xf>
    <xf numFmtId="9" fontId="68" fillId="0" borderId="10" xfId="2" applyFont="1" applyBorder="1" applyAlignment="1">
      <alignment horizontal="center"/>
    </xf>
    <xf numFmtId="9" fontId="67" fillId="0" borderId="10" xfId="2" applyFont="1" applyBorder="1" applyAlignment="1">
      <alignment horizontal="center"/>
    </xf>
    <xf numFmtId="166" fontId="19" fillId="0" borderId="6" xfId="1" applyFont="1" applyFill="1" applyBorder="1"/>
    <xf numFmtId="166" fontId="19" fillId="0" borderId="11" xfId="1" applyFont="1" applyFill="1" applyBorder="1"/>
    <xf numFmtId="166" fontId="19" fillId="0" borderId="10" xfId="1" applyFont="1" applyFill="1" applyBorder="1"/>
    <xf numFmtId="9" fontId="19" fillId="0" borderId="10" xfId="2" applyFont="1" applyFill="1" applyBorder="1" applyAlignment="1">
      <alignment horizontal="center"/>
    </xf>
    <xf numFmtId="167" fontId="19" fillId="0" borderId="39" xfId="1" applyNumberFormat="1" applyFont="1" applyFill="1" applyBorder="1"/>
    <xf numFmtId="9" fontId="19" fillId="0" borderId="4" xfId="2" applyFont="1" applyBorder="1" applyAlignment="1">
      <alignment horizontal="center"/>
    </xf>
    <xf numFmtId="166" fontId="19" fillId="0" borderId="34" xfId="1" applyFont="1" applyBorder="1"/>
    <xf numFmtId="167" fontId="19" fillId="0" borderId="81" xfId="1" applyNumberFormat="1" applyFont="1" applyBorder="1"/>
    <xf numFmtId="167" fontId="19" fillId="7" borderId="59" xfId="1" applyNumberFormat="1" applyFont="1" applyFill="1" applyBorder="1"/>
    <xf numFmtId="9" fontId="19" fillId="7" borderId="60" xfId="2" applyFont="1" applyFill="1" applyBorder="1" applyAlignment="1">
      <alignment horizontal="center"/>
    </xf>
    <xf numFmtId="167" fontId="64" fillId="7" borderId="39" xfId="1" applyNumberFormat="1" applyFont="1" applyFill="1" applyBorder="1"/>
    <xf numFmtId="0" fontId="19" fillId="7" borderId="0" xfId="0" applyFont="1" applyFill="1"/>
    <xf numFmtId="9" fontId="19" fillId="7" borderId="64" xfId="2" applyFont="1" applyFill="1" applyBorder="1" applyAlignment="1">
      <alignment horizontal="center"/>
    </xf>
    <xf numFmtId="167" fontId="19" fillId="7" borderId="29" xfId="1" applyNumberFormat="1" applyFont="1" applyFill="1" applyBorder="1"/>
    <xf numFmtId="0" fontId="19" fillId="7" borderId="31" xfId="0" applyFont="1" applyFill="1" applyBorder="1"/>
    <xf numFmtId="0" fontId="19" fillId="7" borderId="25" xfId="0" applyFont="1" applyFill="1" applyBorder="1"/>
    <xf numFmtId="167" fontId="19" fillId="0" borderId="0" xfId="1" applyNumberFormat="1" applyFont="1" applyBorder="1"/>
    <xf numFmtId="167" fontId="65" fillId="10" borderId="22" xfId="1" applyNumberFormat="1" applyFont="1" applyFill="1" applyBorder="1" applyAlignment="1">
      <alignment horizontal="center" vertical="center"/>
    </xf>
    <xf numFmtId="167" fontId="65" fillId="10" borderId="22" xfId="1" applyNumberFormat="1" applyFont="1" applyFill="1" applyBorder="1" applyAlignment="1">
      <alignment horizontal="center"/>
    </xf>
    <xf numFmtId="174" fontId="65" fillId="10" borderId="26" xfId="0" applyNumberFormat="1" applyFont="1" applyFill="1" applyBorder="1" applyAlignment="1">
      <alignment horizontal="center" vertical="center" wrapText="1"/>
    </xf>
    <xf numFmtId="1" fontId="65" fillId="10" borderId="26" xfId="0" applyNumberFormat="1" applyFont="1" applyFill="1" applyBorder="1" applyAlignment="1">
      <alignment horizontal="center" vertical="center"/>
    </xf>
    <xf numFmtId="167" fontId="65" fillId="10" borderId="29" xfId="1" applyNumberFormat="1" applyFont="1" applyFill="1" applyBorder="1" applyAlignment="1">
      <alignment horizontal="center" vertical="center"/>
    </xf>
    <xf numFmtId="167" fontId="65" fillId="10" borderId="29" xfId="1" applyNumberFormat="1" applyFont="1" applyFill="1" applyBorder="1" applyAlignment="1">
      <alignment horizontal="center"/>
    </xf>
    <xf numFmtId="0" fontId="66" fillId="2" borderId="59" xfId="0" applyFont="1" applyFill="1" applyBorder="1" applyAlignment="1">
      <alignment horizontal="center"/>
    </xf>
    <xf numFmtId="0" fontId="66" fillId="2" borderId="58" xfId="0" applyFont="1" applyFill="1" applyBorder="1" applyAlignment="1">
      <alignment horizontal="center"/>
    </xf>
    <xf numFmtId="0" fontId="66" fillId="2" borderId="60" xfId="0" applyFont="1" applyFill="1" applyBorder="1" applyAlignment="1">
      <alignment horizontal="center"/>
    </xf>
    <xf numFmtId="9" fontId="19" fillId="0" borderId="7" xfId="2" applyFont="1" applyBorder="1" applyAlignment="1">
      <alignment horizontal="center"/>
    </xf>
    <xf numFmtId="0" fontId="19" fillId="0" borderId="23" xfId="0" applyFont="1" applyBorder="1"/>
    <xf numFmtId="167" fontId="19" fillId="0" borderId="23" xfId="0" applyNumberFormat="1" applyFont="1" applyBorder="1"/>
    <xf numFmtId="166" fontId="19" fillId="0" borderId="23" xfId="1" applyFont="1" applyBorder="1"/>
    <xf numFmtId="0" fontId="19" fillId="0" borderId="81" xfId="0" applyFont="1" applyBorder="1"/>
    <xf numFmtId="0" fontId="19" fillId="10" borderId="58" xfId="0" applyFont="1" applyFill="1" applyBorder="1" applyAlignment="1">
      <alignment horizontal="center"/>
    </xf>
    <xf numFmtId="0" fontId="19" fillId="10" borderId="59" xfId="0" applyFont="1" applyFill="1" applyBorder="1" applyAlignment="1">
      <alignment horizontal="center"/>
    </xf>
    <xf numFmtId="49" fontId="19" fillId="10" borderId="59" xfId="0" applyNumberFormat="1" applyFont="1" applyFill="1" applyBorder="1" applyAlignment="1">
      <alignment horizontal="center"/>
    </xf>
    <xf numFmtId="166" fontId="19" fillId="10" borderId="59" xfId="1" applyFont="1" applyFill="1" applyBorder="1"/>
    <xf numFmtId="9" fontId="19" fillId="10" borderId="59" xfId="2" applyFont="1" applyFill="1" applyBorder="1" applyAlignment="1">
      <alignment horizontal="center"/>
    </xf>
    <xf numFmtId="167" fontId="19" fillId="10" borderId="59" xfId="1" applyNumberFormat="1" applyFont="1" applyFill="1" applyBorder="1"/>
    <xf numFmtId="9" fontId="19" fillId="10" borderId="60" xfId="2" applyFont="1" applyFill="1" applyBorder="1" applyAlignment="1">
      <alignment horizontal="center"/>
    </xf>
    <xf numFmtId="167" fontId="64" fillId="10" borderId="39" xfId="1" applyNumberFormat="1" applyFont="1" applyFill="1" applyBorder="1"/>
    <xf numFmtId="167" fontId="19" fillId="10" borderId="0" xfId="1" applyNumberFormat="1" applyFont="1" applyFill="1" applyBorder="1"/>
    <xf numFmtId="167" fontId="19" fillId="10" borderId="40" xfId="1" applyNumberFormat="1" applyFont="1" applyFill="1" applyBorder="1"/>
    <xf numFmtId="167" fontId="19" fillId="10" borderId="24" xfId="1" applyNumberFormat="1" applyFont="1" applyFill="1" applyBorder="1"/>
    <xf numFmtId="168" fontId="19" fillId="10" borderId="11" xfId="0" applyNumberFormat="1" applyFont="1" applyFill="1" applyBorder="1"/>
    <xf numFmtId="167" fontId="19" fillId="10" borderId="6" xfId="1" applyNumberFormat="1" applyFont="1" applyFill="1" applyBorder="1"/>
    <xf numFmtId="0" fontId="19" fillId="10" borderId="63" xfId="0" applyFont="1" applyFill="1" applyBorder="1" applyAlignment="1">
      <alignment horizontal="center"/>
    </xf>
    <xf numFmtId="0" fontId="19" fillId="10" borderId="54" xfId="0" applyFont="1" applyFill="1" applyBorder="1" applyAlignment="1">
      <alignment horizontal="center"/>
    </xf>
    <xf numFmtId="49" fontId="19" fillId="10" borderId="54" xfId="0" applyNumberFormat="1" applyFont="1" applyFill="1" applyBorder="1" applyAlignment="1">
      <alignment horizontal="center"/>
    </xf>
    <xf numFmtId="166" fontId="19" fillId="10" borderId="54" xfId="1" applyFont="1" applyFill="1" applyBorder="1"/>
    <xf numFmtId="9" fontId="19" fillId="10" borderId="54" xfId="2" applyFont="1" applyFill="1" applyBorder="1" applyAlignment="1">
      <alignment horizontal="center"/>
    </xf>
    <xf numFmtId="9" fontId="19" fillId="10" borderId="64" xfId="2" applyFont="1" applyFill="1" applyBorder="1" applyAlignment="1">
      <alignment horizontal="center"/>
    </xf>
    <xf numFmtId="167" fontId="19" fillId="10" borderId="29" xfId="1" applyNumberFormat="1" applyFont="1" applyFill="1" applyBorder="1"/>
    <xf numFmtId="9" fontId="19" fillId="10" borderId="31" xfId="2" applyFont="1" applyFill="1" applyBorder="1" applyAlignment="1">
      <alignment horizontal="center"/>
    </xf>
    <xf numFmtId="9" fontId="19" fillId="10" borderId="25" xfId="2" applyFont="1" applyFill="1" applyBorder="1" applyAlignment="1">
      <alignment horizontal="center"/>
    </xf>
    <xf numFmtId="9" fontId="19" fillId="10" borderId="32" xfId="2" applyFont="1" applyFill="1" applyBorder="1" applyAlignment="1">
      <alignment horizontal="center"/>
    </xf>
    <xf numFmtId="0" fontId="64" fillId="10" borderId="83" xfId="0" applyFont="1" applyFill="1" applyBorder="1" applyAlignment="1">
      <alignment horizontal="left"/>
    </xf>
    <xf numFmtId="0" fontId="19" fillId="10" borderId="26" xfId="0" applyFont="1" applyFill="1" applyBorder="1"/>
    <xf numFmtId="0" fontId="19" fillId="10" borderId="32" xfId="0" applyFont="1" applyFill="1" applyBorder="1"/>
    <xf numFmtId="167" fontId="64" fillId="0" borderId="0" xfId="0" applyNumberFormat="1" applyFont="1"/>
    <xf numFmtId="0" fontId="64" fillId="0" borderId="6" xfId="0" applyFont="1" applyBorder="1" applyAlignment="1">
      <alignment horizontal="center"/>
    </xf>
    <xf numFmtId="0" fontId="19" fillId="10" borderId="19" xfId="0" applyFont="1" applyFill="1" applyBorder="1" applyAlignment="1">
      <alignment horizontal="center"/>
    </xf>
    <xf numFmtId="166" fontId="19" fillId="10" borderId="19" xfId="1" applyFont="1" applyFill="1" applyBorder="1" applyAlignment="1">
      <alignment horizontal="center"/>
    </xf>
    <xf numFmtId="9" fontId="19" fillId="10" borderId="19" xfId="2" applyFont="1" applyFill="1" applyBorder="1" applyAlignment="1">
      <alignment horizontal="center"/>
    </xf>
    <xf numFmtId="166" fontId="19" fillId="10" borderId="19" xfId="1" applyFont="1" applyFill="1" applyBorder="1" applyAlignment="1">
      <alignment horizontal="center" vertical="center"/>
    </xf>
    <xf numFmtId="0" fontId="19" fillId="10" borderId="27" xfId="0" applyFont="1" applyFill="1" applyBorder="1" applyAlignment="1">
      <alignment horizontal="center"/>
    </xf>
    <xf numFmtId="0" fontId="19" fillId="10" borderId="26" xfId="0" applyFont="1" applyFill="1" applyBorder="1" applyAlignment="1">
      <alignment horizontal="center"/>
    </xf>
    <xf numFmtId="166" fontId="19" fillId="10" borderId="26" xfId="1" applyFont="1" applyFill="1" applyBorder="1" applyAlignment="1">
      <alignment horizontal="center"/>
    </xf>
    <xf numFmtId="9" fontId="19" fillId="10" borderId="26" xfId="2" applyFont="1" applyFill="1" applyBorder="1" applyAlignment="1">
      <alignment horizontal="center"/>
    </xf>
    <xf numFmtId="166" fontId="67" fillId="0" borderId="39" xfId="2" applyNumberFormat="1" applyFont="1" applyBorder="1" applyAlignment="1">
      <alignment horizontal="center"/>
    </xf>
    <xf numFmtId="166" fontId="19" fillId="0" borderId="40" xfId="0" applyNumberFormat="1" applyFont="1" applyBorder="1"/>
    <xf numFmtId="166" fontId="19" fillId="0" borderId="6" xfId="0" applyNumberFormat="1" applyFont="1" applyBorder="1"/>
    <xf numFmtId="166" fontId="19" fillId="0" borderId="24" xfId="0" applyNumberFormat="1" applyFont="1" applyBorder="1"/>
    <xf numFmtId="9" fontId="19" fillId="0" borderId="39" xfId="2" applyFont="1" applyFill="1" applyBorder="1" applyAlignment="1">
      <alignment horizontal="center"/>
    </xf>
    <xf numFmtId="9" fontId="19" fillId="0" borderId="34" xfId="2" applyFont="1" applyBorder="1" applyAlignment="1">
      <alignment horizontal="center"/>
    </xf>
    <xf numFmtId="0" fontId="19" fillId="10" borderId="4" xfId="0" applyFont="1" applyFill="1" applyBorder="1" applyAlignment="1">
      <alignment horizontal="center"/>
    </xf>
    <xf numFmtId="0" fontId="19" fillId="10" borderId="5" xfId="0" applyFont="1" applyFill="1" applyBorder="1" applyAlignment="1">
      <alignment horizontal="center"/>
    </xf>
    <xf numFmtId="49" fontId="19" fillId="10" borderId="5" xfId="0" applyNumberFormat="1" applyFont="1" applyFill="1" applyBorder="1" applyAlignment="1">
      <alignment horizontal="center"/>
    </xf>
    <xf numFmtId="166" fontId="19" fillId="10" borderId="5" xfId="1" applyFont="1" applyFill="1" applyBorder="1"/>
    <xf numFmtId="9" fontId="19" fillId="10" borderId="5" xfId="2" applyFont="1" applyFill="1" applyBorder="1" applyAlignment="1">
      <alignment horizontal="center"/>
    </xf>
    <xf numFmtId="167" fontId="19" fillId="10" borderId="5" xfId="1" applyNumberFormat="1" applyFont="1" applyFill="1" applyBorder="1"/>
    <xf numFmtId="167" fontId="19" fillId="10" borderId="82" xfId="1" applyNumberFormat="1" applyFont="1" applyFill="1" applyBorder="1"/>
    <xf numFmtId="0" fontId="64" fillId="10" borderId="25" xfId="0" applyFont="1" applyFill="1" applyBorder="1" applyAlignment="1">
      <alignment horizontal="left"/>
    </xf>
    <xf numFmtId="0" fontId="56" fillId="2" borderId="19" xfId="0" applyFont="1" applyFill="1" applyBorder="1" applyAlignment="1">
      <alignment horizontal="center"/>
    </xf>
    <xf numFmtId="166" fontId="56" fillId="2" borderId="19" xfId="1" applyFont="1" applyFill="1" applyBorder="1" applyAlignment="1">
      <alignment horizontal="center"/>
    </xf>
    <xf numFmtId="9" fontId="56" fillId="2" borderId="19" xfId="2" applyFont="1" applyFill="1" applyBorder="1" applyAlignment="1">
      <alignment horizontal="center"/>
    </xf>
    <xf numFmtId="166" fontId="56" fillId="2" borderId="19" xfId="1" applyFont="1" applyFill="1" applyBorder="1" applyAlignment="1">
      <alignment horizontal="center" vertical="center"/>
    </xf>
    <xf numFmtId="167" fontId="55" fillId="2" borderId="22" xfId="1" applyNumberFormat="1" applyFont="1" applyFill="1" applyBorder="1" applyAlignment="1">
      <alignment horizontal="center"/>
    </xf>
    <xf numFmtId="0" fontId="56" fillId="2" borderId="27" xfId="0" applyFont="1" applyFill="1" applyBorder="1" applyAlignment="1">
      <alignment horizontal="center"/>
    </xf>
    <xf numFmtId="0" fontId="56" fillId="2" borderId="26" xfId="0" applyFont="1" applyFill="1" applyBorder="1" applyAlignment="1">
      <alignment horizontal="center"/>
    </xf>
    <xf numFmtId="166" fontId="56" fillId="2" borderId="26" xfId="1" applyFont="1" applyFill="1" applyBorder="1" applyAlignment="1">
      <alignment horizontal="center"/>
    </xf>
    <xf numFmtId="9" fontId="56" fillId="2" borderId="26" xfId="2" applyFont="1" applyFill="1" applyBorder="1" applyAlignment="1">
      <alignment horizontal="center"/>
    </xf>
    <xf numFmtId="167" fontId="55" fillId="2" borderId="29" xfId="1" applyNumberFormat="1" applyFont="1" applyFill="1" applyBorder="1" applyAlignment="1">
      <alignment horizontal="center"/>
    </xf>
    <xf numFmtId="166" fontId="54" fillId="2" borderId="61" xfId="1" applyFont="1" applyFill="1" applyBorder="1"/>
    <xf numFmtId="0" fontId="56" fillId="2" borderId="58" xfId="0" applyFont="1" applyFill="1" applyBorder="1" applyAlignment="1">
      <alignment horizontal="center"/>
    </xf>
    <xf numFmtId="0" fontId="56" fillId="2" borderId="59" xfId="0" applyFont="1" applyFill="1" applyBorder="1" applyAlignment="1">
      <alignment horizontal="center"/>
    </xf>
    <xf numFmtId="0" fontId="56" fillId="2" borderId="60" xfId="0" applyFont="1" applyFill="1" applyBorder="1" applyAlignment="1">
      <alignment horizontal="center"/>
    </xf>
    <xf numFmtId="0" fontId="19" fillId="14" borderId="4" xfId="0" applyFont="1" applyFill="1" applyBorder="1" applyAlignment="1">
      <alignment horizontal="center"/>
    </xf>
    <xf numFmtId="0" fontId="19" fillId="14" borderId="5" xfId="0" applyFont="1" applyFill="1" applyBorder="1" applyAlignment="1">
      <alignment horizontal="center"/>
    </xf>
    <xf numFmtId="49" fontId="19" fillId="14" borderId="5" xfId="0" applyNumberFormat="1" applyFont="1" applyFill="1" applyBorder="1" applyAlignment="1">
      <alignment horizontal="center"/>
    </xf>
    <xf numFmtId="166" fontId="19" fillId="14" borderId="5" xfId="1" applyFont="1" applyFill="1" applyBorder="1"/>
    <xf numFmtId="9" fontId="19" fillId="14" borderId="5" xfId="2" applyFont="1" applyFill="1" applyBorder="1" applyAlignment="1">
      <alignment horizontal="center"/>
    </xf>
    <xf numFmtId="167" fontId="19" fillId="14" borderId="5" xfId="1" applyNumberFormat="1" applyFont="1" applyFill="1" applyBorder="1"/>
    <xf numFmtId="167" fontId="64" fillId="2" borderId="84" xfId="1" applyNumberFormat="1" applyFont="1" applyFill="1" applyBorder="1"/>
    <xf numFmtId="167" fontId="19" fillId="2" borderId="85" xfId="1" applyNumberFormat="1" applyFont="1" applyFill="1" applyBorder="1"/>
    <xf numFmtId="167" fontId="19" fillId="2" borderId="8" xfId="1" applyNumberFormat="1" applyFont="1" applyFill="1" applyBorder="1"/>
    <xf numFmtId="167" fontId="19" fillId="2" borderId="43" xfId="1" applyNumberFormat="1" applyFont="1" applyFill="1" applyBorder="1"/>
    <xf numFmtId="167" fontId="19" fillId="2" borderId="41" xfId="1" applyNumberFormat="1" applyFont="1" applyFill="1" applyBorder="1"/>
    <xf numFmtId="167" fontId="19" fillId="2" borderId="24" xfId="1" applyNumberFormat="1" applyFont="1" applyFill="1" applyBorder="1"/>
    <xf numFmtId="167" fontId="19" fillId="2" borderId="23" xfId="1" applyNumberFormat="1" applyFont="1" applyFill="1" applyBorder="1"/>
    <xf numFmtId="167" fontId="19" fillId="2" borderId="0" xfId="1" applyNumberFormat="1" applyFont="1" applyFill="1" applyBorder="1"/>
    <xf numFmtId="167" fontId="19" fillId="2" borderId="29" xfId="1" applyNumberFormat="1" applyFont="1" applyFill="1" applyBorder="1"/>
    <xf numFmtId="9" fontId="19" fillId="2" borderId="30" xfId="2" applyFont="1" applyFill="1" applyBorder="1" applyAlignment="1">
      <alignment horizontal="center"/>
    </xf>
    <xf numFmtId="9" fontId="19" fillId="2" borderId="31" xfId="2" applyFont="1" applyFill="1" applyBorder="1" applyAlignment="1">
      <alignment horizontal="center"/>
    </xf>
    <xf numFmtId="9" fontId="19" fillId="2" borderId="32" xfId="2" applyFont="1" applyFill="1" applyBorder="1" applyAlignment="1">
      <alignment horizontal="center"/>
    </xf>
    <xf numFmtId="9" fontId="19" fillId="2" borderId="25" xfId="2" applyFont="1" applyFill="1" applyBorder="1" applyAlignment="1">
      <alignment horizontal="center"/>
    </xf>
    <xf numFmtId="0" fontId="19" fillId="2" borderId="30" xfId="0" applyFont="1" applyFill="1" applyBorder="1"/>
    <xf numFmtId="0" fontId="64" fillId="2" borderId="31" xfId="0" applyFont="1" applyFill="1" applyBorder="1" applyAlignment="1">
      <alignment horizontal="left"/>
    </xf>
    <xf numFmtId="0" fontId="19" fillId="2" borderId="31" xfId="0" applyFont="1" applyFill="1" applyBorder="1"/>
    <xf numFmtId="0" fontId="19" fillId="2" borderId="32" xfId="0" applyFont="1" applyFill="1" applyBorder="1"/>
    <xf numFmtId="169" fontId="19" fillId="0" borderId="0" xfId="1" applyNumberFormat="1" applyFont="1"/>
    <xf numFmtId="166" fontId="15" fillId="11" borderId="4" xfId="1" applyFont="1" applyFill="1" applyBorder="1" applyAlignment="1">
      <alignment horizontal="center"/>
    </xf>
    <xf numFmtId="166" fontId="19" fillId="0" borderId="0" xfId="0" applyNumberFormat="1" applyFont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166" fontId="0" fillId="7" borderId="6" xfId="1" applyFont="1" applyFill="1" applyBorder="1" applyAlignment="1">
      <alignment horizontal="center"/>
    </xf>
    <xf numFmtId="9" fontId="0" fillId="7" borderId="6" xfId="2" applyFont="1" applyFill="1" applyBorder="1" applyAlignment="1">
      <alignment horizontal="center"/>
    </xf>
    <xf numFmtId="166" fontId="0" fillId="7" borderId="10" xfId="1" applyFont="1" applyFill="1" applyBorder="1" applyAlignment="1">
      <alignment horizontal="center" vertical="center"/>
    </xf>
    <xf numFmtId="0" fontId="0" fillId="7" borderId="42" xfId="0" applyFill="1" applyBorder="1" applyAlignment="1">
      <alignment horizontal="center"/>
    </xf>
    <xf numFmtId="166" fontId="28" fillId="2" borderId="58" xfId="1" applyFont="1" applyFill="1" applyBorder="1"/>
    <xf numFmtId="167" fontId="55" fillId="7" borderId="62" xfId="1" applyNumberFormat="1" applyFont="1" applyFill="1" applyBorder="1" applyAlignment="1">
      <alignment horizontal="center" vertical="center"/>
    </xf>
    <xf numFmtId="0" fontId="28" fillId="2" borderId="37" xfId="0" applyFont="1" applyFill="1" applyBorder="1" applyAlignment="1">
      <alignment horizontal="center"/>
    </xf>
    <xf numFmtId="9" fontId="74" fillId="0" borderId="10" xfId="2" applyFont="1" applyBorder="1" applyAlignment="1">
      <alignment horizontal="center"/>
    </xf>
    <xf numFmtId="0" fontId="0" fillId="0" borderId="90" xfId="0" applyBorder="1"/>
    <xf numFmtId="0" fontId="0" fillId="8" borderId="97" xfId="0" applyFill="1" applyBorder="1" applyAlignment="1">
      <alignment horizontal="center"/>
    </xf>
    <xf numFmtId="167" fontId="2" fillId="7" borderId="23" xfId="1" applyNumberFormat="1" applyFont="1" applyFill="1" applyBorder="1"/>
    <xf numFmtId="167" fontId="55" fillId="10" borderId="39" xfId="1" applyNumberFormat="1" applyFont="1" applyFill="1" applyBorder="1" applyAlignment="1">
      <alignment horizontal="center" vertical="center"/>
    </xf>
    <xf numFmtId="0" fontId="0" fillId="10" borderId="31" xfId="0" applyFill="1" applyBorder="1" applyAlignment="1">
      <alignment horizontal="left"/>
    </xf>
    <xf numFmtId="167" fontId="55" fillId="10" borderId="23" xfId="1" applyNumberFormat="1" applyFont="1" applyFill="1" applyBorder="1" applyAlignment="1">
      <alignment horizontal="center" vertical="center"/>
    </xf>
    <xf numFmtId="166" fontId="0" fillId="2" borderId="58" xfId="1" applyFont="1" applyFill="1" applyBorder="1"/>
    <xf numFmtId="0" fontId="10" fillId="2" borderId="37" xfId="0" applyFont="1" applyFill="1" applyBorder="1" applyAlignment="1">
      <alignment horizontal="center"/>
    </xf>
    <xf numFmtId="167" fontId="2" fillId="2" borderId="24" xfId="1" applyNumberFormat="1" applyFont="1" applyFill="1" applyBorder="1"/>
    <xf numFmtId="167" fontId="0" fillId="2" borderId="11" xfId="1" applyNumberFormat="1" applyFont="1" applyFill="1" applyBorder="1"/>
    <xf numFmtId="0" fontId="0" fillId="2" borderId="31" xfId="0" applyFill="1" applyBorder="1" applyAlignment="1">
      <alignment horizontal="left"/>
    </xf>
    <xf numFmtId="9" fontId="2" fillId="0" borderId="9" xfId="2" applyFont="1" applyBorder="1" applyAlignment="1">
      <alignment horizontal="center"/>
    </xf>
    <xf numFmtId="9" fontId="2" fillId="0" borderId="8" xfId="2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2" fillId="15" borderId="38" xfId="0" applyFont="1" applyFill="1" applyBorder="1" applyAlignment="1">
      <alignment horizontal="center"/>
    </xf>
    <xf numFmtId="0" fontId="12" fillId="15" borderId="38" xfId="0" applyFont="1" applyFill="1" applyBorder="1" applyAlignment="1">
      <alignment horizontal="center" wrapText="1"/>
    </xf>
    <xf numFmtId="0" fontId="12" fillId="15" borderId="83" xfId="0" applyFont="1" applyFill="1" applyBorder="1" applyAlignment="1">
      <alignment horizontal="center"/>
    </xf>
    <xf numFmtId="0" fontId="12" fillId="15" borderId="83" xfId="0" applyFont="1" applyFill="1" applyBorder="1" applyAlignment="1">
      <alignment horizontal="center" wrapText="1"/>
    </xf>
    <xf numFmtId="0" fontId="12" fillId="0" borderId="6" xfId="0" applyFont="1" applyBorder="1"/>
    <xf numFmtId="0" fontId="12" fillId="0" borderId="11" xfId="0" applyFont="1" applyBorder="1"/>
    <xf numFmtId="0" fontId="12" fillId="0" borderId="0" xfId="0" applyFont="1"/>
    <xf numFmtId="0" fontId="12" fillId="0" borderId="11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11" xfId="0" applyFont="1" applyBorder="1" applyAlignment="1">
      <alignment horizontal="center"/>
    </xf>
    <xf numFmtId="0" fontId="12" fillId="0" borderId="103" xfId="0" applyFont="1" applyBorder="1"/>
    <xf numFmtId="0" fontId="12" fillId="0" borderId="104" xfId="0" applyFont="1" applyBorder="1"/>
    <xf numFmtId="0" fontId="76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9" fontId="12" fillId="0" borderId="11" xfId="0" applyNumberFormat="1" applyFont="1" applyBorder="1" applyAlignment="1">
      <alignment horizontal="center"/>
    </xf>
    <xf numFmtId="171" fontId="12" fillId="0" borderId="11" xfId="0" applyNumberFormat="1" applyFont="1" applyBorder="1" applyAlignment="1">
      <alignment horizontal="center" wrapText="1"/>
    </xf>
    <xf numFmtId="9" fontId="13" fillId="0" borderId="0" xfId="0" applyNumberFormat="1" applyFont="1" applyAlignment="1">
      <alignment horizontal="center"/>
    </xf>
    <xf numFmtId="171" fontId="12" fillId="0" borderId="6" xfId="0" applyNumberFormat="1" applyFont="1" applyBorder="1" applyAlignment="1">
      <alignment horizontal="center" wrapText="1"/>
    </xf>
    <xf numFmtId="171" fontId="0" fillId="0" borderId="11" xfId="0" applyNumberFormat="1" applyBorder="1"/>
    <xf numFmtId="9" fontId="77" fillId="0" borderId="0" xfId="0" applyNumberFormat="1" applyFont="1" applyAlignment="1">
      <alignment horizontal="center"/>
    </xf>
    <xf numFmtId="171" fontId="0" fillId="0" borderId="10" xfId="0" applyNumberFormat="1" applyBorder="1"/>
    <xf numFmtId="0" fontId="12" fillId="17" borderId="106" xfId="0" applyFont="1" applyFill="1" applyBorder="1" applyAlignment="1">
      <alignment horizontal="center"/>
    </xf>
    <xf numFmtId="0" fontId="12" fillId="17" borderId="107" xfId="0" applyFont="1" applyFill="1" applyBorder="1" applyAlignment="1">
      <alignment horizontal="center"/>
    </xf>
    <xf numFmtId="0" fontId="12" fillId="0" borderId="108" xfId="0" applyFont="1" applyBorder="1" applyAlignment="1">
      <alignment horizontal="center"/>
    </xf>
    <xf numFmtId="0" fontId="12" fillId="0" borderId="109" xfId="0" applyFont="1" applyBorder="1" applyAlignment="1">
      <alignment horizontal="center"/>
    </xf>
    <xf numFmtId="167" fontId="0" fillId="0" borderId="6" xfId="1" applyNumberFormat="1" applyFont="1" applyBorder="1" applyAlignment="1">
      <alignment wrapText="1"/>
    </xf>
    <xf numFmtId="0" fontId="12" fillId="0" borderId="110" xfId="0" applyFont="1" applyBorder="1" applyAlignment="1">
      <alignment horizontal="center"/>
    </xf>
    <xf numFmtId="0" fontId="12" fillId="17" borderId="111" xfId="0" applyFont="1" applyFill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3" xfId="0" applyFont="1" applyBorder="1"/>
    <xf numFmtId="0" fontId="12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166" fontId="12" fillId="0" borderId="14" xfId="1" applyFont="1" applyBorder="1" applyAlignment="1">
      <alignment horizontal="center" wrapText="1"/>
    </xf>
    <xf numFmtId="9" fontId="12" fillId="0" borderId="13" xfId="0" applyNumberFormat="1" applyFont="1" applyBorder="1" applyAlignment="1">
      <alignment horizontal="center"/>
    </xf>
    <xf numFmtId="0" fontId="12" fillId="0" borderId="0" xfId="0" applyFont="1" applyAlignment="1">
      <alignment wrapText="1"/>
    </xf>
    <xf numFmtId="0" fontId="0" fillId="0" borderId="83" xfId="0" applyBorder="1"/>
    <xf numFmtId="0" fontId="12" fillId="15" borderId="58" xfId="0" applyFont="1" applyFill="1" applyBorder="1"/>
    <xf numFmtId="0" fontId="12" fillId="15" borderId="59" xfId="0" applyFont="1" applyFill="1" applyBorder="1"/>
    <xf numFmtId="0" fontId="12" fillId="15" borderId="59" xfId="0" applyFont="1" applyFill="1" applyBorder="1" applyAlignment="1">
      <alignment wrapText="1"/>
    </xf>
    <xf numFmtId="166" fontId="12" fillId="15" borderId="20" xfId="1" applyFont="1" applyFill="1" applyBorder="1" applyAlignment="1">
      <alignment wrapText="1"/>
    </xf>
    <xf numFmtId="9" fontId="12" fillId="15" borderId="60" xfId="0" applyNumberFormat="1" applyFont="1" applyFill="1" applyBorder="1" applyAlignment="1">
      <alignment horizontal="center"/>
    </xf>
    <xf numFmtId="167" fontId="2" fillId="7" borderId="67" xfId="1" applyNumberFormat="1" applyFont="1" applyFill="1" applyBorder="1"/>
    <xf numFmtId="0" fontId="12" fillId="15" borderId="30" xfId="0" applyFont="1" applyFill="1" applyBorder="1"/>
    <xf numFmtId="0" fontId="12" fillId="15" borderId="31" xfId="0" applyFont="1" applyFill="1" applyBorder="1"/>
    <xf numFmtId="0" fontId="12" fillId="15" borderId="31" xfId="0" applyFont="1" applyFill="1" applyBorder="1" applyAlignment="1">
      <alignment wrapText="1"/>
    </xf>
    <xf numFmtId="0" fontId="12" fillId="15" borderId="32" xfId="0" applyFont="1" applyFill="1" applyBorder="1" applyAlignment="1">
      <alignment horizontal="center"/>
    </xf>
    <xf numFmtId="9" fontId="0" fillId="0" borderId="112" xfId="2" applyFont="1" applyBorder="1" applyAlignment="1">
      <alignment horizontal="center"/>
    </xf>
    <xf numFmtId="0" fontId="2" fillId="0" borderId="37" xfId="0" applyFont="1" applyBorder="1"/>
    <xf numFmtId="9" fontId="0" fillId="0" borderId="113" xfId="2" applyFont="1" applyBorder="1" applyAlignment="1">
      <alignment horizontal="center"/>
    </xf>
    <xf numFmtId="0" fontId="12" fillId="15" borderId="17" xfId="0" applyFont="1" applyFill="1" applyBorder="1" applyAlignment="1">
      <alignment horizontal="center"/>
    </xf>
    <xf numFmtId="0" fontId="12" fillId="18" borderId="38" xfId="0" applyFont="1" applyFill="1" applyBorder="1" applyAlignment="1">
      <alignment horizontal="center"/>
    </xf>
    <xf numFmtId="0" fontId="12" fillId="18" borderId="38" xfId="0" applyFont="1" applyFill="1" applyBorder="1" applyAlignment="1">
      <alignment horizontal="center" wrapText="1"/>
    </xf>
    <xf numFmtId="0" fontId="12" fillId="18" borderId="83" xfId="0" applyFont="1" applyFill="1" applyBorder="1" applyAlignment="1">
      <alignment horizontal="center"/>
    </xf>
    <xf numFmtId="0" fontId="12" fillId="18" borderId="83" xfId="0" applyFont="1" applyFill="1" applyBorder="1" applyAlignment="1">
      <alignment horizontal="center" wrapText="1"/>
    </xf>
    <xf numFmtId="0" fontId="24" fillId="2" borderId="36" xfId="0" applyFont="1" applyFill="1" applyBorder="1"/>
    <xf numFmtId="0" fontId="28" fillId="2" borderId="80" xfId="0" applyFont="1" applyFill="1" applyBorder="1" applyAlignment="1">
      <alignment horizontal="center"/>
    </xf>
    <xf numFmtId="9" fontId="29" fillId="0" borderId="6" xfId="2" applyFont="1" applyBorder="1" applyAlignment="1">
      <alignment horizontal="center"/>
    </xf>
    <xf numFmtId="166" fontId="0" fillId="0" borderId="10" xfId="0" applyNumberFormat="1" applyBorder="1"/>
    <xf numFmtId="166" fontId="0" fillId="0" borderId="11" xfId="0" applyNumberFormat="1" applyBorder="1"/>
    <xf numFmtId="0" fontId="0" fillId="0" borderId="28" xfId="0" applyBorder="1"/>
    <xf numFmtId="166" fontId="2" fillId="10" borderId="15" xfId="1" applyFont="1" applyFill="1" applyBorder="1"/>
    <xf numFmtId="0" fontId="12" fillId="18" borderId="17" xfId="0" applyFont="1" applyFill="1" applyBorder="1" applyAlignment="1">
      <alignment horizontal="center"/>
    </xf>
    <xf numFmtId="0" fontId="12" fillId="19" borderId="38" xfId="0" applyFont="1" applyFill="1" applyBorder="1" applyAlignment="1">
      <alignment horizontal="center"/>
    </xf>
    <xf numFmtId="0" fontId="12" fillId="19" borderId="38" xfId="0" applyFont="1" applyFill="1" applyBorder="1" applyAlignment="1">
      <alignment horizontal="center" wrapText="1"/>
    </xf>
    <xf numFmtId="0" fontId="12" fillId="19" borderId="83" xfId="0" applyFont="1" applyFill="1" applyBorder="1" applyAlignment="1">
      <alignment horizontal="center"/>
    </xf>
    <xf numFmtId="0" fontId="12" fillId="19" borderId="83" xfId="0" applyFont="1" applyFill="1" applyBorder="1" applyAlignment="1">
      <alignment horizontal="center" wrapText="1"/>
    </xf>
    <xf numFmtId="167" fontId="2" fillId="2" borderId="67" xfId="1" applyNumberFormat="1" applyFont="1" applyFill="1" applyBorder="1"/>
    <xf numFmtId="166" fontId="0" fillId="2" borderId="37" xfId="1" applyFont="1" applyFill="1" applyBorder="1"/>
    <xf numFmtId="166" fontId="2" fillId="2" borderId="15" xfId="1" applyFont="1" applyFill="1" applyBorder="1"/>
    <xf numFmtId="0" fontId="12" fillId="19" borderId="17" xfId="0" applyFont="1" applyFill="1" applyBorder="1" applyAlignment="1">
      <alignment horizontal="center"/>
    </xf>
    <xf numFmtId="166" fontId="3" fillId="0" borderId="42" xfId="1" applyFont="1" applyBorder="1" applyAlignment="1">
      <alignment horizontal="center"/>
    </xf>
    <xf numFmtId="0" fontId="24" fillId="0" borderId="42" xfId="0" applyFont="1" applyBorder="1" applyAlignment="1">
      <alignment horizontal="center"/>
    </xf>
    <xf numFmtId="0" fontId="0" fillId="0" borderId="71" xfId="0" applyBorder="1" applyAlignment="1">
      <alignment horizontal="center"/>
    </xf>
    <xf numFmtId="166" fontId="0" fillId="0" borderId="114" xfId="1" applyFont="1" applyBorder="1"/>
    <xf numFmtId="9" fontId="0" fillId="7" borderId="28" xfId="2" applyFont="1" applyFill="1" applyBorder="1" applyAlignment="1">
      <alignment horizontal="center"/>
    </xf>
    <xf numFmtId="0" fontId="12" fillId="15" borderId="17" xfId="0" applyFont="1" applyFill="1" applyBorder="1"/>
    <xf numFmtId="0" fontId="24" fillId="2" borderId="59" xfId="0" applyFont="1" applyFill="1" applyBorder="1"/>
    <xf numFmtId="0" fontId="10" fillId="2" borderId="80" xfId="0" applyFont="1" applyFill="1" applyBorder="1" applyAlignment="1">
      <alignment horizontal="center"/>
    </xf>
    <xf numFmtId="0" fontId="10" fillId="2" borderId="79" xfId="0" applyFont="1" applyFill="1" applyBorder="1" applyAlignment="1">
      <alignment horizontal="center"/>
    </xf>
    <xf numFmtId="166" fontId="0" fillId="0" borderId="42" xfId="1" applyFont="1" applyBorder="1" applyAlignment="1">
      <alignment horizontal="center"/>
    </xf>
    <xf numFmtId="9" fontId="38" fillId="0" borderId="3" xfId="2" applyFont="1" applyBorder="1" applyAlignment="1">
      <alignment horizontal="center"/>
    </xf>
    <xf numFmtId="0" fontId="32" fillId="2" borderId="61" xfId="0" applyFont="1" applyFill="1" applyBorder="1"/>
    <xf numFmtId="0" fontId="10" fillId="2" borderId="14" xfId="0" applyFont="1" applyFill="1" applyBorder="1" applyAlignment="1">
      <alignment horizontal="center"/>
    </xf>
    <xf numFmtId="166" fontId="0" fillId="0" borderId="9" xfId="1" applyFont="1" applyBorder="1"/>
    <xf numFmtId="9" fontId="38" fillId="0" borderId="6" xfId="2" applyFont="1" applyBorder="1" applyAlignment="1">
      <alignment horizontal="center"/>
    </xf>
    <xf numFmtId="167" fontId="0" fillId="0" borderId="11" xfId="1" applyNumberFormat="1" applyFont="1" applyBorder="1"/>
    <xf numFmtId="167" fontId="0" fillId="0" borderId="10" xfId="2" applyNumberFormat="1" applyFont="1" applyBorder="1"/>
    <xf numFmtId="166" fontId="0" fillId="0" borderId="6" xfId="1" applyFont="1" applyBorder="1" applyAlignment="1">
      <alignment horizontal="center"/>
    </xf>
    <xf numFmtId="166" fontId="0" fillId="0" borderId="1" xfId="1" applyFont="1" applyBorder="1" applyAlignment="1">
      <alignment horizontal="center"/>
    </xf>
    <xf numFmtId="166" fontId="0" fillId="0" borderId="83" xfId="1" applyFont="1" applyBorder="1"/>
    <xf numFmtId="166" fontId="0" fillId="10" borderId="59" xfId="1" applyFont="1" applyFill="1" applyBorder="1" applyAlignment="1">
      <alignment horizontal="center"/>
    </xf>
    <xf numFmtId="166" fontId="0" fillId="10" borderId="38" xfId="1" applyFont="1" applyFill="1" applyBorder="1"/>
    <xf numFmtId="166" fontId="0" fillId="10" borderId="54" xfId="1" applyFont="1" applyFill="1" applyBorder="1" applyAlignment="1">
      <alignment horizontal="center"/>
    </xf>
    <xf numFmtId="0" fontId="0" fillId="10" borderId="83" xfId="0" applyFill="1" applyBorder="1"/>
    <xf numFmtId="0" fontId="12" fillId="18" borderId="17" xfId="0" applyFont="1" applyFill="1" applyBorder="1"/>
    <xf numFmtId="166" fontId="0" fillId="0" borderId="7" xfId="1" applyFont="1" applyBorder="1" applyAlignment="1">
      <alignment horizontal="center"/>
    </xf>
    <xf numFmtId="166" fontId="3" fillId="0" borderId="10" xfId="1" applyFont="1" applyBorder="1" applyAlignment="1">
      <alignment horizontal="center"/>
    </xf>
    <xf numFmtId="166" fontId="0" fillId="0" borderId="10" xfId="1" applyFont="1" applyBorder="1" applyAlignment="1">
      <alignment horizontal="center"/>
    </xf>
    <xf numFmtId="0" fontId="24" fillId="2" borderId="93" xfId="0" applyFont="1" applyFill="1" applyBorder="1"/>
    <xf numFmtId="166" fontId="3" fillId="0" borderId="6" xfId="1" applyFont="1" applyBorder="1" applyAlignment="1">
      <alignment horizontal="center"/>
    </xf>
    <xf numFmtId="166" fontId="0" fillId="0" borderId="26" xfId="1" applyFont="1" applyBorder="1"/>
    <xf numFmtId="166" fontId="0" fillId="2" borderId="59" xfId="1" applyFont="1" applyFill="1" applyBorder="1" applyAlignment="1">
      <alignment horizontal="center"/>
    </xf>
    <xf numFmtId="166" fontId="0" fillId="2" borderId="38" xfId="1" applyFont="1" applyFill="1" applyBorder="1"/>
    <xf numFmtId="166" fontId="0" fillId="2" borderId="54" xfId="1" applyFont="1" applyFill="1" applyBorder="1" applyAlignment="1">
      <alignment horizontal="center"/>
    </xf>
    <xf numFmtId="0" fontId="0" fillId="2" borderId="83" xfId="0" applyFill="1" applyBorder="1"/>
    <xf numFmtId="0" fontId="12" fillId="19" borderId="17" xfId="0" applyFont="1" applyFill="1" applyBorder="1"/>
    <xf numFmtId="166" fontId="1" fillId="2" borderId="1" xfId="1" applyFont="1" applyFill="1" applyBorder="1" applyAlignment="1">
      <alignment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8" fillId="2" borderId="81" xfId="0" applyFont="1" applyFill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/>
    </xf>
    <xf numFmtId="0" fontId="28" fillId="2" borderId="36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167" fontId="2" fillId="7" borderId="19" xfId="1" applyNumberFormat="1" applyFont="1" applyFill="1" applyBorder="1"/>
    <xf numFmtId="167" fontId="0" fillId="7" borderId="26" xfId="1" applyNumberFormat="1" applyFont="1" applyFill="1" applyBorder="1"/>
    <xf numFmtId="9" fontId="0" fillId="7" borderId="31" xfId="2" applyFont="1" applyFill="1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6" fontId="0" fillId="0" borderId="6" xfId="1" applyFont="1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9" fontId="3" fillId="0" borderId="10" xfId="2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66" fontId="0" fillId="10" borderId="21" xfId="1" applyFont="1" applyFill="1" applyBorder="1" applyAlignment="1">
      <alignment horizontal="center" vertical="center"/>
    </xf>
    <xf numFmtId="166" fontId="0" fillId="10" borderId="12" xfId="1" applyFont="1" applyFill="1" applyBorder="1" applyAlignment="1">
      <alignment horizontal="center" vertical="center"/>
    </xf>
    <xf numFmtId="167" fontId="55" fillId="10" borderId="34" xfId="1" applyNumberFormat="1" applyFont="1" applyFill="1" applyBorder="1" applyAlignment="1">
      <alignment horizontal="center" vertical="center"/>
    </xf>
    <xf numFmtId="167" fontId="2" fillId="10" borderId="19" xfId="1" applyNumberFormat="1" applyFont="1" applyFill="1" applyBorder="1"/>
    <xf numFmtId="167" fontId="0" fillId="10" borderId="26" xfId="1" applyNumberFormat="1" applyFont="1" applyFill="1" applyBorder="1"/>
    <xf numFmtId="166" fontId="2" fillId="0" borderId="31" xfId="1" applyFont="1" applyBorder="1"/>
    <xf numFmtId="0" fontId="0" fillId="10" borderId="6" xfId="0" applyFill="1" applyBorder="1" applyAlignment="1">
      <alignment horizontal="center"/>
    </xf>
    <xf numFmtId="166" fontId="0" fillId="10" borderId="6" xfId="1" applyFont="1" applyFill="1" applyBorder="1" applyAlignment="1">
      <alignment horizontal="center"/>
    </xf>
    <xf numFmtId="9" fontId="0" fillId="10" borderId="6" xfId="2" applyFont="1" applyFill="1" applyBorder="1" applyAlignment="1">
      <alignment horizontal="center"/>
    </xf>
    <xf numFmtId="166" fontId="1" fillId="2" borderId="1" xfId="1" applyFont="1" applyFill="1" applyBorder="1"/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6" fillId="2" borderId="77" xfId="0" applyFont="1" applyFill="1" applyBorder="1" applyAlignment="1">
      <alignment horizontal="center"/>
    </xf>
    <xf numFmtId="0" fontId="10" fillId="2" borderId="81" xfId="0" applyFont="1" applyFill="1" applyBorder="1" applyAlignment="1">
      <alignment horizontal="center"/>
    </xf>
    <xf numFmtId="9" fontId="0" fillId="10" borderId="31" xfId="2" applyFont="1" applyFill="1" applyBorder="1"/>
    <xf numFmtId="0" fontId="0" fillId="2" borderId="6" xfId="0" applyFill="1" applyBorder="1" applyAlignment="1">
      <alignment horizontal="center"/>
    </xf>
    <xf numFmtId="166" fontId="0" fillId="2" borderId="6" xfId="1" applyFont="1" applyFill="1" applyBorder="1" applyAlignment="1">
      <alignment horizontal="center"/>
    </xf>
    <xf numFmtId="9" fontId="0" fillId="2" borderId="6" xfId="2" applyFont="1" applyFill="1" applyBorder="1" applyAlignment="1">
      <alignment horizontal="center"/>
    </xf>
    <xf numFmtId="167" fontId="55" fillId="2" borderId="34" xfId="1" applyNumberFormat="1" applyFont="1" applyFill="1" applyBorder="1" applyAlignment="1">
      <alignment horizontal="center" vertical="center"/>
    </xf>
    <xf numFmtId="167" fontId="2" fillId="2" borderId="19" xfId="1" applyNumberFormat="1" applyFont="1" applyFill="1" applyBorder="1"/>
    <xf numFmtId="167" fontId="0" fillId="2" borderId="26" xfId="1" applyNumberFormat="1" applyFont="1" applyFill="1" applyBorder="1"/>
    <xf numFmtId="9" fontId="0" fillId="2" borderId="31" xfId="2" applyFont="1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5" fillId="11" borderId="4" xfId="0" applyFont="1" applyFill="1" applyBorder="1"/>
    <xf numFmtId="0" fontId="0" fillId="11" borderId="5" xfId="0" applyFill="1" applyBorder="1" applyAlignment="1">
      <alignment horizontal="center"/>
    </xf>
    <xf numFmtId="49" fontId="0" fillId="11" borderId="5" xfId="0" applyNumberFormat="1" applyFill="1" applyBorder="1" applyAlignment="1">
      <alignment horizontal="center"/>
    </xf>
    <xf numFmtId="0" fontId="0" fillId="11" borderId="5" xfId="0" applyFill="1" applyBorder="1"/>
    <xf numFmtId="166" fontId="0" fillId="11" borderId="5" xfId="1" applyFont="1" applyFill="1" applyBorder="1"/>
    <xf numFmtId="9" fontId="0" fillId="11" borderId="5" xfId="2" applyFont="1" applyFill="1" applyBorder="1" applyAlignment="1">
      <alignment horizontal="center"/>
    </xf>
    <xf numFmtId="171" fontId="0" fillId="11" borderId="4" xfId="0" applyNumberFormat="1" applyFill="1" applyBorder="1" applyAlignment="1">
      <alignment horizontal="center"/>
    </xf>
    <xf numFmtId="171" fontId="0" fillId="11" borderId="5" xfId="0" applyNumberFormat="1" applyFill="1" applyBorder="1" applyAlignment="1">
      <alignment horizontal="center"/>
    </xf>
    <xf numFmtId="49" fontId="0" fillId="11" borderId="2" xfId="0" applyNumberFormat="1" applyFill="1" applyBorder="1" applyAlignment="1">
      <alignment horizontal="center"/>
    </xf>
    <xf numFmtId="166" fontId="10" fillId="2" borderId="1" xfId="1" applyFont="1" applyFill="1" applyBorder="1"/>
    <xf numFmtId="0" fontId="26" fillId="2" borderId="2" xfId="0" applyFont="1" applyFill="1" applyBorder="1" applyAlignment="1">
      <alignment horizontal="center"/>
    </xf>
    <xf numFmtId="0" fontId="0" fillId="7" borderId="5" xfId="0" applyFill="1" applyBorder="1"/>
    <xf numFmtId="167" fontId="2" fillId="7" borderId="42" xfId="1" applyNumberFormat="1" applyFont="1" applyFill="1" applyBorder="1"/>
    <xf numFmtId="167" fontId="0" fillId="7" borderId="7" xfId="1" applyNumberFormat="1" applyFont="1" applyFill="1" applyBorder="1"/>
    <xf numFmtId="166" fontId="0" fillId="7" borderId="7" xfId="1" applyFont="1" applyFill="1" applyBorder="1"/>
    <xf numFmtId="166" fontId="0" fillId="7" borderId="8" xfId="1" applyFont="1" applyFill="1" applyBorder="1"/>
    <xf numFmtId="166" fontId="0" fillId="7" borderId="9" xfId="1" applyFont="1" applyFill="1" applyBorder="1"/>
    <xf numFmtId="167" fontId="0" fillId="7" borderId="3" xfId="1" applyNumberFormat="1" applyFont="1" applyFill="1" applyBorder="1"/>
    <xf numFmtId="9" fontId="0" fillId="7" borderId="12" xfId="2" applyFont="1" applyFill="1" applyBorder="1" applyAlignment="1">
      <alignment horizontal="center"/>
    </xf>
    <xf numFmtId="9" fontId="0" fillId="7" borderId="13" xfId="2" applyFont="1" applyFill="1" applyBorder="1" applyAlignment="1">
      <alignment horizontal="center"/>
    </xf>
    <xf numFmtId="9" fontId="0" fillId="7" borderId="13" xfId="2" applyFont="1" applyFill="1" applyBorder="1"/>
    <xf numFmtId="9" fontId="0" fillId="7" borderId="3" xfId="2" applyFont="1" applyFill="1" applyBorder="1" applyAlignment="1">
      <alignment horizontal="center"/>
    </xf>
    <xf numFmtId="9" fontId="0" fillId="7" borderId="14" xfId="2" applyFont="1" applyFill="1" applyBorder="1" applyAlignment="1">
      <alignment horizontal="center"/>
    </xf>
    <xf numFmtId="0" fontId="2" fillId="7" borderId="12" xfId="0" applyFont="1" applyFill="1" applyBorder="1" applyAlignment="1">
      <alignment horizontal="left"/>
    </xf>
    <xf numFmtId="0" fontId="0" fillId="7" borderId="13" xfId="0" applyFill="1" applyBorder="1"/>
    <xf numFmtId="0" fontId="0" fillId="7" borderId="14" xfId="0" applyFill="1" applyBorder="1"/>
    <xf numFmtId="166" fontId="0" fillId="7" borderId="21" xfId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66" fontId="0" fillId="7" borderId="3" xfId="1" applyFont="1" applyFill="1" applyBorder="1" applyAlignment="1">
      <alignment horizontal="center"/>
    </xf>
    <xf numFmtId="166" fontId="0" fillId="7" borderId="12" xfId="1" applyFont="1" applyFill="1" applyBorder="1" applyAlignment="1">
      <alignment horizontal="center" vertical="center"/>
    </xf>
    <xf numFmtId="167" fontId="55" fillId="7" borderId="34" xfId="1" applyNumberFormat="1" applyFont="1" applyFill="1" applyBorder="1" applyAlignment="1">
      <alignment horizontal="center" vertical="center"/>
    </xf>
    <xf numFmtId="167" fontId="2" fillId="10" borderId="42" xfId="1" applyNumberFormat="1" applyFont="1" applyFill="1" applyBorder="1"/>
    <xf numFmtId="167" fontId="0" fillId="10" borderId="7" xfId="1" applyNumberFormat="1" applyFont="1" applyFill="1" applyBorder="1"/>
    <xf numFmtId="167" fontId="0" fillId="10" borderId="42" xfId="1" applyNumberFormat="1" applyFont="1" applyFill="1" applyBorder="1"/>
    <xf numFmtId="167" fontId="0" fillId="10" borderId="9" xfId="1" applyNumberFormat="1" applyFont="1" applyFill="1" applyBorder="1"/>
    <xf numFmtId="166" fontId="0" fillId="10" borderId="7" xfId="1" applyFont="1" applyFill="1" applyBorder="1"/>
    <xf numFmtId="166" fontId="0" fillId="10" borderId="8" xfId="1" applyFont="1" applyFill="1" applyBorder="1"/>
    <xf numFmtId="166" fontId="0" fillId="10" borderId="9" xfId="1" applyFont="1" applyFill="1" applyBorder="1"/>
    <xf numFmtId="167" fontId="0" fillId="10" borderId="3" xfId="1" applyNumberFormat="1" applyFont="1" applyFill="1" applyBorder="1"/>
    <xf numFmtId="9" fontId="0" fillId="10" borderId="12" xfId="2" applyFont="1" applyFill="1" applyBorder="1" applyAlignment="1">
      <alignment horizontal="center"/>
    </xf>
    <xf numFmtId="9" fontId="0" fillId="10" borderId="13" xfId="2" applyFont="1" applyFill="1" applyBorder="1" applyAlignment="1">
      <alignment horizontal="center"/>
    </xf>
    <xf numFmtId="9" fontId="0" fillId="10" borderId="13" xfId="2" applyFont="1" applyFill="1" applyBorder="1"/>
    <xf numFmtId="9" fontId="0" fillId="10" borderId="14" xfId="2" applyFont="1" applyFill="1" applyBorder="1" applyAlignment="1">
      <alignment horizontal="center"/>
    </xf>
    <xf numFmtId="0" fontId="2" fillId="10" borderId="12" xfId="0" applyFont="1" applyFill="1" applyBorder="1" applyAlignment="1">
      <alignment horizontal="left"/>
    </xf>
    <xf numFmtId="0" fontId="0" fillId="10" borderId="13" xfId="0" applyFill="1" applyBorder="1"/>
    <xf numFmtId="0" fontId="0" fillId="10" borderId="14" xfId="0" applyFill="1" applyBorder="1"/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/>
    <xf numFmtId="166" fontId="0" fillId="2" borderId="5" xfId="1" applyFont="1" applyFill="1" applyBorder="1"/>
    <xf numFmtId="9" fontId="0" fillId="2" borderId="5" xfId="2" applyFont="1" applyFill="1" applyBorder="1" applyAlignment="1">
      <alignment horizontal="center"/>
    </xf>
    <xf numFmtId="167" fontId="0" fillId="2" borderId="5" xfId="1" applyNumberFormat="1" applyFont="1" applyFill="1" applyBorder="1"/>
    <xf numFmtId="167" fontId="2" fillId="2" borderId="42" xfId="1" applyNumberFormat="1" applyFont="1" applyFill="1" applyBorder="1"/>
    <xf numFmtId="167" fontId="0" fillId="2" borderId="7" xfId="1" applyNumberFormat="1" applyFont="1" applyFill="1" applyBorder="1"/>
    <xf numFmtId="167" fontId="0" fillId="2" borderId="42" xfId="1" applyNumberFormat="1" applyFont="1" applyFill="1" applyBorder="1"/>
    <xf numFmtId="167" fontId="0" fillId="2" borderId="9" xfId="1" applyNumberFormat="1" applyFont="1" applyFill="1" applyBorder="1"/>
    <xf numFmtId="166" fontId="0" fillId="2" borderId="7" xfId="1" applyFont="1" applyFill="1" applyBorder="1"/>
    <xf numFmtId="166" fontId="0" fillId="2" borderId="8" xfId="1" applyFont="1" applyFill="1" applyBorder="1"/>
    <xf numFmtId="166" fontId="0" fillId="2" borderId="9" xfId="1" applyFont="1" applyFill="1" applyBorder="1"/>
    <xf numFmtId="167" fontId="0" fillId="2" borderId="3" xfId="1" applyNumberFormat="1" applyFont="1" applyFill="1" applyBorder="1"/>
    <xf numFmtId="9" fontId="0" fillId="2" borderId="12" xfId="2" applyFont="1" applyFill="1" applyBorder="1" applyAlignment="1">
      <alignment horizontal="center"/>
    </xf>
    <xf numFmtId="9" fontId="0" fillId="2" borderId="13" xfId="2" applyFont="1" applyFill="1" applyBorder="1" applyAlignment="1">
      <alignment horizontal="center"/>
    </xf>
    <xf numFmtId="9" fontId="0" fillId="2" borderId="13" xfId="2" applyFont="1" applyFill="1" applyBorder="1"/>
    <xf numFmtId="9" fontId="0" fillId="2" borderId="14" xfId="2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0" fillId="2" borderId="13" xfId="0" applyFill="1" applyBorder="1"/>
    <xf numFmtId="0" fontId="0" fillId="2" borderId="14" xfId="0" applyFill="1" applyBorder="1"/>
    <xf numFmtId="166" fontId="0" fillId="7" borderId="42" xfId="1" applyFont="1" applyFill="1" applyBorder="1" applyAlignment="1">
      <alignment horizontal="center"/>
    </xf>
    <xf numFmtId="9" fontId="0" fillId="7" borderId="42" xfId="2" applyFont="1" applyFill="1" applyBorder="1" applyAlignment="1">
      <alignment horizontal="center"/>
    </xf>
    <xf numFmtId="0" fontId="2" fillId="7" borderId="13" xfId="0" applyFont="1" applyFill="1" applyBorder="1" applyAlignment="1">
      <alignment horizontal="left"/>
    </xf>
    <xf numFmtId="0" fontId="0" fillId="2" borderId="42" xfId="0" applyFill="1" applyBorder="1" applyAlignment="1">
      <alignment horizontal="center"/>
    </xf>
    <xf numFmtId="166" fontId="0" fillId="2" borderId="42" xfId="1" applyFont="1" applyFill="1" applyBorder="1" applyAlignment="1">
      <alignment horizontal="center"/>
    </xf>
    <xf numFmtId="9" fontId="0" fillId="2" borderId="42" xfId="2" applyFont="1" applyFill="1" applyBorder="1" applyAlignment="1">
      <alignment horizontal="center"/>
    </xf>
    <xf numFmtId="166" fontId="0" fillId="2" borderId="10" xfId="1" applyFont="1" applyFill="1" applyBorder="1"/>
    <xf numFmtId="0" fontId="15" fillId="11" borderId="5" xfId="0" applyFont="1" applyFill="1" applyBorder="1" applyAlignment="1">
      <alignment horizontal="center"/>
    </xf>
    <xf numFmtId="49" fontId="15" fillId="11" borderId="5" xfId="0" applyNumberFormat="1" applyFont="1" applyFill="1" applyBorder="1" applyAlignment="1">
      <alignment horizontal="center"/>
    </xf>
    <xf numFmtId="0" fontId="15" fillId="11" borderId="5" xfId="0" applyFont="1" applyFill="1" applyBorder="1"/>
    <xf numFmtId="9" fontId="15" fillId="11" borderId="5" xfId="2" applyFont="1" applyFill="1" applyBorder="1" applyAlignment="1">
      <alignment horizontal="center"/>
    </xf>
    <xf numFmtId="166" fontId="14" fillId="11" borderId="2" xfId="1" applyFont="1" applyFill="1" applyBorder="1"/>
    <xf numFmtId="9" fontId="14" fillId="11" borderId="1" xfId="2" applyFont="1" applyFill="1" applyBorder="1" applyAlignment="1">
      <alignment horizontal="center"/>
    </xf>
    <xf numFmtId="170" fontId="15" fillId="11" borderId="0" xfId="1" applyNumberFormat="1" applyFont="1" applyFill="1"/>
    <xf numFmtId="0" fontId="0" fillId="0" borderId="51" xfId="0" applyBorder="1"/>
    <xf numFmtId="0" fontId="0" fillId="0" borderId="52" xfId="0" applyBorder="1"/>
    <xf numFmtId="0" fontId="0" fillId="0" borderId="44" xfId="0" applyBorder="1" applyAlignment="1">
      <alignment horizontal="center"/>
    </xf>
    <xf numFmtId="0" fontId="0" fillId="0" borderId="98" xfId="0" applyBorder="1" applyAlignment="1">
      <alignment horizontal="center"/>
    </xf>
    <xf numFmtId="0" fontId="0" fillId="2" borderId="12" xfId="0" applyFill="1" applyBorder="1"/>
    <xf numFmtId="166" fontId="2" fillId="11" borderId="2" xfId="1" applyFont="1" applyFill="1" applyBorder="1"/>
    <xf numFmtId="9" fontId="2" fillId="11" borderId="1" xfId="2" applyFont="1" applyFill="1" applyBorder="1" applyAlignment="1">
      <alignment horizontal="center"/>
    </xf>
    <xf numFmtId="166" fontId="14" fillId="11" borderId="1" xfId="2" applyNumberFormat="1" applyFont="1" applyFill="1" applyBorder="1" applyAlignment="1">
      <alignment horizontal="center"/>
    </xf>
    <xf numFmtId="0" fontId="15" fillId="0" borderId="0" xfId="0" applyFont="1"/>
    <xf numFmtId="166" fontId="0" fillId="7" borderId="21" xfId="1" applyFont="1" applyFill="1" applyBorder="1"/>
    <xf numFmtId="0" fontId="2" fillId="7" borderId="28" xfId="0" applyFont="1" applyFill="1" applyBorder="1" applyAlignment="1">
      <alignment horizontal="left"/>
    </xf>
    <xf numFmtId="166" fontId="24" fillId="2" borderId="1" xfId="1" applyFont="1" applyFill="1" applyBorder="1"/>
    <xf numFmtId="0" fontId="24" fillId="2" borderId="5" xfId="0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/>
    </xf>
    <xf numFmtId="166" fontId="0" fillId="0" borderId="3" xfId="1" applyFont="1" applyFill="1" applyBorder="1"/>
    <xf numFmtId="9" fontId="0" fillId="0" borderId="3" xfId="2" applyFont="1" applyFill="1" applyBorder="1" applyAlignment="1">
      <alignment horizontal="center"/>
    </xf>
    <xf numFmtId="9" fontId="30" fillId="0" borderId="10" xfId="2" applyFont="1" applyFill="1" applyBorder="1" applyAlignment="1">
      <alignment horizontal="center"/>
    </xf>
    <xf numFmtId="167" fontId="0" fillId="2" borderId="10" xfId="0" applyNumberFormat="1" applyFill="1" applyBorder="1"/>
    <xf numFmtId="167" fontId="0" fillId="2" borderId="0" xfId="0" applyNumberFormat="1" applyFill="1"/>
    <xf numFmtId="0" fontId="0" fillId="2" borderId="11" xfId="0" applyFill="1" applyBorder="1"/>
    <xf numFmtId="0" fontId="26" fillId="2" borderId="2" xfId="0" applyFont="1" applyFill="1" applyBorder="1"/>
    <xf numFmtId="9" fontId="74" fillId="0" borderId="10" xfId="2" applyFont="1" applyFill="1" applyBorder="1" applyAlignment="1">
      <alignment horizontal="center"/>
    </xf>
    <xf numFmtId="166" fontId="0" fillId="7" borderId="10" xfId="1" applyFont="1" applyFill="1" applyBorder="1"/>
    <xf numFmtId="0" fontId="0" fillId="7" borderId="11" xfId="0" applyFill="1" applyBorder="1"/>
    <xf numFmtId="166" fontId="0" fillId="10" borderId="10" xfId="1" applyFont="1" applyFill="1" applyBorder="1" applyAlignment="1">
      <alignment horizontal="center" vertical="center"/>
    </xf>
    <xf numFmtId="167" fontId="0" fillId="10" borderId="11" xfId="1" applyNumberFormat="1" applyFont="1" applyFill="1" applyBorder="1"/>
    <xf numFmtId="0" fontId="2" fillId="10" borderId="13" xfId="0" applyFont="1" applyFill="1" applyBorder="1" applyAlignment="1">
      <alignment horizontal="left"/>
    </xf>
    <xf numFmtId="0" fontId="0" fillId="10" borderId="11" xfId="0" applyFill="1" applyBorder="1"/>
    <xf numFmtId="166" fontId="0" fillId="2" borderId="10" xfId="1" applyFont="1" applyFill="1" applyBorder="1" applyAlignment="1">
      <alignment horizontal="center" vertical="center"/>
    </xf>
    <xf numFmtId="166" fontId="0" fillId="2" borderId="11" xfId="1" applyFont="1" applyFill="1" applyBorder="1"/>
    <xf numFmtId="0" fontId="2" fillId="2" borderId="13" xfId="0" applyFont="1" applyFill="1" applyBorder="1" applyAlignment="1">
      <alignment horizontal="left"/>
    </xf>
    <xf numFmtId="166" fontId="14" fillId="11" borderId="1" xfId="1" applyFont="1" applyFill="1" applyBorder="1"/>
    <xf numFmtId="166" fontId="47" fillId="0" borderId="0" xfId="1" applyFont="1" applyAlignment="1">
      <alignment horizontal="center"/>
    </xf>
    <xf numFmtId="0" fontId="49" fillId="0" borderId="0" xfId="0" applyFont="1"/>
    <xf numFmtId="0" fontId="49" fillId="5" borderId="1" xfId="0" applyFont="1" applyFill="1" applyBorder="1"/>
    <xf numFmtId="166" fontId="49" fillId="5" borderId="1" xfId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166" fontId="49" fillId="0" borderId="0" xfId="1" applyFont="1" applyFill="1" applyBorder="1" applyAlignment="1">
      <alignment horizontal="center"/>
    </xf>
    <xf numFmtId="0" fontId="79" fillId="0" borderId="0" xfId="0" applyFont="1"/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166" fontId="80" fillId="0" borderId="0" xfId="1" applyFont="1" applyAlignment="1">
      <alignment horizontal="center"/>
    </xf>
    <xf numFmtId="165" fontId="80" fillId="0" borderId="0" xfId="0" applyNumberFormat="1" applyFont="1" applyAlignment="1">
      <alignment horizontal="center"/>
    </xf>
    <xf numFmtId="166" fontId="80" fillId="0" borderId="0" xfId="1" applyFont="1"/>
    <xf numFmtId="165" fontId="4" fillId="0" borderId="0" xfId="0" applyNumberFormat="1" applyFont="1" applyAlignment="1">
      <alignment horizontal="center"/>
    </xf>
    <xf numFmtId="166" fontId="55" fillId="7" borderId="39" xfId="1" applyFont="1" applyFill="1" applyBorder="1" applyAlignment="1">
      <alignment horizontal="center" vertical="center"/>
    </xf>
    <xf numFmtId="9" fontId="50" fillId="2" borderId="1" xfId="2" applyFont="1" applyFill="1" applyBorder="1" applyAlignment="1">
      <alignment horizontal="center" vertical="center"/>
    </xf>
    <xf numFmtId="166" fontId="26" fillId="2" borderId="4" xfId="1" applyFont="1" applyFill="1" applyBorder="1" applyAlignment="1">
      <alignment horizontal="center"/>
    </xf>
    <xf numFmtId="166" fontId="26" fillId="2" borderId="2" xfId="1" applyFont="1" applyFill="1" applyBorder="1" applyAlignment="1">
      <alignment horizontal="center"/>
    </xf>
    <xf numFmtId="166" fontId="26" fillId="2" borderId="5" xfId="1" applyFont="1" applyFill="1" applyBorder="1" applyAlignment="1">
      <alignment horizontal="center"/>
    </xf>
    <xf numFmtId="166" fontId="52" fillId="0" borderId="6" xfId="1" applyFont="1" applyBorder="1" applyAlignment="1">
      <alignment horizontal="center" vertical="center" wrapText="1"/>
    </xf>
    <xf numFmtId="166" fontId="52" fillId="0" borderId="11" xfId="1" applyFont="1" applyBorder="1" applyAlignment="1">
      <alignment horizontal="center" vertical="center" wrapText="1"/>
    </xf>
    <xf numFmtId="166" fontId="52" fillId="9" borderId="6" xfId="1" applyFont="1" applyFill="1" applyBorder="1" applyAlignment="1">
      <alignment horizontal="center" vertical="center" wrapText="1"/>
    </xf>
    <xf numFmtId="9" fontId="52" fillId="9" borderId="6" xfId="2" applyFont="1" applyFill="1" applyBorder="1" applyAlignment="1">
      <alignment horizontal="center" vertical="center" wrapText="1"/>
    </xf>
    <xf numFmtId="166" fontId="8" fillId="0" borderId="6" xfId="1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9" fontId="53" fillId="0" borderId="6" xfId="2" applyFont="1" applyBorder="1" applyAlignment="1">
      <alignment horizontal="center" vertical="center"/>
    </xf>
    <xf numFmtId="166" fontId="8" fillId="0" borderId="6" xfId="1" applyFont="1" applyFill="1" applyBorder="1" applyAlignment="1">
      <alignment horizontal="center" vertical="center"/>
    </xf>
    <xf numFmtId="166" fontId="8" fillId="0" borderId="1" xfId="1" applyFont="1" applyFill="1" applyBorder="1" applyAlignment="1">
      <alignment horizontal="center" vertical="center"/>
    </xf>
    <xf numFmtId="166" fontId="8" fillId="0" borderId="1" xfId="1" applyFont="1" applyBorder="1" applyAlignment="1">
      <alignment horizontal="center"/>
    </xf>
    <xf numFmtId="166" fontId="8" fillId="0" borderId="1" xfId="1" applyFont="1" applyBorder="1" applyAlignment="1">
      <alignment horizontal="center" vertical="center"/>
    </xf>
    <xf numFmtId="9" fontId="8" fillId="0" borderId="1" xfId="2" applyFont="1" applyBorder="1" applyAlignment="1">
      <alignment horizontal="center"/>
    </xf>
    <xf numFmtId="166" fontId="4" fillId="0" borderId="11" xfId="1" applyFont="1" applyBorder="1" applyAlignment="1">
      <alignment horizontal="center"/>
    </xf>
    <xf numFmtId="9" fontId="4" fillId="0" borderId="6" xfId="2" applyFont="1" applyBorder="1" applyAlignment="1">
      <alignment horizontal="center"/>
    </xf>
    <xf numFmtId="166" fontId="4" fillId="7" borderId="59" xfId="1" applyFont="1" applyFill="1" applyBorder="1" applyAlignment="1">
      <alignment horizontal="center"/>
    </xf>
    <xf numFmtId="166" fontId="4" fillId="7" borderId="80" xfId="1" applyFont="1" applyFill="1" applyBorder="1" applyAlignment="1">
      <alignment horizontal="center"/>
    </xf>
    <xf numFmtId="9" fontId="4" fillId="7" borderId="20" xfId="0" applyNumberFormat="1" applyFont="1" applyFill="1" applyBorder="1" applyAlignment="1">
      <alignment horizontal="center"/>
    </xf>
    <xf numFmtId="166" fontId="2" fillId="7" borderId="19" xfId="1" applyFont="1" applyFill="1" applyBorder="1"/>
    <xf numFmtId="166" fontId="0" fillId="7" borderId="38" xfId="1" applyFont="1" applyFill="1" applyBorder="1"/>
    <xf numFmtId="166" fontId="4" fillId="7" borderId="54" xfId="1" applyFont="1" applyFill="1" applyBorder="1" applyAlignment="1">
      <alignment horizontal="center"/>
    </xf>
    <xf numFmtId="166" fontId="4" fillId="7" borderId="55" xfId="1" applyFont="1" applyFill="1" applyBorder="1" applyAlignment="1">
      <alignment horizontal="center"/>
    </xf>
    <xf numFmtId="165" fontId="5" fillId="7" borderId="26" xfId="0" applyNumberFormat="1" applyFont="1" applyFill="1" applyBorder="1" applyAlignment="1">
      <alignment horizontal="center"/>
    </xf>
    <xf numFmtId="166" fontId="0" fillId="7" borderId="26" xfId="1" applyFont="1" applyFill="1" applyBorder="1"/>
    <xf numFmtId="166" fontId="2" fillId="7" borderId="28" xfId="1" applyFont="1" applyFill="1" applyBorder="1" applyAlignment="1">
      <alignment horizontal="left"/>
    </xf>
    <xf numFmtId="166" fontId="0" fillId="7" borderId="31" xfId="1" applyFont="1" applyFill="1" applyBorder="1"/>
    <xf numFmtId="166" fontId="0" fillId="7" borderId="32" xfId="1" applyFont="1" applyFill="1" applyBorder="1"/>
    <xf numFmtId="0" fontId="82" fillId="0" borderId="13" xfId="0" applyFont="1" applyBorder="1" applyAlignment="1">
      <alignment horizontal="center"/>
    </xf>
    <xf numFmtId="1" fontId="82" fillId="0" borderId="13" xfId="0" applyNumberFormat="1" applyFont="1" applyBorder="1" applyAlignment="1">
      <alignment horizontal="center"/>
    </xf>
    <xf numFmtId="166" fontId="82" fillId="0" borderId="13" xfId="1" applyFont="1" applyBorder="1" applyAlignment="1">
      <alignment horizontal="left"/>
    </xf>
    <xf numFmtId="166" fontId="82" fillId="0" borderId="13" xfId="1" applyFont="1" applyBorder="1" applyAlignment="1">
      <alignment horizontal="center"/>
    </xf>
    <xf numFmtId="166" fontId="82" fillId="0" borderId="14" xfId="1" applyFont="1" applyBorder="1" applyAlignment="1">
      <alignment horizontal="center"/>
    </xf>
    <xf numFmtId="9" fontId="82" fillId="0" borderId="6" xfId="2" applyFont="1" applyBorder="1" applyAlignment="1">
      <alignment horizontal="center"/>
    </xf>
    <xf numFmtId="0" fontId="2" fillId="0" borderId="6" xfId="1" applyNumberFormat="1" applyFont="1" applyBorder="1" applyAlignment="1">
      <alignment horizontal="center"/>
    </xf>
    <xf numFmtId="0" fontId="2" fillId="0" borderId="11" xfId="1" applyNumberFormat="1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173" fontId="83" fillId="0" borderId="5" xfId="0" applyNumberFormat="1" applyFont="1" applyBorder="1" applyAlignment="1">
      <alignment horizontal="center"/>
    </xf>
    <xf numFmtId="1" fontId="82" fillId="0" borderId="5" xfId="0" applyNumberFormat="1" applyFont="1" applyBorder="1" applyAlignment="1">
      <alignment horizontal="center"/>
    </xf>
    <xf numFmtId="166" fontId="82" fillId="0" borderId="5" xfId="1" applyFont="1" applyBorder="1" applyAlignment="1">
      <alignment horizontal="left"/>
    </xf>
    <xf numFmtId="166" fontId="82" fillId="0" borderId="5" xfId="1" applyFont="1" applyBorder="1" applyAlignment="1">
      <alignment horizontal="center"/>
    </xf>
    <xf numFmtId="166" fontId="82" fillId="0" borderId="2" xfId="1" applyFont="1" applyBorder="1" applyAlignment="1">
      <alignment horizontal="center"/>
    </xf>
    <xf numFmtId="166" fontId="19" fillId="7" borderId="17" xfId="1" applyFont="1" applyFill="1" applyBorder="1"/>
    <xf numFmtId="166" fontId="82" fillId="0" borderId="0" xfId="1" applyFont="1"/>
    <xf numFmtId="9" fontId="82" fillId="0" borderId="3" xfId="2" applyFont="1" applyBorder="1" applyAlignment="1">
      <alignment horizontal="center"/>
    </xf>
    <xf numFmtId="166" fontId="5" fillId="0" borderId="0" xfId="1" applyFont="1" applyAlignment="1">
      <alignment horizontal="center"/>
    </xf>
    <xf numFmtId="166" fontId="5" fillId="0" borderId="0" xfId="1" applyFont="1"/>
    <xf numFmtId="0" fontId="0" fillId="7" borderId="116" xfId="0" applyFill="1" applyBorder="1" applyAlignment="1">
      <alignment horizontal="center"/>
    </xf>
    <xf numFmtId="166" fontId="0" fillId="7" borderId="116" xfId="1" applyFont="1" applyFill="1" applyBorder="1" applyAlignment="1">
      <alignment horizontal="center"/>
    </xf>
    <xf numFmtId="166" fontId="0" fillId="7" borderId="118" xfId="1" applyFont="1" applyFill="1" applyBorder="1" applyAlignment="1">
      <alignment horizontal="center" vertical="center"/>
    </xf>
    <xf numFmtId="166" fontId="67" fillId="7" borderId="23" xfId="1" applyFont="1" applyFill="1" applyBorder="1" applyAlignment="1">
      <alignment horizontal="center" vertical="center"/>
    </xf>
    <xf numFmtId="166" fontId="67" fillId="7" borderId="81" xfId="1" applyFont="1" applyFill="1" applyBorder="1" applyAlignment="1">
      <alignment horizontal="center" vertical="center"/>
    </xf>
    <xf numFmtId="9" fontId="85" fillId="2" borderId="1" xfId="2" applyFont="1" applyFill="1" applyBorder="1" applyAlignment="1">
      <alignment horizontal="center" vertical="center"/>
    </xf>
    <xf numFmtId="166" fontId="5" fillId="2" borderId="4" xfId="1" applyFont="1" applyFill="1" applyBorder="1" applyAlignment="1">
      <alignment horizontal="center" vertical="center"/>
    </xf>
    <xf numFmtId="166" fontId="2" fillId="2" borderId="4" xfId="1" applyFont="1" applyFill="1" applyBorder="1" applyAlignment="1">
      <alignment horizontal="center"/>
    </xf>
    <xf numFmtId="166" fontId="2" fillId="2" borderId="2" xfId="1" applyFont="1" applyFill="1" applyBorder="1" applyAlignment="1">
      <alignment horizontal="center"/>
    </xf>
    <xf numFmtId="166" fontId="2" fillId="2" borderId="5" xfId="1" applyFont="1" applyFill="1" applyBorder="1" applyAlignment="1">
      <alignment horizontal="center"/>
    </xf>
    <xf numFmtId="0" fontId="52" fillId="0" borderId="6" xfId="4" applyFont="1" applyBorder="1" applyAlignment="1">
      <alignment vertical="center"/>
    </xf>
    <xf numFmtId="166" fontId="52" fillId="0" borderId="10" xfId="1" applyFont="1" applyBorder="1" applyAlignment="1">
      <alignment horizontal="center" vertical="center" wrapText="1"/>
    </xf>
    <xf numFmtId="166" fontId="52" fillId="0" borderId="0" xfId="1" applyFont="1" applyBorder="1" applyAlignment="1">
      <alignment horizontal="center" vertical="center" wrapText="1"/>
    </xf>
    <xf numFmtId="166" fontId="5" fillId="0" borderId="10" xfId="1" applyFont="1" applyBorder="1" applyAlignment="1">
      <alignment horizontal="center"/>
    </xf>
    <xf numFmtId="166" fontId="5" fillId="0" borderId="11" xfId="1" applyFont="1" applyBorder="1" applyAlignment="1">
      <alignment horizontal="center"/>
    </xf>
    <xf numFmtId="166" fontId="5" fillId="0" borderId="0" xfId="1" applyFont="1" applyBorder="1" applyAlignment="1">
      <alignment horizontal="center"/>
    </xf>
    <xf numFmtId="166" fontId="5" fillId="0" borderId="0" xfId="1" applyFont="1" applyBorder="1"/>
    <xf numFmtId="166" fontId="5" fillId="0" borderId="11" xfId="1" applyFont="1" applyBorder="1"/>
    <xf numFmtId="49" fontId="7" fillId="0" borderId="6" xfId="0" applyNumberFormat="1" applyFont="1" applyBorder="1" applyAlignment="1">
      <alignment horizontal="center"/>
    </xf>
    <xf numFmtId="0" fontId="8" fillId="9" borderId="0" xfId="3" applyFont="1" applyFill="1" applyAlignment="1">
      <alignment horizontal="center" vertical="center" wrapText="1"/>
    </xf>
    <xf numFmtId="0" fontId="8" fillId="9" borderId="0" xfId="3" applyFont="1" applyFill="1" applyAlignment="1">
      <alignment horizontal="center" vertical="center"/>
    </xf>
    <xf numFmtId="166" fontId="8" fillId="0" borderId="10" xfId="1" applyFont="1" applyFill="1" applyBorder="1" applyAlignment="1">
      <alignment horizontal="center" vertical="center"/>
    </xf>
    <xf numFmtId="166" fontId="8" fillId="0" borderId="11" xfId="1" applyFont="1" applyFill="1" applyBorder="1" applyAlignment="1">
      <alignment horizontal="center" vertical="center"/>
    </xf>
    <xf numFmtId="166" fontId="8" fillId="0" borderId="10" xfId="1" applyFont="1" applyBorder="1" applyAlignment="1">
      <alignment horizontal="center"/>
    </xf>
    <xf numFmtId="166" fontId="8" fillId="0" borderId="11" xfId="1" applyFont="1" applyBorder="1" applyAlignment="1">
      <alignment horizontal="center"/>
    </xf>
    <xf numFmtId="166" fontId="8" fillId="0" borderId="0" xfId="1" applyFont="1" applyBorder="1" applyAlignment="1">
      <alignment horizontal="center"/>
    </xf>
    <xf numFmtId="166" fontId="8" fillId="0" borderId="0" xfId="1" applyFont="1" applyBorder="1"/>
    <xf numFmtId="166" fontId="8" fillId="0" borderId="11" xfId="1" applyFont="1" applyBorder="1"/>
    <xf numFmtId="166" fontId="8" fillId="0" borderId="10" xfId="1" applyFont="1" applyBorder="1" applyAlignment="1">
      <alignment horizontal="center" vertical="center"/>
    </xf>
    <xf numFmtId="166" fontId="86" fillId="0" borderId="10" xfId="1" applyFont="1" applyFill="1" applyBorder="1" applyAlignment="1">
      <alignment horizontal="center" vertical="center"/>
    </xf>
    <xf numFmtId="166" fontId="4" fillId="0" borderId="10" xfId="1" applyFont="1" applyBorder="1" applyAlignment="1">
      <alignment horizontal="center"/>
    </xf>
    <xf numFmtId="166" fontId="4" fillId="0" borderId="0" xfId="1" applyFont="1" applyBorder="1" applyAlignment="1">
      <alignment horizontal="center"/>
    </xf>
    <xf numFmtId="166" fontId="4" fillId="0" borderId="0" xfId="1" applyFont="1" applyBorder="1"/>
    <xf numFmtId="166" fontId="4" fillId="0" borderId="11" xfId="1" applyFont="1" applyBorder="1"/>
    <xf numFmtId="166" fontId="4" fillId="7" borderId="19" xfId="1" applyFont="1" applyFill="1" applyBorder="1" applyAlignment="1">
      <alignment horizontal="center"/>
    </xf>
    <xf numFmtId="166" fontId="4" fillId="7" borderId="21" xfId="1" applyFont="1" applyFill="1" applyBorder="1" applyAlignment="1">
      <alignment horizontal="center"/>
    </xf>
    <xf numFmtId="166" fontId="4" fillId="7" borderId="37" xfId="1" applyFont="1" applyFill="1" applyBorder="1" applyAlignment="1">
      <alignment horizontal="center"/>
    </xf>
    <xf numFmtId="166" fontId="4" fillId="7" borderId="38" xfId="1" applyFont="1" applyFill="1" applyBorder="1" applyAlignment="1">
      <alignment horizontal="center"/>
    </xf>
    <xf numFmtId="166" fontId="4" fillId="7" borderId="62" xfId="1" applyFont="1" applyFill="1" applyBorder="1" applyAlignment="1">
      <alignment horizontal="center"/>
    </xf>
    <xf numFmtId="166" fontId="4" fillId="7" borderId="26" xfId="1" applyFont="1" applyFill="1" applyBorder="1" applyAlignment="1">
      <alignment horizontal="center"/>
    </xf>
    <xf numFmtId="9" fontId="4" fillId="7" borderId="28" xfId="2" applyFont="1" applyFill="1" applyBorder="1" applyAlignment="1">
      <alignment horizontal="center"/>
    </xf>
    <xf numFmtId="9" fontId="4" fillId="7" borderId="31" xfId="2" applyFont="1" applyFill="1" applyBorder="1" applyAlignment="1">
      <alignment horizontal="center"/>
    </xf>
    <xf numFmtId="9" fontId="4" fillId="7" borderId="83" xfId="2" applyFont="1" applyFill="1" applyBorder="1" applyAlignment="1">
      <alignment horizontal="center"/>
    </xf>
    <xf numFmtId="166" fontId="4" fillId="7" borderId="28" xfId="1" applyFont="1" applyFill="1" applyBorder="1" applyAlignment="1">
      <alignment horizontal="center"/>
    </xf>
    <xf numFmtId="166" fontId="4" fillId="7" borderId="31" xfId="1" applyFont="1" applyFill="1" applyBorder="1" applyAlignment="1">
      <alignment horizontal="center"/>
    </xf>
    <xf numFmtId="166" fontId="4" fillId="7" borderId="31" xfId="1" applyFont="1" applyFill="1" applyBorder="1"/>
    <xf numFmtId="166" fontId="4" fillId="7" borderId="32" xfId="1" applyFont="1" applyFill="1" applyBorder="1"/>
    <xf numFmtId="1" fontId="2" fillId="0" borderId="6" xfId="1" applyNumberFormat="1" applyFont="1" applyBorder="1" applyAlignment="1">
      <alignment horizontal="center"/>
    </xf>
    <xf numFmtId="1" fontId="2" fillId="0" borderId="11" xfId="1" applyNumberFormat="1" applyFont="1" applyBorder="1" applyAlignment="1">
      <alignment horizontal="center"/>
    </xf>
    <xf numFmtId="0" fontId="0" fillId="10" borderId="116" xfId="0" applyFill="1" applyBorder="1" applyAlignment="1">
      <alignment horizontal="center"/>
    </xf>
    <xf numFmtId="166" fontId="0" fillId="10" borderId="116" xfId="1" applyFont="1" applyFill="1" applyBorder="1" applyAlignment="1">
      <alignment horizontal="center"/>
    </xf>
    <xf numFmtId="166" fontId="0" fillId="10" borderId="118" xfId="1" applyFont="1" applyFill="1" applyBorder="1" applyAlignment="1">
      <alignment horizontal="center" vertical="center"/>
    </xf>
    <xf numFmtId="166" fontId="55" fillId="10" borderId="23" xfId="1" applyFont="1" applyFill="1" applyBorder="1" applyAlignment="1">
      <alignment horizontal="center" vertical="center"/>
    </xf>
    <xf numFmtId="166" fontId="55" fillId="10" borderId="81" xfId="1" applyFont="1" applyFill="1" applyBorder="1" applyAlignment="1">
      <alignment horizontal="center" vertical="center"/>
    </xf>
    <xf numFmtId="166" fontId="50" fillId="2" borderId="1" xfId="1" applyFont="1" applyFill="1" applyBorder="1" applyAlignment="1">
      <alignment horizontal="center" vertical="center"/>
    </xf>
    <xf numFmtId="0" fontId="88" fillId="0" borderId="6" xfId="4" applyFont="1" applyBorder="1" applyAlignment="1">
      <alignment vertical="center"/>
    </xf>
    <xf numFmtId="0" fontId="5" fillId="9" borderId="6" xfId="5" applyFont="1" applyFill="1" applyBorder="1" applyAlignment="1">
      <alignment horizontal="center" vertical="center"/>
    </xf>
    <xf numFmtId="0" fontId="5" fillId="9" borderId="0" xfId="3" applyFont="1" applyFill="1" applyAlignment="1">
      <alignment horizontal="center" vertical="center" wrapText="1"/>
    </xf>
    <xf numFmtId="0" fontId="5" fillId="9" borderId="0" xfId="3" applyFont="1" applyFill="1" applyAlignment="1">
      <alignment horizontal="center" vertical="center"/>
    </xf>
    <xf numFmtId="17" fontId="5" fillId="9" borderId="0" xfId="3" applyNumberFormat="1" applyFont="1" applyFill="1" applyAlignment="1">
      <alignment horizontal="center" vertical="center" wrapText="1"/>
    </xf>
    <xf numFmtId="1" fontId="5" fillId="0" borderId="6" xfId="3" applyNumberFormat="1" applyFont="1" applyBorder="1" applyAlignment="1">
      <alignment horizontal="center" vertical="center" wrapText="1"/>
    </xf>
    <xf numFmtId="166" fontId="5" fillId="0" borderId="6" xfId="1" applyFont="1" applyBorder="1" applyAlignment="1">
      <alignment horizontal="center" vertical="center" wrapText="1"/>
    </xf>
    <xf numFmtId="166" fontId="5" fillId="0" borderId="11" xfId="1" applyFont="1" applyBorder="1" applyAlignment="1">
      <alignment horizontal="center" vertical="center" wrapText="1"/>
    </xf>
    <xf numFmtId="166" fontId="5" fillId="9" borderId="6" xfId="1" applyFont="1" applyFill="1" applyBorder="1" applyAlignment="1">
      <alignment horizontal="center" vertical="center" wrapText="1"/>
    </xf>
    <xf numFmtId="9" fontId="5" fillId="9" borderId="6" xfId="2" applyFont="1" applyFill="1" applyBorder="1" applyAlignment="1">
      <alignment horizontal="center" vertical="center" wrapText="1"/>
    </xf>
    <xf numFmtId="166" fontId="5" fillId="0" borderId="10" xfId="1" applyFont="1" applyBorder="1" applyAlignment="1">
      <alignment horizontal="center" vertical="center" wrapText="1"/>
    </xf>
    <xf numFmtId="166" fontId="5" fillId="0" borderId="0" xfId="1" applyFont="1" applyBorder="1" applyAlignment="1">
      <alignment horizontal="center" vertical="center" wrapText="1"/>
    </xf>
    <xf numFmtId="9" fontId="89" fillId="0" borderId="6" xfId="2" applyFont="1" applyBorder="1" applyAlignment="1">
      <alignment horizontal="center" vertical="center"/>
    </xf>
    <xf numFmtId="0" fontId="49" fillId="0" borderId="10" xfId="0" applyFont="1" applyBorder="1"/>
    <xf numFmtId="166" fontId="49" fillId="0" borderId="0" xfId="1" applyFont="1" applyAlignment="1">
      <alignment horizontal="center"/>
    </xf>
    <xf numFmtId="166" fontId="49" fillId="0" borderId="11" xfId="1" applyFont="1" applyBorder="1" applyAlignment="1">
      <alignment horizontal="center"/>
    </xf>
    <xf numFmtId="9" fontId="49" fillId="0" borderId="6" xfId="2" applyFont="1" applyBorder="1" applyAlignment="1">
      <alignment horizontal="center"/>
    </xf>
    <xf numFmtId="166" fontId="49" fillId="0" borderId="6" xfId="1" applyFont="1" applyBorder="1" applyAlignment="1">
      <alignment horizontal="center"/>
    </xf>
    <xf numFmtId="166" fontId="49" fillId="0" borderId="10" xfId="1" applyFont="1" applyBorder="1" applyAlignment="1">
      <alignment horizontal="center"/>
    </xf>
    <xf numFmtId="166" fontId="49" fillId="0" borderId="0" xfId="1" applyFont="1" applyBorder="1" applyAlignment="1">
      <alignment horizontal="center"/>
    </xf>
    <xf numFmtId="166" fontId="49" fillId="0" borderId="0" xfId="1" applyFont="1" applyBorder="1"/>
    <xf numFmtId="166" fontId="49" fillId="0" borderId="11" xfId="1" applyFont="1" applyBorder="1"/>
    <xf numFmtId="0" fontId="4" fillId="10" borderId="4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1" fontId="4" fillId="10" borderId="5" xfId="0" applyNumberFormat="1" applyFont="1" applyFill="1" applyBorder="1" applyAlignment="1">
      <alignment horizontal="center"/>
    </xf>
    <xf numFmtId="166" fontId="4" fillId="10" borderId="5" xfId="1" applyFont="1" applyFill="1" applyBorder="1" applyAlignment="1">
      <alignment horizontal="center"/>
    </xf>
    <xf numFmtId="166" fontId="4" fillId="10" borderId="2" xfId="1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166" fontId="4" fillId="10" borderId="1" xfId="1" applyFont="1" applyFill="1" applyBorder="1" applyAlignment="1">
      <alignment horizontal="center"/>
    </xf>
    <xf numFmtId="166" fontId="4" fillId="10" borderId="4" xfId="1" applyFont="1" applyFill="1" applyBorder="1" applyAlignment="1">
      <alignment horizontal="center"/>
    </xf>
    <xf numFmtId="166" fontId="4" fillId="10" borderId="5" xfId="1" applyFont="1" applyFill="1" applyBorder="1"/>
    <xf numFmtId="166" fontId="4" fillId="10" borderId="2" xfId="1" applyFont="1" applyFill="1" applyBorder="1"/>
    <xf numFmtId="1" fontId="5" fillId="10" borderId="5" xfId="0" applyNumberFormat="1" applyFont="1" applyFill="1" applyBorder="1" applyAlignment="1">
      <alignment horizontal="center"/>
    </xf>
    <xf numFmtId="165" fontId="5" fillId="10" borderId="3" xfId="0" applyNumberFormat="1" applyFont="1" applyFill="1" applyBorder="1" applyAlignment="1">
      <alignment horizontal="center"/>
    </xf>
    <xf numFmtId="166" fontId="4" fillId="10" borderId="13" xfId="1" applyFont="1" applyFill="1" applyBorder="1" applyAlignment="1">
      <alignment horizontal="center"/>
    </xf>
    <xf numFmtId="9" fontId="4" fillId="10" borderId="13" xfId="2" applyFont="1" applyFill="1" applyBorder="1" applyAlignment="1">
      <alignment horizontal="center"/>
    </xf>
    <xf numFmtId="166" fontId="4" fillId="10" borderId="13" xfId="1" applyFont="1" applyFill="1" applyBorder="1"/>
    <xf numFmtId="166" fontId="4" fillId="10" borderId="14" xfId="1" applyFont="1" applyFill="1" applyBorder="1"/>
    <xf numFmtId="0" fontId="7" fillId="0" borderId="12" xfId="0" applyFont="1" applyBorder="1"/>
    <xf numFmtId="0" fontId="8" fillId="0" borderId="13" xfId="0" applyFont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166" fontId="8" fillId="0" borderId="13" xfId="1" applyFont="1" applyBorder="1" applyAlignment="1">
      <alignment horizontal="left"/>
    </xf>
    <xf numFmtId="166" fontId="8" fillId="0" borderId="13" xfId="1" applyFont="1" applyBorder="1" applyAlignment="1">
      <alignment horizontal="center"/>
    </xf>
    <xf numFmtId="166" fontId="8" fillId="0" borderId="14" xfId="1" applyFont="1" applyBorder="1" applyAlignment="1">
      <alignment horizontal="center"/>
    </xf>
    <xf numFmtId="9" fontId="8" fillId="0" borderId="6" xfId="2" applyFont="1" applyBorder="1" applyAlignment="1">
      <alignment horizontal="center"/>
    </xf>
    <xf numFmtId="166" fontId="7" fillId="0" borderId="0" xfId="1" applyFont="1"/>
    <xf numFmtId="166" fontId="90" fillId="0" borderId="0" xfId="1" applyFont="1"/>
    <xf numFmtId="1" fontId="90" fillId="0" borderId="6" xfId="1" applyNumberFormat="1" applyFont="1" applyBorder="1" applyAlignment="1">
      <alignment horizontal="center"/>
    </xf>
    <xf numFmtId="1" fontId="90" fillId="0" borderId="11" xfId="1" applyNumberFormat="1" applyFont="1" applyBorder="1" applyAlignment="1">
      <alignment horizontal="center"/>
    </xf>
    <xf numFmtId="0" fontId="7" fillId="0" borderId="4" xfId="0" applyFont="1" applyBorder="1"/>
    <xf numFmtId="173" fontId="91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66" fontId="8" fillId="0" borderId="5" xfId="1" applyFont="1" applyBorder="1" applyAlignment="1">
      <alignment horizontal="left"/>
    </xf>
    <xf numFmtId="166" fontId="8" fillId="0" borderId="5" xfId="1" applyFont="1" applyBorder="1" applyAlignment="1">
      <alignment horizontal="center"/>
    </xf>
    <xf numFmtId="166" fontId="8" fillId="0" borderId="2" xfId="1" applyFont="1" applyBorder="1" applyAlignment="1">
      <alignment horizontal="center"/>
    </xf>
    <xf numFmtId="166" fontId="92" fillId="10" borderId="15" xfId="1" applyFont="1" applyFill="1" applyBorder="1"/>
    <xf numFmtId="166" fontId="92" fillId="10" borderId="17" xfId="1" applyFont="1" applyFill="1" applyBorder="1"/>
    <xf numFmtId="9" fontId="7" fillId="0" borderId="3" xfId="2" applyFont="1" applyBorder="1" applyAlignment="1">
      <alignment horizontal="center"/>
    </xf>
    <xf numFmtId="9" fontId="7" fillId="0" borderId="14" xfId="2" applyFont="1" applyBorder="1" applyAlignment="1">
      <alignment horizontal="center"/>
    </xf>
    <xf numFmtId="166" fontId="8" fillId="0" borderId="0" xfId="1" applyFont="1"/>
    <xf numFmtId="9" fontId="8" fillId="0" borderId="3" xfId="2" applyFont="1" applyBorder="1" applyAlignment="1">
      <alignment horizontal="center"/>
    </xf>
    <xf numFmtId="166" fontId="8" fillId="0" borderId="0" xfId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5" fillId="10" borderId="116" xfId="3" applyFont="1" applyFill="1" applyBorder="1" applyAlignment="1">
      <alignment horizontal="center" vertical="center"/>
    </xf>
    <xf numFmtId="166" fontId="55" fillId="10" borderId="119" xfId="1" applyFont="1" applyFill="1" applyBorder="1" applyAlignment="1">
      <alignment horizontal="center" vertical="center"/>
    </xf>
    <xf numFmtId="0" fontId="5" fillId="10" borderId="3" xfId="3" applyFont="1" applyFill="1" applyBorder="1" applyAlignment="1">
      <alignment horizontal="center" vertical="center"/>
    </xf>
    <xf numFmtId="174" fontId="5" fillId="10" borderId="3" xfId="0" applyNumberFormat="1" applyFont="1" applyFill="1" applyBorder="1" applyAlignment="1">
      <alignment horizontal="center" vertical="center" wrapText="1"/>
    </xf>
    <xf numFmtId="1" fontId="5" fillId="10" borderId="3" xfId="0" applyNumberFormat="1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11" xfId="0" applyFont="1" applyBorder="1"/>
    <xf numFmtId="166" fontId="5" fillId="0" borderId="0" xfId="0" applyNumberFormat="1" applyFont="1"/>
    <xf numFmtId="166" fontId="8" fillId="0" borderId="11" xfId="0" applyNumberFormat="1" applyFont="1" applyBorder="1"/>
    <xf numFmtId="0" fontId="8" fillId="0" borderId="11" xfId="0" applyFont="1" applyBorder="1"/>
    <xf numFmtId="166" fontId="4" fillId="0" borderId="3" xfId="1" applyFont="1" applyBorder="1" applyAlignment="1">
      <alignment horizontal="center"/>
    </xf>
    <xf numFmtId="166" fontId="4" fillId="0" borderId="14" xfId="1" applyFont="1" applyBorder="1" applyAlignment="1">
      <alignment horizontal="center"/>
    </xf>
    <xf numFmtId="1" fontId="49" fillId="10" borderId="5" xfId="0" applyNumberFormat="1" applyFont="1" applyFill="1" applyBorder="1" applyAlignment="1">
      <alignment horizontal="center"/>
    </xf>
    <xf numFmtId="165" fontId="5" fillId="10" borderId="1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2" borderId="116" xfId="3" applyFont="1" applyFill="1" applyBorder="1" applyAlignment="1">
      <alignment horizontal="center" vertical="center"/>
    </xf>
    <xf numFmtId="166" fontId="55" fillId="2" borderId="119" xfId="1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174" fontId="5" fillId="2" borderId="3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/>
    </xf>
    <xf numFmtId="166" fontId="55" fillId="2" borderId="81" xfId="1" applyFont="1" applyFill="1" applyBorder="1" applyAlignment="1">
      <alignment horizontal="center" vertical="center"/>
    </xf>
    <xf numFmtId="0" fontId="93" fillId="0" borderId="6" xfId="4" applyFont="1" applyBorder="1" applyAlignment="1">
      <alignment vertical="center"/>
    </xf>
    <xf numFmtId="0" fontId="8" fillId="9" borderId="6" xfId="5" applyFont="1" applyFill="1" applyBorder="1" applyAlignment="1">
      <alignment horizontal="center" vertical="center"/>
    </xf>
    <xf numFmtId="17" fontId="8" fillId="9" borderId="0" xfId="3" applyNumberFormat="1" applyFont="1" applyFill="1" applyAlignment="1">
      <alignment horizontal="center" vertical="center" wrapText="1"/>
    </xf>
    <xf numFmtId="166" fontId="8" fillId="0" borderId="6" xfId="1" applyFont="1" applyBorder="1" applyAlignment="1">
      <alignment horizontal="center" vertical="center" wrapText="1"/>
    </xf>
    <xf numFmtId="166" fontId="8" fillId="0" borderId="11" xfId="1" applyFont="1" applyBorder="1" applyAlignment="1">
      <alignment horizontal="center" vertical="center" wrapText="1"/>
    </xf>
    <xf numFmtId="166" fontId="8" fillId="9" borderId="6" xfId="1" applyFont="1" applyFill="1" applyBorder="1" applyAlignment="1">
      <alignment horizontal="center" vertical="center" wrapText="1"/>
    </xf>
    <xf numFmtId="9" fontId="8" fillId="9" borderId="6" xfId="2" applyFont="1" applyFill="1" applyBorder="1" applyAlignment="1">
      <alignment horizontal="center" vertical="center" wrapText="1"/>
    </xf>
    <xf numFmtId="166" fontId="8" fillId="0" borderId="42" xfId="1" applyFont="1" applyBorder="1" applyAlignment="1">
      <alignment horizontal="center" vertical="center" wrapText="1"/>
    </xf>
    <xf numFmtId="166" fontId="8" fillId="0" borderId="7" xfId="1" applyFont="1" applyBorder="1" applyAlignment="1">
      <alignment horizontal="center" vertical="center" wrapText="1"/>
    </xf>
    <xf numFmtId="166" fontId="8" fillId="0" borderId="8" xfId="1" applyFont="1" applyBorder="1" applyAlignment="1">
      <alignment horizontal="center" vertical="center" wrapText="1"/>
    </xf>
    <xf numFmtId="166" fontId="8" fillId="0" borderId="9" xfId="1" applyFont="1" applyBorder="1" applyAlignment="1">
      <alignment horizontal="center" vertical="center" wrapText="1"/>
    </xf>
    <xf numFmtId="166" fontId="49" fillId="0" borderId="7" xfId="1" applyFont="1" applyBorder="1" applyAlignment="1">
      <alignment horizontal="center"/>
    </xf>
    <xf numFmtId="166" fontId="49" fillId="0" borderId="9" xfId="1" applyFont="1" applyBorder="1" applyAlignment="1">
      <alignment horizontal="center"/>
    </xf>
    <xf numFmtId="166" fontId="49" fillId="0" borderId="8" xfId="1" applyFont="1" applyBorder="1" applyAlignment="1">
      <alignment horizontal="center"/>
    </xf>
    <xf numFmtId="166" fontId="49" fillId="0" borderId="8" xfId="1" applyFont="1" applyBorder="1"/>
    <xf numFmtId="166" fontId="49" fillId="0" borderId="9" xfId="1" applyFont="1" applyBorder="1"/>
    <xf numFmtId="166" fontId="86" fillId="0" borderId="6" xfId="1" applyFont="1" applyFill="1" applyBorder="1" applyAlignment="1">
      <alignment horizontal="center" vertical="center"/>
    </xf>
    <xf numFmtId="0" fontId="49" fillId="2" borderId="4" xfId="0" applyFont="1" applyFill="1" applyBorder="1" applyAlignment="1">
      <alignment horizontal="center"/>
    </xf>
    <xf numFmtId="0" fontId="49" fillId="2" borderId="5" xfId="0" applyFont="1" applyFill="1" applyBorder="1" applyAlignment="1">
      <alignment horizontal="center"/>
    </xf>
    <xf numFmtId="1" fontId="49" fillId="2" borderId="5" xfId="0" applyNumberFormat="1" applyFont="1" applyFill="1" applyBorder="1" applyAlignment="1">
      <alignment horizontal="center"/>
    </xf>
    <xf numFmtId="166" fontId="49" fillId="2" borderId="5" xfId="1" applyFont="1" applyFill="1" applyBorder="1" applyAlignment="1">
      <alignment horizontal="center"/>
    </xf>
    <xf numFmtId="166" fontId="49" fillId="2" borderId="2" xfId="1" applyFont="1" applyFill="1" applyBorder="1" applyAlignment="1">
      <alignment horizontal="center"/>
    </xf>
    <xf numFmtId="9" fontId="49" fillId="2" borderId="1" xfId="0" applyNumberFormat="1" applyFont="1" applyFill="1" applyBorder="1" applyAlignment="1">
      <alignment horizontal="center"/>
    </xf>
    <xf numFmtId="166" fontId="49" fillId="2" borderId="1" xfId="1" applyFont="1" applyFill="1" applyBorder="1" applyAlignment="1">
      <alignment horizontal="center"/>
    </xf>
    <xf numFmtId="166" fontId="49" fillId="2" borderId="4" xfId="1" applyFont="1" applyFill="1" applyBorder="1" applyAlignment="1">
      <alignment horizontal="center"/>
    </xf>
    <xf numFmtId="166" fontId="49" fillId="2" borderId="2" xfId="1" applyFont="1" applyFill="1" applyBorder="1"/>
    <xf numFmtId="165" fontId="8" fillId="2" borderId="1" xfId="0" applyNumberFormat="1" applyFont="1" applyFill="1" applyBorder="1" applyAlignment="1">
      <alignment horizontal="center"/>
    </xf>
    <xf numFmtId="166" fontId="49" fillId="2" borderId="13" xfId="1" applyFont="1" applyFill="1" applyBorder="1" applyAlignment="1">
      <alignment horizontal="center"/>
    </xf>
    <xf numFmtId="9" fontId="49" fillId="2" borderId="13" xfId="2" applyFont="1" applyFill="1" applyBorder="1" applyAlignment="1">
      <alignment horizontal="center"/>
    </xf>
    <xf numFmtId="166" fontId="49" fillId="2" borderId="13" xfId="1" applyFont="1" applyFill="1" applyBorder="1"/>
    <xf numFmtId="166" fontId="49" fillId="2" borderId="14" xfId="1" applyFont="1" applyFill="1" applyBorder="1"/>
    <xf numFmtId="166" fontId="92" fillId="2" borderId="15" xfId="1" applyFont="1" applyFill="1" applyBorder="1"/>
    <xf numFmtId="166" fontId="92" fillId="2" borderId="17" xfId="1" applyFont="1" applyFill="1" applyBorder="1"/>
    <xf numFmtId="166" fontId="15" fillId="11" borderId="0" xfId="0" applyNumberFormat="1" applyFont="1" applyFill="1"/>
    <xf numFmtId="9" fontId="49" fillId="0" borderId="0" xfId="2" applyFont="1" applyAlignment="1">
      <alignment horizontal="center"/>
    </xf>
    <xf numFmtId="3" fontId="4" fillId="0" borderId="0" xfId="0" applyNumberFormat="1" applyFont="1"/>
    <xf numFmtId="9" fontId="49" fillId="0" borderId="0" xfId="2" applyFont="1" applyAlignment="1">
      <alignment horizontal="left"/>
    </xf>
    <xf numFmtId="166" fontId="49" fillId="0" borderId="1" xfId="1" applyFont="1" applyBorder="1" applyAlignment="1">
      <alignment horizontal="center"/>
    </xf>
    <xf numFmtId="166" fontId="49" fillId="0" borderId="0" xfId="0" applyNumberFormat="1" applyFont="1" applyAlignment="1">
      <alignment horizontal="center"/>
    </xf>
    <xf numFmtId="9" fontId="49" fillId="0" borderId="0" xfId="0" applyNumberFormat="1" applyFont="1" applyAlignment="1">
      <alignment horizontal="right"/>
    </xf>
    <xf numFmtId="0" fontId="4" fillId="3" borderId="1" xfId="0" applyFont="1" applyFill="1" applyBorder="1" applyAlignment="1">
      <alignment horizontal="center"/>
    </xf>
    <xf numFmtId="9" fontId="80" fillId="0" borderId="0" xfId="2" applyFont="1" applyAlignment="1">
      <alignment horizontal="center"/>
    </xf>
    <xf numFmtId="9" fontId="7" fillId="7" borderId="19" xfId="2" applyFont="1" applyFill="1" applyBorder="1" applyAlignment="1">
      <alignment horizontal="center"/>
    </xf>
    <xf numFmtId="9" fontId="0" fillId="7" borderId="21" xfId="2" applyFont="1" applyFill="1" applyBorder="1" applyAlignment="1">
      <alignment horizontal="center" vertical="center"/>
    </xf>
    <xf numFmtId="166" fontId="55" fillId="7" borderId="22" xfId="1" applyFont="1" applyFill="1" applyBorder="1" applyAlignment="1">
      <alignment horizontal="center" vertical="center"/>
    </xf>
    <xf numFmtId="9" fontId="7" fillId="7" borderId="26" xfId="2" applyFont="1" applyFill="1" applyBorder="1" applyAlignment="1">
      <alignment horizontal="center"/>
    </xf>
    <xf numFmtId="9" fontId="0" fillId="7" borderId="28" xfId="2" applyFont="1" applyFill="1" applyBorder="1" applyAlignment="1">
      <alignment horizontal="center" vertical="center"/>
    </xf>
    <xf numFmtId="166" fontId="55" fillId="7" borderId="29" xfId="1" applyFont="1" applyFill="1" applyBorder="1" applyAlignment="1">
      <alignment horizontal="center" vertical="center"/>
    </xf>
    <xf numFmtId="166" fontId="10" fillId="2" borderId="34" xfId="1" applyFont="1" applyFill="1" applyBorder="1"/>
    <xf numFmtId="0" fontId="26" fillId="2" borderId="13" xfId="0" applyFont="1" applyFill="1" applyBorder="1" applyAlignment="1">
      <alignment horizontal="center"/>
    </xf>
    <xf numFmtId="166" fontId="26" fillId="2" borderId="12" xfId="1" applyFont="1" applyFill="1" applyBorder="1" applyAlignment="1">
      <alignment horizontal="center"/>
    </xf>
    <xf numFmtId="166" fontId="26" fillId="2" borderId="14" xfId="1" applyFont="1" applyFill="1" applyBorder="1" applyAlignment="1">
      <alignment horizontal="center"/>
    </xf>
    <xf numFmtId="166" fontId="26" fillId="2" borderId="13" xfId="1" applyFont="1" applyFill="1" applyBorder="1" applyAlignment="1">
      <alignment horizontal="center"/>
    </xf>
    <xf numFmtId="166" fontId="26" fillId="2" borderId="80" xfId="1" applyFont="1" applyFill="1" applyBorder="1" applyAlignment="1">
      <alignment horizontal="center"/>
    </xf>
    <xf numFmtId="0" fontId="4" fillId="0" borderId="42" xfId="0" applyFont="1" applyBorder="1"/>
    <xf numFmtId="0" fontId="4" fillId="0" borderId="42" xfId="0" applyFont="1" applyBorder="1" applyAlignment="1">
      <alignment horizontal="center"/>
    </xf>
    <xf numFmtId="0" fontId="4" fillId="0" borderId="10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6" fontId="4" fillId="0" borderId="42" xfId="1" applyFont="1" applyBorder="1" applyAlignment="1">
      <alignment horizontal="center"/>
    </xf>
    <xf numFmtId="9" fontId="49" fillId="0" borderId="42" xfId="2" applyFont="1" applyBorder="1" applyAlignment="1">
      <alignment horizontal="center"/>
    </xf>
    <xf numFmtId="9" fontId="4" fillId="0" borderId="7" xfId="2" applyFont="1" applyBorder="1" applyAlignment="1">
      <alignment horizontal="center"/>
    </xf>
    <xf numFmtId="166" fontId="4" fillId="0" borderId="84" xfId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5" fillId="0" borderId="6" xfId="5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17" fontId="5" fillId="0" borderId="6" xfId="3" applyNumberFormat="1" applyFont="1" applyBorder="1" applyAlignment="1">
      <alignment horizontal="center" vertical="center" wrapText="1"/>
    </xf>
    <xf numFmtId="1" fontId="5" fillId="13" borderId="48" xfId="3" applyNumberFormat="1" applyFont="1" applyFill="1" applyBorder="1" applyAlignment="1">
      <alignment horizontal="center" vertical="center" wrapText="1"/>
    </xf>
    <xf numFmtId="166" fontId="5" fillId="0" borderId="6" xfId="1" applyFont="1" applyBorder="1" applyAlignment="1">
      <alignment horizontal="center" vertical="center"/>
    </xf>
    <xf numFmtId="9" fontId="5" fillId="0" borderId="10" xfId="2" applyFont="1" applyBorder="1" applyAlignment="1">
      <alignment horizontal="center" vertical="center"/>
    </xf>
    <xf numFmtId="166" fontId="4" fillId="0" borderId="39" xfId="1" applyFont="1" applyBorder="1" applyAlignment="1">
      <alignment horizontal="center"/>
    </xf>
    <xf numFmtId="166" fontId="4" fillId="0" borderId="1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5" fillId="13" borderId="47" xfId="3" applyNumberFormat="1" applyFont="1" applyFill="1" applyBorder="1" applyAlignment="1">
      <alignment horizontal="center" vertical="center" wrapText="1"/>
    </xf>
    <xf numFmtId="9" fontId="94" fillId="0" borderId="10" xfId="2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/>
    </xf>
    <xf numFmtId="1" fontId="5" fillId="0" borderId="48" xfId="3" applyNumberFormat="1" applyFont="1" applyBorder="1" applyAlignment="1">
      <alignment horizontal="center" vertical="center" wrapText="1"/>
    </xf>
    <xf numFmtId="166" fontId="5" fillId="0" borderId="6" xfId="1" applyFont="1" applyFill="1" applyBorder="1" applyAlignment="1">
      <alignment horizontal="center" vertical="center"/>
    </xf>
    <xf numFmtId="1" fontId="5" fillId="0" borderId="10" xfId="3" applyNumberFormat="1" applyFont="1" applyBorder="1" applyAlignment="1">
      <alignment vertical="center" wrapText="1"/>
    </xf>
    <xf numFmtId="1" fontId="5" fillId="0" borderId="0" xfId="3" applyNumberFormat="1" applyFont="1" applyAlignment="1">
      <alignment vertical="center" wrapText="1"/>
    </xf>
    <xf numFmtId="1" fontId="5" fillId="0" borderId="0" xfId="3" applyNumberFormat="1" applyFont="1" applyAlignment="1">
      <alignment horizontal="center" vertical="center" wrapText="1"/>
    </xf>
    <xf numFmtId="9" fontId="5" fillId="0" borderId="10" xfId="2" applyFont="1" applyFill="1" applyBorder="1" applyAlignment="1">
      <alignment horizontal="center" vertical="center"/>
    </xf>
    <xf numFmtId="166" fontId="4" fillId="0" borderId="39" xfId="1" applyFont="1" applyFill="1" applyBorder="1" applyAlignment="1">
      <alignment horizontal="center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" fontId="5" fillId="0" borderId="5" xfId="3" applyNumberFormat="1" applyFont="1" applyBorder="1" applyAlignment="1">
      <alignment vertical="center" wrapText="1"/>
    </xf>
    <xf numFmtId="1" fontId="5" fillId="0" borderId="5" xfId="3" applyNumberFormat="1" applyFont="1" applyBorder="1" applyAlignment="1">
      <alignment horizontal="center" vertical="center" wrapText="1"/>
    </xf>
    <xf numFmtId="166" fontId="5" fillId="0" borderId="1" xfId="1" applyFont="1" applyBorder="1" applyAlignment="1">
      <alignment horizontal="center" vertical="center" wrapText="1"/>
    </xf>
    <xf numFmtId="166" fontId="5" fillId="0" borderId="1" xfId="1" applyFont="1" applyFill="1" applyBorder="1" applyAlignment="1">
      <alignment horizontal="center" vertical="center"/>
    </xf>
    <xf numFmtId="166" fontId="1" fillId="0" borderId="0" xfId="1" applyFont="1" applyFill="1" applyBorder="1"/>
    <xf numFmtId="166" fontId="1" fillId="0" borderId="0" xfId="1" applyFont="1" applyBorder="1"/>
    <xf numFmtId="166" fontId="1" fillId="0" borderId="0" xfId="1" applyFont="1"/>
    <xf numFmtId="166" fontId="1" fillId="0" borderId="10" xfId="1" applyFont="1" applyBorder="1"/>
    <xf numFmtId="166" fontId="1" fillId="0" borderId="11" xfId="1" applyFont="1" applyBorder="1"/>
    <xf numFmtId="0" fontId="5" fillId="0" borderId="5" xfId="0" applyFont="1" applyBorder="1" applyAlignment="1">
      <alignment horizontal="center"/>
    </xf>
    <xf numFmtId="166" fontId="5" fillId="0" borderId="1" xfId="1" applyFont="1" applyBorder="1" applyAlignment="1">
      <alignment horizontal="center"/>
    </xf>
    <xf numFmtId="166" fontId="5" fillId="0" borderId="1" xfId="1" applyFont="1" applyBorder="1" applyAlignment="1">
      <alignment horizontal="center" vertical="center"/>
    </xf>
    <xf numFmtId="0" fontId="4" fillId="0" borderId="6" xfId="0" applyFont="1" applyBorder="1"/>
    <xf numFmtId="0" fontId="8" fillId="0" borderId="8" xfId="0" applyFont="1" applyBorder="1" applyAlignment="1">
      <alignment horizontal="center"/>
    </xf>
    <xf numFmtId="1" fontId="8" fillId="0" borderId="8" xfId="3" applyNumberFormat="1" applyFont="1" applyBorder="1" applyAlignment="1">
      <alignment horizontal="center" vertical="center" wrapText="1"/>
    </xf>
    <xf numFmtId="9" fontId="8" fillId="0" borderId="8" xfId="2" applyFont="1" applyFill="1" applyBorder="1" applyAlignment="1">
      <alignment horizontal="center" vertical="center"/>
    </xf>
    <xf numFmtId="166" fontId="8" fillId="0" borderId="8" xfId="1" applyFont="1" applyFill="1" applyBorder="1" applyAlignment="1">
      <alignment horizontal="center" vertical="center"/>
    </xf>
    <xf numFmtId="9" fontId="49" fillId="7" borderId="59" xfId="2" applyFont="1" applyFill="1" applyBorder="1" applyAlignment="1">
      <alignment horizontal="center"/>
    </xf>
    <xf numFmtId="9" fontId="4" fillId="7" borderId="59" xfId="2" applyFont="1" applyFill="1" applyBorder="1" applyAlignment="1">
      <alignment horizontal="center"/>
    </xf>
    <xf numFmtId="166" fontId="4" fillId="7" borderId="61" xfId="1" applyFont="1" applyFill="1" applyBorder="1" applyAlignment="1">
      <alignment horizontal="center"/>
    </xf>
    <xf numFmtId="166" fontId="1" fillId="7" borderId="67" xfId="1" applyFont="1" applyFill="1" applyBorder="1"/>
    <xf numFmtId="166" fontId="5" fillId="7" borderId="54" xfId="1" applyFont="1" applyFill="1" applyBorder="1" applyAlignment="1">
      <alignment horizontal="center"/>
    </xf>
    <xf numFmtId="9" fontId="49" fillId="7" borderId="54" xfId="2" applyFont="1" applyFill="1" applyBorder="1" applyAlignment="1">
      <alignment horizontal="center"/>
    </xf>
    <xf numFmtId="9" fontId="4" fillId="7" borderId="54" xfId="2" applyFont="1" applyFill="1" applyBorder="1" applyAlignment="1">
      <alignment horizontal="center"/>
    </xf>
    <xf numFmtId="166" fontId="5" fillId="7" borderId="29" xfId="1" applyFont="1" applyFill="1" applyBorder="1" applyAlignment="1">
      <alignment horizontal="center"/>
    </xf>
    <xf numFmtId="166" fontId="0" fillId="7" borderId="83" xfId="1" applyFont="1" applyFill="1" applyBorder="1"/>
    <xf numFmtId="9" fontId="8" fillId="0" borderId="13" xfId="2" applyFont="1" applyBorder="1" applyAlignment="1">
      <alignment horizontal="left"/>
    </xf>
    <xf numFmtId="166" fontId="82" fillId="0" borderId="14" xfId="2" applyNumberFormat="1" applyFont="1" applyBorder="1" applyAlignment="1">
      <alignment horizontal="center"/>
    </xf>
    <xf numFmtId="9" fontId="8" fillId="0" borderId="5" xfId="2" applyFont="1" applyBorder="1" applyAlignment="1">
      <alignment horizontal="left"/>
    </xf>
    <xf numFmtId="166" fontId="82" fillId="0" borderId="2" xfId="2" applyNumberFormat="1" applyFont="1" applyBorder="1" applyAlignment="1">
      <alignment horizontal="center"/>
    </xf>
    <xf numFmtId="166" fontId="19" fillId="7" borderId="15" xfId="1" applyFont="1" applyFill="1" applyBorder="1" applyAlignment="1">
      <alignment horizontal="center"/>
    </xf>
    <xf numFmtId="9" fontId="8" fillId="0" borderId="5" xfId="2" applyFont="1" applyBorder="1" applyAlignment="1">
      <alignment horizontal="center"/>
    </xf>
    <xf numFmtId="9" fontId="82" fillId="0" borderId="2" xfId="2" applyFont="1" applyBorder="1" applyAlignment="1">
      <alignment horizontal="center"/>
    </xf>
    <xf numFmtId="0" fontId="82" fillId="0" borderId="8" xfId="0" applyFont="1" applyBorder="1" applyAlignment="1">
      <alignment horizontal="center"/>
    </xf>
    <xf numFmtId="166" fontId="82" fillId="0" borderId="8" xfId="1" applyFont="1" applyBorder="1" applyAlignment="1">
      <alignment horizontal="center"/>
    </xf>
    <xf numFmtId="9" fontId="8" fillId="0" borderId="8" xfId="2" applyFont="1" applyBorder="1" applyAlignment="1">
      <alignment horizontal="center"/>
    </xf>
    <xf numFmtId="9" fontId="82" fillId="0" borderId="8" xfId="2" applyFont="1" applyBorder="1" applyAlignment="1">
      <alignment horizontal="center"/>
    </xf>
    <xf numFmtId="166" fontId="82" fillId="0" borderId="0" xfId="1" applyFont="1" applyBorder="1" applyAlignment="1">
      <alignment horizontal="center"/>
    </xf>
    <xf numFmtId="166" fontId="82" fillId="0" borderId="0" xfId="1" applyFont="1" applyBorder="1"/>
    <xf numFmtId="0" fontId="82" fillId="0" borderId="0" xfId="0" applyFont="1" applyAlignment="1">
      <alignment horizontal="center"/>
    </xf>
    <xf numFmtId="9" fontId="8" fillId="0" borderId="0" xfId="2" applyFont="1" applyBorder="1" applyAlignment="1">
      <alignment horizontal="center"/>
    </xf>
    <xf numFmtId="9" fontId="82" fillId="0" borderId="0" xfId="2" applyFont="1" applyBorder="1" applyAlignment="1">
      <alignment horizontal="center"/>
    </xf>
    <xf numFmtId="9" fontId="8" fillId="0" borderId="0" xfId="2" applyFont="1" applyAlignment="1">
      <alignment horizontal="center"/>
    </xf>
    <xf numFmtId="9" fontId="5" fillId="0" borderId="0" xfId="2" applyFont="1" applyAlignment="1">
      <alignment horizontal="center"/>
    </xf>
    <xf numFmtId="166" fontId="26" fillId="2" borderId="79" xfId="1" applyFont="1" applyFill="1" applyBorder="1" applyAlignment="1">
      <alignment horizontal="center"/>
    </xf>
    <xf numFmtId="166" fontId="26" fillId="2" borderId="59" xfId="1" applyFont="1" applyFill="1" applyBorder="1" applyAlignment="1">
      <alignment horizontal="center"/>
    </xf>
    <xf numFmtId="9" fontId="8" fillId="0" borderId="6" xfId="2" applyFont="1" applyBorder="1" applyAlignment="1">
      <alignment horizontal="center" vertical="center" wrapText="1"/>
    </xf>
    <xf numFmtId="166" fontId="52" fillId="0" borderId="39" xfId="1" applyFont="1" applyBorder="1" applyAlignment="1">
      <alignment horizontal="center" vertical="center" wrapText="1"/>
    </xf>
    <xf numFmtId="1" fontId="52" fillId="0" borderId="0" xfId="3" applyNumberFormat="1" applyFont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166" fontId="8" fillId="0" borderId="39" xfId="1" applyFont="1" applyFill="1" applyBorder="1" applyAlignment="1">
      <alignment horizontal="center" vertical="center"/>
    </xf>
    <xf numFmtId="165" fontId="8" fillId="0" borderId="0" xfId="6" applyFont="1" applyFill="1" applyBorder="1" applyAlignment="1">
      <alignment horizontal="center" vertical="center"/>
    </xf>
    <xf numFmtId="166" fontId="5" fillId="0" borderId="11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5" fontId="8" fillId="0" borderId="0" xfId="6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166" fontId="8" fillId="0" borderId="11" xfId="0" applyNumberFormat="1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0" fontId="49" fillId="0" borderId="6" xfId="0" applyFont="1" applyBorder="1" applyAlignment="1">
      <alignment horizontal="center"/>
    </xf>
    <xf numFmtId="166" fontId="49" fillId="0" borderId="10" xfId="0" applyNumberFormat="1" applyFont="1" applyBorder="1" applyAlignment="1">
      <alignment horizontal="center"/>
    </xf>
    <xf numFmtId="0" fontId="49" fillId="0" borderId="11" xfId="0" applyFont="1" applyBorder="1" applyAlignment="1">
      <alignment horizontal="center"/>
    </xf>
    <xf numFmtId="0" fontId="49" fillId="0" borderId="10" xfId="0" applyFont="1" applyBorder="1" applyAlignment="1">
      <alignment horizontal="center"/>
    </xf>
    <xf numFmtId="0" fontId="49" fillId="0" borderId="11" xfId="0" applyFont="1" applyBorder="1"/>
    <xf numFmtId="165" fontId="49" fillId="0" borderId="11" xfId="0" applyNumberFormat="1" applyFont="1" applyBorder="1" applyAlignment="1">
      <alignment horizontal="center"/>
    </xf>
    <xf numFmtId="166" fontId="49" fillId="0" borderId="0" xfId="0" applyNumberFormat="1" applyFont="1"/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9" fillId="0" borderId="5" xfId="0" applyFont="1" applyBorder="1" applyAlignment="1">
      <alignment horizontal="center"/>
    </xf>
    <xf numFmtId="166" fontId="4" fillId="0" borderId="1" xfId="1" applyFont="1" applyBorder="1" applyAlignment="1">
      <alignment horizontal="center"/>
    </xf>
    <xf numFmtId="9" fontId="49" fillId="0" borderId="1" xfId="2" applyFont="1" applyBorder="1" applyAlignment="1">
      <alignment horizontal="center"/>
    </xf>
    <xf numFmtId="9" fontId="4" fillId="0" borderId="4" xfId="2" applyFont="1" applyBorder="1" applyAlignment="1">
      <alignment horizontal="center"/>
    </xf>
    <xf numFmtId="166" fontId="8" fillId="0" borderId="29" xfId="1" applyFont="1" applyFill="1" applyBorder="1" applyAlignment="1">
      <alignment horizontal="center" vertical="center"/>
    </xf>
    <xf numFmtId="166" fontId="82" fillId="0" borderId="9" xfId="2" applyNumberFormat="1" applyFont="1" applyBorder="1" applyAlignment="1">
      <alignment horizontal="center"/>
    </xf>
    <xf numFmtId="9" fontId="82" fillId="0" borderId="1" xfId="2" applyFont="1" applyBorder="1" applyAlignment="1">
      <alignment horizontal="center"/>
    </xf>
    <xf numFmtId="175" fontId="5" fillId="0" borderId="0" xfId="0" applyNumberFormat="1" applyFont="1" applyAlignment="1">
      <alignment horizontal="center"/>
    </xf>
    <xf numFmtId="1" fontId="8" fillId="0" borderId="0" xfId="2" applyNumberFormat="1" applyFont="1" applyAlignment="1">
      <alignment horizontal="center"/>
    </xf>
    <xf numFmtId="0" fontId="8" fillId="0" borderId="0" xfId="2" applyNumberFormat="1" applyFont="1" applyAlignment="1">
      <alignment horizontal="center"/>
    </xf>
    <xf numFmtId="3" fontId="8" fillId="0" borderId="0" xfId="2" applyNumberFormat="1" applyFont="1" applyAlignment="1">
      <alignment horizontal="center"/>
    </xf>
    <xf numFmtId="9" fontId="7" fillId="10" borderId="19" xfId="2" applyFont="1" applyFill="1" applyBorder="1" applyAlignment="1">
      <alignment horizontal="center"/>
    </xf>
    <xf numFmtId="166" fontId="55" fillId="10" borderId="22" xfId="1" applyFont="1" applyFill="1" applyBorder="1" applyAlignment="1">
      <alignment horizontal="center" vertical="center"/>
    </xf>
    <xf numFmtId="9" fontId="7" fillId="10" borderId="26" xfId="2" applyFont="1" applyFill="1" applyBorder="1" applyAlignment="1">
      <alignment horizontal="center"/>
    </xf>
    <xf numFmtId="166" fontId="55" fillId="10" borderId="29" xfId="1" applyFont="1" applyFill="1" applyBorder="1" applyAlignment="1">
      <alignment horizontal="center" vertical="center"/>
    </xf>
    <xf numFmtId="166" fontId="10" fillId="10" borderId="61" xfId="1" applyFont="1" applyFill="1" applyBorder="1"/>
    <xf numFmtId="0" fontId="26" fillId="10" borderId="13" xfId="0" applyFont="1" applyFill="1" applyBorder="1" applyAlignment="1">
      <alignment horizontal="center"/>
    </xf>
    <xf numFmtId="166" fontId="26" fillId="10" borderId="12" xfId="1" applyFont="1" applyFill="1" applyBorder="1" applyAlignment="1">
      <alignment horizontal="center"/>
    </xf>
    <xf numFmtId="166" fontId="26" fillId="10" borderId="14" xfId="1" applyFont="1" applyFill="1" applyBorder="1" applyAlignment="1">
      <alignment horizontal="center"/>
    </xf>
    <xf numFmtId="166" fontId="26" fillId="10" borderId="59" xfId="1" applyFont="1" applyFill="1" applyBorder="1" applyAlignment="1">
      <alignment horizontal="center"/>
    </xf>
    <xf numFmtId="166" fontId="26" fillId="10" borderId="80" xfId="1" applyFont="1" applyFill="1" applyBorder="1" applyAlignment="1">
      <alignment horizontal="center"/>
    </xf>
    <xf numFmtId="166" fontId="49" fillId="0" borderId="11" xfId="0" applyNumberFormat="1" applyFont="1" applyBorder="1" applyAlignment="1">
      <alignment horizontal="center"/>
    </xf>
    <xf numFmtId="1" fontId="8" fillId="13" borderId="44" xfId="3" applyNumberFormat="1" applyFont="1" applyFill="1" applyBorder="1" applyAlignment="1">
      <alignment vertical="center" wrapText="1"/>
    </xf>
    <xf numFmtId="1" fontId="8" fillId="13" borderId="45" xfId="3" applyNumberFormat="1" applyFont="1" applyFill="1" applyBorder="1" applyAlignment="1">
      <alignment vertical="center" wrapText="1"/>
    </xf>
    <xf numFmtId="1" fontId="8" fillId="13" borderId="46" xfId="3" applyNumberFormat="1" applyFont="1" applyFill="1" applyBorder="1" applyAlignment="1">
      <alignment vertical="center" wrapText="1"/>
    </xf>
    <xf numFmtId="1" fontId="8" fillId="13" borderId="47" xfId="3" applyNumberFormat="1" applyFont="1" applyFill="1" applyBorder="1" applyAlignment="1">
      <alignment vertical="center" wrapText="1"/>
    </xf>
    <xf numFmtId="1" fontId="8" fillId="13" borderId="49" xfId="3" applyNumberFormat="1" applyFont="1" applyFill="1" applyBorder="1" applyAlignment="1">
      <alignment vertical="center" wrapText="1"/>
    </xf>
    <xf numFmtId="0" fontId="4" fillId="0" borderId="83" xfId="0" applyFont="1" applyBorder="1"/>
    <xf numFmtId="166" fontId="4" fillId="10" borderId="59" xfId="1" applyFont="1" applyFill="1" applyBorder="1" applyAlignment="1">
      <alignment horizontal="center"/>
    </xf>
    <xf numFmtId="9" fontId="49" fillId="10" borderId="59" xfId="2" applyFont="1" applyFill="1" applyBorder="1" applyAlignment="1">
      <alignment horizontal="center"/>
    </xf>
    <xf numFmtId="166" fontId="4" fillId="10" borderId="80" xfId="1" applyFont="1" applyFill="1" applyBorder="1" applyAlignment="1">
      <alignment horizontal="center"/>
    </xf>
    <xf numFmtId="9" fontId="4" fillId="10" borderId="93" xfId="2" applyFont="1" applyFill="1" applyBorder="1" applyAlignment="1">
      <alignment horizontal="center"/>
    </xf>
    <xf numFmtId="167" fontId="4" fillId="10" borderId="22" xfId="1" applyNumberFormat="1" applyFont="1" applyFill="1" applyBorder="1" applyAlignment="1">
      <alignment horizontal="center"/>
    </xf>
    <xf numFmtId="167" fontId="4" fillId="10" borderId="37" xfId="1" applyNumberFormat="1" applyFont="1" applyFill="1" applyBorder="1" applyAlignment="1">
      <alignment horizontal="center"/>
    </xf>
    <xf numFmtId="167" fontId="4" fillId="10" borderId="37" xfId="0" applyNumberFormat="1" applyFont="1" applyFill="1" applyBorder="1" applyAlignment="1">
      <alignment horizontal="center"/>
    </xf>
    <xf numFmtId="167" fontId="4" fillId="10" borderId="21" xfId="1" applyNumberFormat="1" applyFont="1" applyFill="1" applyBorder="1" applyAlignment="1">
      <alignment horizontal="center"/>
    </xf>
    <xf numFmtId="167" fontId="4" fillId="10" borderId="38" xfId="1" applyNumberFormat="1" applyFont="1" applyFill="1" applyBorder="1" applyAlignment="1">
      <alignment horizontal="center"/>
    </xf>
    <xf numFmtId="0" fontId="4" fillId="10" borderId="62" xfId="0" applyFont="1" applyFill="1" applyBorder="1"/>
    <xf numFmtId="166" fontId="4" fillId="10" borderId="54" xfId="1" applyFont="1" applyFill="1" applyBorder="1" applyAlignment="1">
      <alignment horizontal="center"/>
    </xf>
    <xf numFmtId="9" fontId="49" fillId="10" borderId="54" xfId="2" applyFont="1" applyFill="1" applyBorder="1" applyAlignment="1">
      <alignment horizontal="center"/>
    </xf>
    <xf numFmtId="166" fontId="4" fillId="10" borderId="55" xfId="1" applyFont="1" applyFill="1" applyBorder="1" applyAlignment="1">
      <alignment horizontal="center"/>
    </xf>
    <xf numFmtId="9" fontId="5" fillId="10" borderId="75" xfId="2" applyFont="1" applyFill="1" applyBorder="1" applyAlignment="1">
      <alignment horizontal="center"/>
    </xf>
    <xf numFmtId="166" fontId="4" fillId="10" borderId="29" xfId="1" applyFont="1" applyFill="1" applyBorder="1" applyAlignment="1">
      <alignment horizontal="center"/>
    </xf>
    <xf numFmtId="165" fontId="4" fillId="10" borderId="31" xfId="0" applyNumberFormat="1" applyFont="1" applyFill="1" applyBorder="1" applyAlignment="1">
      <alignment horizontal="center"/>
    </xf>
    <xf numFmtId="9" fontId="4" fillId="10" borderId="28" xfId="2" applyFont="1" applyFill="1" applyBorder="1" applyAlignment="1">
      <alignment horizontal="center"/>
    </xf>
    <xf numFmtId="9" fontId="4" fillId="10" borderId="83" xfId="2" applyFont="1" applyFill="1" applyBorder="1" applyAlignment="1">
      <alignment horizontal="center"/>
    </xf>
    <xf numFmtId="0" fontId="4" fillId="10" borderId="31" xfId="0" applyFont="1" applyFill="1" applyBorder="1" applyAlignment="1">
      <alignment horizontal="center"/>
    </xf>
    <xf numFmtId="0" fontId="4" fillId="10" borderId="31" xfId="0" applyFont="1" applyFill="1" applyBorder="1"/>
    <xf numFmtId="0" fontId="4" fillId="10" borderId="32" xfId="0" applyFont="1" applyFill="1" applyBorder="1"/>
    <xf numFmtId="166" fontId="82" fillId="0" borderId="0" xfId="1" applyFont="1" applyAlignment="1">
      <alignment horizontal="center"/>
    </xf>
    <xf numFmtId="165" fontId="82" fillId="0" borderId="0" xfId="0" applyNumberFormat="1" applyFont="1" applyAlignment="1">
      <alignment horizontal="center"/>
    </xf>
    <xf numFmtId="166" fontId="19" fillId="10" borderId="15" xfId="1" applyFont="1" applyFill="1" applyBorder="1" applyAlignment="1">
      <alignment horizontal="center"/>
    </xf>
    <xf numFmtId="166" fontId="19" fillId="10" borderId="17" xfId="1" applyFont="1" applyFill="1" applyBorder="1"/>
    <xf numFmtId="9" fontId="50" fillId="10" borderId="3" xfId="2" applyFont="1" applyFill="1" applyBorder="1" applyAlignment="1">
      <alignment horizontal="center" vertical="center"/>
    </xf>
    <xf numFmtId="9" fontId="4" fillId="0" borderId="1" xfId="2" applyFont="1" applyBorder="1" applyAlignment="1">
      <alignment horizontal="center"/>
    </xf>
    <xf numFmtId="0" fontId="5" fillId="5" borderId="19" xfId="3" applyFont="1" applyFill="1" applyBorder="1" applyAlignment="1">
      <alignment horizontal="center" vertical="center"/>
    </xf>
    <xf numFmtId="166" fontId="55" fillId="5" borderId="22" xfId="1" applyFont="1" applyFill="1" applyBorder="1" applyAlignment="1">
      <alignment horizontal="center" vertical="center"/>
    </xf>
    <xf numFmtId="0" fontId="5" fillId="5" borderId="26" xfId="3" applyFont="1" applyFill="1" applyBorder="1" applyAlignment="1">
      <alignment horizontal="center" vertical="center"/>
    </xf>
    <xf numFmtId="174" fontId="5" fillId="5" borderId="26" xfId="0" applyNumberFormat="1" applyFont="1" applyFill="1" applyBorder="1" applyAlignment="1">
      <alignment horizontal="center" vertical="center" wrapText="1"/>
    </xf>
    <xf numFmtId="1" fontId="5" fillId="5" borderId="26" xfId="0" applyNumberFormat="1" applyFont="1" applyFill="1" applyBorder="1" applyAlignment="1">
      <alignment horizontal="center" vertical="center"/>
    </xf>
    <xf numFmtId="166" fontId="55" fillId="5" borderId="29" xfId="1" applyFont="1" applyFill="1" applyBorder="1" applyAlignment="1">
      <alignment horizontal="center" vertical="center"/>
    </xf>
    <xf numFmtId="9" fontId="50" fillId="5" borderId="12" xfId="2" applyFont="1" applyFill="1" applyBorder="1" applyAlignment="1">
      <alignment horizontal="center" vertical="center"/>
    </xf>
    <xf numFmtId="166" fontId="10" fillId="5" borderId="61" xfId="1" applyFont="1" applyFill="1" applyBorder="1"/>
    <xf numFmtId="0" fontId="26" fillId="5" borderId="13" xfId="0" applyFont="1" applyFill="1" applyBorder="1" applyAlignment="1">
      <alignment horizontal="center"/>
    </xf>
    <xf numFmtId="0" fontId="26" fillId="5" borderId="122" xfId="0" applyFont="1" applyFill="1" applyBorder="1" applyAlignment="1">
      <alignment horizontal="center"/>
    </xf>
    <xf numFmtId="166" fontId="26" fillId="5" borderId="13" xfId="1" applyFont="1" applyFill="1" applyBorder="1" applyAlignment="1">
      <alignment horizontal="center"/>
    </xf>
    <xf numFmtId="166" fontId="26" fillId="5" borderId="14" xfId="1" applyFont="1" applyFill="1" applyBorder="1" applyAlignment="1">
      <alignment horizontal="center"/>
    </xf>
    <xf numFmtId="166" fontId="26" fillId="5" borderId="59" xfId="1" applyFont="1" applyFill="1" applyBorder="1" applyAlignment="1">
      <alignment horizontal="center"/>
    </xf>
    <xf numFmtId="166" fontId="26" fillId="5" borderId="80" xfId="1" applyFont="1" applyFill="1" applyBorder="1" applyAlignment="1">
      <alignment horizontal="center"/>
    </xf>
    <xf numFmtId="0" fontId="4" fillId="0" borderId="123" xfId="0" applyFont="1" applyBorder="1" applyAlignment="1">
      <alignment horizontal="center"/>
    </xf>
    <xf numFmtId="165" fontId="8" fillId="0" borderId="123" xfId="6" applyFont="1" applyBorder="1" applyAlignment="1">
      <alignment horizontal="center" vertical="center"/>
    </xf>
    <xf numFmtId="1" fontId="8" fillId="13" borderId="48" xfId="3" applyNumberFormat="1" applyFont="1" applyFill="1" applyBorder="1" applyAlignment="1">
      <alignment vertical="center" wrapText="1"/>
    </xf>
    <xf numFmtId="166" fontId="4" fillId="0" borderId="123" xfId="0" applyNumberFormat="1" applyFont="1" applyBorder="1" applyAlignment="1">
      <alignment horizontal="center"/>
    </xf>
    <xf numFmtId="166" fontId="4" fillId="0" borderId="29" xfId="1" applyFont="1" applyBorder="1" applyAlignment="1">
      <alignment horizontal="center"/>
    </xf>
    <xf numFmtId="0" fontId="4" fillId="0" borderId="124" xfId="0" applyFont="1" applyBorder="1" applyAlignment="1">
      <alignment horizontal="center"/>
    </xf>
    <xf numFmtId="0" fontId="4" fillId="0" borderId="83" xfId="0" applyFont="1" applyBorder="1" applyAlignment="1">
      <alignment horizontal="center"/>
    </xf>
    <xf numFmtId="0" fontId="4" fillId="5" borderId="58" xfId="0" applyFont="1" applyFill="1" applyBorder="1" applyAlignment="1">
      <alignment horizontal="center"/>
    </xf>
    <xf numFmtId="0" fontId="4" fillId="5" borderId="59" xfId="0" applyFont="1" applyFill="1" applyBorder="1" applyAlignment="1">
      <alignment horizontal="center"/>
    </xf>
    <xf numFmtId="1" fontId="4" fillId="5" borderId="59" xfId="0" applyNumberFormat="1" applyFont="1" applyFill="1" applyBorder="1" applyAlignment="1">
      <alignment horizontal="center"/>
    </xf>
    <xf numFmtId="1" fontId="49" fillId="5" borderId="59" xfId="0" applyNumberFormat="1" applyFont="1" applyFill="1" applyBorder="1" applyAlignment="1">
      <alignment horizontal="center"/>
    </xf>
    <xf numFmtId="166" fontId="4" fillId="5" borderId="59" xfId="1" applyFont="1" applyFill="1" applyBorder="1" applyAlignment="1">
      <alignment horizontal="center"/>
    </xf>
    <xf numFmtId="9" fontId="49" fillId="5" borderId="59" xfId="2" applyFont="1" applyFill="1" applyBorder="1" applyAlignment="1">
      <alignment horizontal="center"/>
    </xf>
    <xf numFmtId="166" fontId="4" fillId="5" borderId="80" xfId="1" applyFont="1" applyFill="1" applyBorder="1" applyAlignment="1">
      <alignment horizontal="center"/>
    </xf>
    <xf numFmtId="9" fontId="4" fillId="5" borderId="93" xfId="2" applyFont="1" applyFill="1" applyBorder="1" applyAlignment="1">
      <alignment horizontal="center"/>
    </xf>
    <xf numFmtId="167" fontId="4" fillId="5" borderId="22" xfId="1" applyNumberFormat="1" applyFont="1" applyFill="1" applyBorder="1" applyAlignment="1">
      <alignment horizontal="center"/>
    </xf>
    <xf numFmtId="167" fontId="4" fillId="5" borderId="37" xfId="1" applyNumberFormat="1" applyFont="1" applyFill="1" applyBorder="1" applyAlignment="1">
      <alignment horizontal="center"/>
    </xf>
    <xf numFmtId="167" fontId="4" fillId="5" borderId="37" xfId="0" applyNumberFormat="1" applyFont="1" applyFill="1" applyBorder="1" applyAlignment="1">
      <alignment horizontal="center"/>
    </xf>
    <xf numFmtId="167" fontId="4" fillId="5" borderId="21" xfId="1" applyNumberFormat="1" applyFont="1" applyFill="1" applyBorder="1" applyAlignment="1">
      <alignment horizontal="center"/>
    </xf>
    <xf numFmtId="167" fontId="4" fillId="5" borderId="38" xfId="1" applyNumberFormat="1" applyFont="1" applyFill="1" applyBorder="1" applyAlignment="1">
      <alignment horizontal="center"/>
    </xf>
    <xf numFmtId="0" fontId="4" fillId="5" borderId="62" xfId="0" applyFont="1" applyFill="1" applyBorder="1"/>
    <xf numFmtId="0" fontId="4" fillId="5" borderId="63" xfId="0" applyFont="1" applyFill="1" applyBorder="1" applyAlignment="1">
      <alignment horizontal="center"/>
    </xf>
    <xf numFmtId="0" fontId="4" fillId="5" borderId="54" xfId="0" applyFont="1" applyFill="1" applyBorder="1" applyAlignment="1">
      <alignment horizontal="center"/>
    </xf>
    <xf numFmtId="1" fontId="4" fillId="5" borderId="54" xfId="0" applyNumberFormat="1" applyFont="1" applyFill="1" applyBorder="1" applyAlignment="1">
      <alignment horizontal="center"/>
    </xf>
    <xf numFmtId="1" fontId="5" fillId="5" borderId="54" xfId="0" applyNumberFormat="1" applyFont="1" applyFill="1" applyBorder="1" applyAlignment="1">
      <alignment horizontal="center"/>
    </xf>
    <xf numFmtId="166" fontId="4" fillId="5" borderId="54" xfId="1" applyFont="1" applyFill="1" applyBorder="1" applyAlignment="1">
      <alignment horizontal="center"/>
    </xf>
    <xf numFmtId="9" fontId="49" fillId="5" borderId="54" xfId="2" applyFont="1" applyFill="1" applyBorder="1" applyAlignment="1">
      <alignment horizontal="center"/>
    </xf>
    <xf numFmtId="166" fontId="4" fillId="5" borderId="55" xfId="1" applyFont="1" applyFill="1" applyBorder="1" applyAlignment="1">
      <alignment horizontal="center"/>
    </xf>
    <xf numFmtId="9" fontId="5" fillId="5" borderId="75" xfId="2" applyFont="1" applyFill="1" applyBorder="1" applyAlignment="1">
      <alignment horizontal="center"/>
    </xf>
    <xf numFmtId="166" fontId="4" fillId="5" borderId="29" xfId="1" applyFont="1" applyFill="1" applyBorder="1" applyAlignment="1">
      <alignment horizontal="center"/>
    </xf>
    <xf numFmtId="165" fontId="4" fillId="5" borderId="31" xfId="0" applyNumberFormat="1" applyFont="1" applyFill="1" applyBorder="1" applyAlignment="1">
      <alignment horizontal="center"/>
    </xf>
    <xf numFmtId="9" fontId="4" fillId="5" borderId="28" xfId="2" applyFont="1" applyFill="1" applyBorder="1" applyAlignment="1">
      <alignment horizontal="center"/>
    </xf>
    <xf numFmtId="9" fontId="4" fillId="5" borderId="83" xfId="2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1" xfId="0" applyFont="1" applyFill="1" applyBorder="1"/>
    <xf numFmtId="0" fontId="4" fillId="5" borderId="32" xfId="0" applyFont="1" applyFill="1" applyBorder="1"/>
    <xf numFmtId="166" fontId="19" fillId="5" borderId="15" xfId="1" applyFont="1" applyFill="1" applyBorder="1" applyAlignment="1">
      <alignment horizontal="center"/>
    </xf>
    <xf numFmtId="166" fontId="19" fillId="5" borderId="17" xfId="1" applyFont="1" applyFill="1" applyBorder="1"/>
    <xf numFmtId="173" fontId="3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26" fillId="5" borderId="4" xfId="1" applyFont="1" applyFill="1" applyBorder="1" applyAlignment="1">
      <alignment horizontal="center"/>
    </xf>
    <xf numFmtId="166" fontId="26" fillId="5" borderId="5" xfId="1" applyFont="1" applyFill="1" applyBorder="1" applyAlignment="1">
      <alignment horizontal="center"/>
    </xf>
    <xf numFmtId="166" fontId="26" fillId="5" borderId="2" xfId="1" applyFont="1" applyFill="1" applyBorder="1" applyAlignment="1">
      <alignment horizontal="center"/>
    </xf>
    <xf numFmtId="9" fontId="7" fillId="7" borderId="19" xfId="2" applyFont="1" applyFill="1" applyBorder="1" applyAlignment="1">
      <alignment horizontal="center" vertical="center"/>
    </xf>
    <xf numFmtId="166" fontId="65" fillId="7" borderId="22" xfId="1" applyFont="1" applyFill="1" applyBorder="1" applyAlignment="1">
      <alignment horizontal="center" vertical="center"/>
    </xf>
    <xf numFmtId="166" fontId="65" fillId="7" borderId="29" xfId="1" applyFont="1" applyFill="1" applyBorder="1" applyAlignment="1">
      <alignment horizontal="center" vertical="center"/>
    </xf>
    <xf numFmtId="166" fontId="26" fillId="2" borderId="3" xfId="1" applyFont="1" applyFill="1" applyBorder="1" applyAlignment="1">
      <alignment horizontal="center"/>
    </xf>
    <xf numFmtId="0" fontId="96" fillId="2" borderId="3" xfId="0" applyFont="1" applyFill="1" applyBorder="1" applyAlignment="1">
      <alignment horizontal="center"/>
    </xf>
    <xf numFmtId="0" fontId="97" fillId="0" borderId="0" xfId="0" applyFont="1"/>
    <xf numFmtId="0" fontId="3" fillId="0" borderId="6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2" fillId="7" borderId="26" xfId="0" applyFont="1" applyFill="1" applyBorder="1" applyAlignment="1">
      <alignment horizontal="left"/>
    </xf>
    <xf numFmtId="0" fontId="80" fillId="2" borderId="3" xfId="0" applyFont="1" applyFill="1" applyBorder="1" applyAlignment="1">
      <alignment horizontal="center"/>
    </xf>
    <xf numFmtId="170" fontId="0" fillId="7" borderId="59" xfId="1" applyNumberFormat="1" applyFont="1" applyFill="1" applyBorder="1"/>
    <xf numFmtId="0" fontId="0" fillId="7" borderId="56" xfId="0" applyFill="1" applyBorder="1" applyAlignment="1">
      <alignment horizontal="center"/>
    </xf>
    <xf numFmtId="170" fontId="0" fillId="0" borderId="3" xfId="1" applyNumberFormat="1" applyFont="1" applyBorder="1"/>
    <xf numFmtId="166" fontId="26" fillId="2" borderId="20" xfId="1" applyFont="1" applyFill="1" applyBorder="1" applyAlignment="1">
      <alignment horizontal="center"/>
    </xf>
    <xf numFmtId="0" fontId="80" fillId="2" borderId="20" xfId="0" applyFont="1" applyFill="1" applyBorder="1" applyAlignment="1">
      <alignment horizontal="center"/>
    </xf>
    <xf numFmtId="0" fontId="2" fillId="10" borderId="26" xfId="0" applyFont="1" applyFill="1" applyBorder="1" applyAlignment="1">
      <alignment horizontal="left"/>
    </xf>
    <xf numFmtId="166" fontId="1" fillId="2" borderId="3" xfId="1" applyFont="1" applyFill="1" applyBorder="1"/>
    <xf numFmtId="0" fontId="26" fillId="2" borderId="12" xfId="0" applyFont="1" applyFill="1" applyBorder="1" applyAlignment="1">
      <alignment horizontal="center"/>
    </xf>
    <xf numFmtId="0" fontId="26" fillId="2" borderId="14" xfId="0" applyFont="1" applyFill="1" applyBorder="1" applyAlignment="1">
      <alignment horizontal="center"/>
    </xf>
    <xf numFmtId="167" fontId="0" fillId="10" borderId="66" xfId="1" applyNumberFormat="1" applyFont="1" applyFill="1" applyBorder="1"/>
    <xf numFmtId="0" fontId="0" fillId="10" borderId="68" xfId="0" applyFill="1" applyBorder="1"/>
    <xf numFmtId="166" fontId="26" fillId="2" borderId="1" xfId="1" applyFont="1" applyFill="1" applyBorder="1" applyAlignment="1">
      <alignment horizontal="center"/>
    </xf>
    <xf numFmtId="0" fontId="80" fillId="2" borderId="1" xfId="0" applyFont="1" applyFill="1" applyBorder="1" applyAlignment="1">
      <alignment horizontal="center"/>
    </xf>
    <xf numFmtId="169" fontId="5" fillId="0" borderId="0" xfId="1" applyNumberFormat="1" applyFont="1" applyAlignment="1">
      <alignment horizontal="center"/>
    </xf>
    <xf numFmtId="166" fontId="18" fillId="0" borderId="0" xfId="1" applyFont="1"/>
    <xf numFmtId="9" fontId="18" fillId="0" borderId="0" xfId="0" applyNumberFormat="1" applyFont="1" applyAlignment="1">
      <alignment horizontal="center"/>
    </xf>
    <xf numFmtId="168" fontId="18" fillId="0" borderId="0" xfId="1" applyNumberFormat="1" applyFont="1" applyFill="1" applyBorder="1" applyAlignment="1">
      <alignment horizontal="center"/>
    </xf>
    <xf numFmtId="9" fontId="17" fillId="0" borderId="0" xfId="2" applyFont="1" applyBorder="1" applyAlignment="1">
      <alignment horizontal="center"/>
    </xf>
    <xf numFmtId="9" fontId="17" fillId="0" borderId="0" xfId="2" applyFont="1" applyFill="1" applyBorder="1" applyAlignment="1">
      <alignment horizontal="center"/>
    </xf>
    <xf numFmtId="1" fontId="18" fillId="0" borderId="0" xfId="0" applyNumberFormat="1" applyFont="1" applyAlignment="1">
      <alignment horizontal="center"/>
    </xf>
    <xf numFmtId="9" fontId="17" fillId="0" borderId="0" xfId="2" applyFont="1" applyAlignment="1">
      <alignment horizontal="center"/>
    </xf>
    <xf numFmtId="166" fontId="18" fillId="0" borderId="0" xfId="0" applyNumberFormat="1" applyFont="1" applyAlignment="1">
      <alignment horizontal="center"/>
    </xf>
    <xf numFmtId="9" fontId="0" fillId="0" borderId="13" xfId="2" applyFont="1" applyBorder="1"/>
    <xf numFmtId="9" fontId="18" fillId="0" borderId="0" xfId="2" applyFont="1" applyAlignment="1">
      <alignment horizontal="center"/>
    </xf>
    <xf numFmtId="9" fontId="0" fillId="0" borderId="31" xfId="2" applyFont="1" applyBorder="1"/>
    <xf numFmtId="0" fontId="2" fillId="20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9" fontId="0" fillId="0" borderId="13" xfId="0" applyNumberFormat="1" applyBorder="1"/>
    <xf numFmtId="9" fontId="0" fillId="0" borderId="5" xfId="2" applyFont="1" applyBorder="1"/>
    <xf numFmtId="0" fontId="3" fillId="20" borderId="0" xfId="7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8" fillId="20" borderId="0" xfId="5" applyFont="1" applyFill="1" applyAlignment="1">
      <alignment horizontal="center" vertical="center"/>
    </xf>
    <xf numFmtId="0" fontId="8" fillId="20" borderId="0" xfId="0" applyFont="1" applyFill="1" applyAlignment="1">
      <alignment horizontal="center"/>
    </xf>
    <xf numFmtId="0" fontId="19" fillId="20" borderId="0" xfId="0" applyFont="1" applyFill="1" applyAlignment="1">
      <alignment horizontal="center"/>
    </xf>
    <xf numFmtId="9" fontId="19" fillId="0" borderId="13" xfId="2" applyFont="1" applyBorder="1"/>
    <xf numFmtId="9" fontId="19" fillId="0" borderId="5" xfId="2" applyFont="1" applyBorder="1"/>
    <xf numFmtId="0" fontId="18" fillId="20" borderId="0" xfId="0" applyFont="1" applyFill="1" applyAlignment="1">
      <alignment horizontal="center"/>
    </xf>
    <xf numFmtId="0" fontId="4" fillId="20" borderId="0" xfId="0" applyFont="1" applyFill="1" applyAlignment="1">
      <alignment horizontal="center"/>
    </xf>
    <xf numFmtId="0" fontId="12" fillId="20" borderId="0" xfId="0" applyFont="1" applyFill="1" applyAlignment="1">
      <alignment horizontal="center"/>
    </xf>
    <xf numFmtId="9" fontId="12" fillId="0" borderId="0" xfId="2" applyFont="1"/>
    <xf numFmtId="9" fontId="0" fillId="0" borderId="0" xfId="2" applyFont="1" applyBorder="1"/>
    <xf numFmtId="9" fontId="82" fillId="0" borderId="13" xfId="2" applyFont="1" applyBorder="1" applyAlignment="1">
      <alignment horizontal="center"/>
    </xf>
    <xf numFmtId="9" fontId="8" fillId="0" borderId="13" xfId="2" applyFont="1" applyBorder="1" applyAlignment="1">
      <alignment horizontal="center"/>
    </xf>
    <xf numFmtId="0" fontId="5" fillId="20" borderId="0" xfId="5" applyFont="1" applyFill="1" applyAlignment="1">
      <alignment horizontal="center" vertical="center"/>
    </xf>
    <xf numFmtId="0" fontId="5" fillId="20" borderId="0" xfId="0" applyFont="1" applyFill="1" applyAlignment="1">
      <alignment horizontal="center"/>
    </xf>
    <xf numFmtId="0" fontId="13" fillId="20" borderId="0" xfId="0" applyFont="1" applyFill="1" applyAlignment="1">
      <alignment horizontal="center"/>
    </xf>
    <xf numFmtId="0" fontId="17" fillId="20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166" fontId="18" fillId="0" borderId="0" xfId="1" applyFont="1" applyAlignment="1">
      <alignment horizontal="center"/>
    </xf>
    <xf numFmtId="0" fontId="0" fillId="8" borderId="46" xfId="0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33" fillId="2" borderId="63" xfId="0" applyFont="1" applyFill="1" applyBorder="1" applyAlignment="1">
      <alignment horizontal="center"/>
    </xf>
    <xf numFmtId="0" fontId="33" fillId="2" borderId="54" xfId="0" applyFont="1" applyFill="1" applyBorder="1" applyAlignment="1">
      <alignment horizontal="center"/>
    </xf>
    <xf numFmtId="49" fontId="0" fillId="2" borderId="19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9" xfId="0" applyFill="1" applyBorder="1" applyAlignment="1">
      <alignment horizontal="center"/>
    </xf>
    <xf numFmtId="0" fontId="0" fillId="2" borderId="80" xfId="0" applyFill="1" applyBorder="1" applyAlignment="1">
      <alignment horizontal="center"/>
    </xf>
    <xf numFmtId="9" fontId="0" fillId="2" borderId="21" xfId="2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9" fontId="0" fillId="0" borderId="15" xfId="1" applyNumberFormat="1" applyFont="1" applyBorder="1" applyAlignment="1">
      <alignment horizontal="center" vertical="center"/>
    </xf>
    <xf numFmtId="169" fontId="0" fillId="0" borderId="16" xfId="1" applyNumberFormat="1" applyFont="1" applyBorder="1" applyAlignment="1">
      <alignment horizontal="center" vertical="center"/>
    </xf>
    <xf numFmtId="169" fontId="0" fillId="0" borderId="17" xfId="1" applyNumberFormat="1" applyFon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2" fillId="2" borderId="81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7" fontId="2" fillId="2" borderId="37" xfId="1" applyNumberFormat="1" applyFont="1" applyFill="1" applyBorder="1" applyAlignment="1">
      <alignment horizontal="center" vertical="center"/>
    </xf>
    <xf numFmtId="167" fontId="2" fillId="2" borderId="62" xfId="1" applyNumberFormat="1" applyFont="1" applyFill="1" applyBorder="1" applyAlignment="1">
      <alignment horizontal="center" vertical="center"/>
    </xf>
    <xf numFmtId="167" fontId="2" fillId="2" borderId="13" xfId="1" applyNumberFormat="1" applyFont="1" applyFill="1" applyBorder="1" applyAlignment="1">
      <alignment horizontal="center" vertical="center"/>
    </xf>
    <xf numFmtId="167" fontId="2" fillId="2" borderId="36" xfId="1" applyNumberFormat="1" applyFont="1" applyFill="1" applyBorder="1" applyAlignment="1">
      <alignment horizontal="center" vertical="center"/>
    </xf>
    <xf numFmtId="0" fontId="0" fillId="8" borderId="52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167" fontId="2" fillId="10" borderId="67" xfId="1" applyNumberFormat="1" applyFont="1" applyFill="1" applyBorder="1" applyAlignment="1">
      <alignment horizontal="center" vertical="center"/>
    </xf>
    <xf numFmtId="167" fontId="2" fillId="10" borderId="37" xfId="1" applyNumberFormat="1" applyFont="1" applyFill="1" applyBorder="1" applyAlignment="1">
      <alignment horizontal="center" vertical="center"/>
    </xf>
    <xf numFmtId="167" fontId="2" fillId="10" borderId="62" xfId="1" applyNumberFormat="1" applyFont="1" applyFill="1" applyBorder="1" applyAlignment="1">
      <alignment horizontal="center" vertical="center"/>
    </xf>
    <xf numFmtId="167" fontId="2" fillId="10" borderId="30" xfId="1" applyNumberFormat="1" applyFont="1" applyFill="1" applyBorder="1" applyAlignment="1">
      <alignment horizontal="center" vertical="center"/>
    </xf>
    <xf numFmtId="167" fontId="2" fillId="10" borderId="31" xfId="1" applyNumberFormat="1" applyFont="1" applyFill="1" applyBorder="1" applyAlignment="1">
      <alignment horizontal="center" vertical="center"/>
    </xf>
    <xf numFmtId="167" fontId="2" fillId="10" borderId="32" xfId="1" applyNumberFormat="1" applyFont="1" applyFill="1" applyBorder="1" applyAlignment="1">
      <alignment horizontal="center" vertical="center"/>
    </xf>
    <xf numFmtId="0" fontId="2" fillId="10" borderId="67" xfId="0" applyFont="1" applyFill="1" applyBorder="1" applyAlignment="1">
      <alignment horizontal="center" vertical="center"/>
    </xf>
    <xf numFmtId="0" fontId="2" fillId="10" borderId="62" xfId="0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horizontal="center" vertical="center"/>
    </xf>
    <xf numFmtId="0" fontId="2" fillId="10" borderId="32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2" fillId="10" borderId="31" xfId="0" applyFont="1" applyFill="1" applyBorder="1" applyAlignment="1">
      <alignment horizontal="center" vertical="center"/>
    </xf>
    <xf numFmtId="0" fontId="32" fillId="2" borderId="58" xfId="0" applyFont="1" applyFill="1" applyBorder="1" applyAlignment="1">
      <alignment horizontal="center"/>
    </xf>
    <xf numFmtId="0" fontId="32" fillId="2" borderId="59" xfId="0" applyFont="1" applyFill="1" applyBorder="1" applyAlignment="1">
      <alignment horizontal="center"/>
    </xf>
    <xf numFmtId="0" fontId="32" fillId="2" borderId="60" xfId="0" applyFont="1" applyFill="1" applyBorder="1" applyAlignment="1">
      <alignment horizontal="center"/>
    </xf>
    <xf numFmtId="0" fontId="0" fillId="10" borderId="18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49" fontId="0" fillId="10" borderId="19" xfId="0" applyNumberFormat="1" applyFill="1" applyBorder="1" applyAlignment="1">
      <alignment horizontal="center" vertical="center"/>
    </xf>
    <xf numFmtId="49" fontId="0" fillId="10" borderId="26" xfId="0" applyNumberFormat="1" applyFill="1" applyBorder="1" applyAlignment="1">
      <alignment horizontal="center" vertical="center"/>
    </xf>
    <xf numFmtId="0" fontId="27" fillId="2" borderId="58" xfId="0" applyFont="1" applyFill="1" applyBorder="1" applyAlignment="1">
      <alignment horizontal="center"/>
    </xf>
    <xf numFmtId="0" fontId="27" fillId="2" borderId="59" xfId="0" applyFont="1" applyFill="1" applyBorder="1" applyAlignment="1">
      <alignment horizontal="center"/>
    </xf>
    <xf numFmtId="0" fontId="27" fillId="2" borderId="60" xfId="0" applyFon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7" borderId="20" xfId="0" applyFill="1" applyBorder="1" applyAlignment="1">
      <alignment horizontal="center"/>
    </xf>
    <xf numFmtId="9" fontId="0" fillId="7" borderId="66" xfId="2" applyFont="1" applyFill="1" applyBorder="1" applyAlignment="1">
      <alignment horizontal="center" vertical="center"/>
    </xf>
    <xf numFmtId="9" fontId="0" fillId="7" borderId="68" xfId="2" applyFont="1" applyFill="1" applyBorder="1" applyAlignment="1">
      <alignment horizontal="center" vertical="center"/>
    </xf>
    <xf numFmtId="167" fontId="2" fillId="7" borderId="67" xfId="1" applyNumberFormat="1" applyFont="1" applyFill="1" applyBorder="1" applyAlignment="1">
      <alignment horizontal="center" vertical="center"/>
    </xf>
    <xf numFmtId="167" fontId="2" fillId="7" borderId="37" xfId="1" applyNumberFormat="1" applyFont="1" applyFill="1" applyBorder="1" applyAlignment="1">
      <alignment horizontal="center" vertical="center"/>
    </xf>
    <xf numFmtId="167" fontId="2" fillId="7" borderId="62" xfId="1" applyNumberFormat="1" applyFont="1" applyFill="1" applyBorder="1" applyAlignment="1">
      <alignment horizontal="center" vertical="center"/>
    </xf>
    <xf numFmtId="167" fontId="2" fillId="7" borderId="30" xfId="1" applyNumberFormat="1" applyFont="1" applyFill="1" applyBorder="1" applyAlignment="1">
      <alignment horizontal="center" vertical="center"/>
    </xf>
    <xf numFmtId="167" fontId="2" fillId="7" borderId="31" xfId="1" applyNumberFormat="1" applyFont="1" applyFill="1" applyBorder="1" applyAlignment="1">
      <alignment horizontal="center" vertical="center"/>
    </xf>
    <xf numFmtId="167" fontId="2" fillId="7" borderId="32" xfId="1" applyNumberFormat="1" applyFont="1" applyFill="1" applyBorder="1" applyAlignment="1">
      <alignment horizontal="center" vertical="center"/>
    </xf>
    <xf numFmtId="0" fontId="2" fillId="7" borderId="67" xfId="0" applyFont="1" applyFill="1" applyBorder="1" applyAlignment="1">
      <alignment horizontal="center" vertical="center"/>
    </xf>
    <xf numFmtId="0" fontId="2" fillId="7" borderId="62" xfId="0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/>
    </xf>
    <xf numFmtId="0" fontId="27" fillId="2" borderId="0" xfId="0" applyFont="1" applyFill="1" applyAlignment="1">
      <alignment horizontal="center"/>
    </xf>
    <xf numFmtId="0" fontId="27" fillId="2" borderId="24" xfId="0" applyFont="1" applyFill="1" applyBorder="1" applyAlignment="1">
      <alignment horizontal="center"/>
    </xf>
    <xf numFmtId="0" fontId="0" fillId="7" borderId="18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49" fontId="0" fillId="7" borderId="19" xfId="0" applyNumberFormat="1" applyFill="1" applyBorder="1" applyAlignment="1">
      <alignment horizontal="center" vertical="center"/>
    </xf>
    <xf numFmtId="49" fontId="0" fillId="7" borderId="26" xfId="0" applyNumberForma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/>
    </xf>
    <xf numFmtId="9" fontId="10" fillId="7" borderId="21" xfId="2" applyFont="1" applyFill="1" applyBorder="1" applyAlignment="1">
      <alignment horizontal="center" vertical="center"/>
    </xf>
    <xf numFmtId="9" fontId="10" fillId="7" borderId="28" xfId="2" applyFont="1" applyFill="1" applyBorder="1" applyAlignment="1">
      <alignment horizontal="center" vertical="center"/>
    </xf>
    <xf numFmtId="167" fontId="26" fillId="7" borderId="23" xfId="1" applyNumberFormat="1" applyFont="1" applyFill="1" applyBorder="1" applyAlignment="1">
      <alignment horizontal="center" vertical="center"/>
    </xf>
    <xf numFmtId="167" fontId="26" fillId="7" borderId="0" xfId="1" applyNumberFormat="1" applyFont="1" applyFill="1" applyBorder="1" applyAlignment="1">
      <alignment horizontal="center" vertical="center"/>
    </xf>
    <xf numFmtId="167" fontId="26" fillId="7" borderId="24" xfId="1" applyNumberFormat="1" applyFont="1" applyFill="1" applyBorder="1" applyAlignment="1">
      <alignment horizontal="center" vertical="center"/>
    </xf>
    <xf numFmtId="167" fontId="26" fillId="7" borderId="30" xfId="1" applyNumberFormat="1" applyFont="1" applyFill="1" applyBorder="1" applyAlignment="1">
      <alignment horizontal="center" vertical="center"/>
    </xf>
    <xf numFmtId="167" fontId="26" fillId="7" borderId="31" xfId="1" applyNumberFormat="1" applyFont="1" applyFill="1" applyBorder="1" applyAlignment="1">
      <alignment horizontal="center" vertical="center"/>
    </xf>
    <xf numFmtId="167" fontId="26" fillId="7" borderId="32" xfId="1" applyNumberFormat="1" applyFont="1" applyFill="1" applyBorder="1" applyAlignment="1">
      <alignment horizontal="center" vertical="center"/>
    </xf>
    <xf numFmtId="0" fontId="26" fillId="7" borderId="23" xfId="0" applyFont="1" applyFill="1" applyBorder="1" applyAlignment="1">
      <alignment horizontal="center" vertical="center"/>
    </xf>
    <xf numFmtId="0" fontId="26" fillId="7" borderId="24" xfId="0" applyFont="1" applyFill="1" applyBorder="1" applyAlignment="1">
      <alignment horizontal="center" vertical="center"/>
    </xf>
    <xf numFmtId="0" fontId="26" fillId="7" borderId="30" xfId="0" applyFont="1" applyFill="1" applyBorder="1" applyAlignment="1">
      <alignment horizontal="center" vertical="center"/>
    </xf>
    <xf numFmtId="0" fontId="26" fillId="7" borderId="32" xfId="0" applyFont="1" applyFill="1" applyBorder="1" applyAlignment="1">
      <alignment horizontal="center" vertical="center"/>
    </xf>
    <xf numFmtId="9" fontId="0" fillId="0" borderId="0" xfId="1" applyNumberFormat="1" applyFont="1" applyAlignment="1">
      <alignment horizontal="center"/>
    </xf>
    <xf numFmtId="0" fontId="26" fillId="7" borderId="0" xfId="0" applyFont="1" applyFill="1" applyAlignment="1">
      <alignment horizontal="center" vertical="center"/>
    </xf>
    <xf numFmtId="0" fontId="26" fillId="7" borderId="31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7" fillId="2" borderId="16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49" fontId="10" fillId="7" borderId="19" xfId="0" applyNumberFormat="1" applyFont="1" applyFill="1" applyBorder="1" applyAlignment="1">
      <alignment horizontal="center" vertical="center"/>
    </xf>
    <xf numFmtId="49" fontId="10" fillId="7" borderId="26" xfId="0" applyNumberFormat="1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26" fillId="2" borderId="67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center" vertical="center"/>
    </xf>
    <xf numFmtId="0" fontId="26" fillId="2" borderId="62" xfId="0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39" fillId="2" borderId="12" xfId="0" applyFont="1" applyFill="1" applyBorder="1" applyAlignment="1">
      <alignment horizontal="center"/>
    </xf>
    <xf numFmtId="0" fontId="39" fillId="2" borderId="13" xfId="0" applyFont="1" applyFill="1" applyBorder="1" applyAlignment="1">
      <alignment horizontal="center"/>
    </xf>
    <xf numFmtId="0" fontId="39" fillId="2" borderId="14" xfId="0" applyFont="1" applyFill="1" applyBorder="1" applyAlignment="1">
      <alignment horizontal="center"/>
    </xf>
    <xf numFmtId="0" fontId="0" fillId="2" borderId="26" xfId="0" applyFill="1" applyBorder="1" applyAlignment="1">
      <alignment horizontal="center" vertical="center"/>
    </xf>
    <xf numFmtId="9" fontId="0" fillId="2" borderId="66" xfId="2" applyFont="1" applyFill="1" applyBorder="1" applyAlignment="1">
      <alignment horizontal="center" vertical="center"/>
    </xf>
    <xf numFmtId="9" fontId="0" fillId="2" borderId="68" xfId="2" applyFont="1" applyFill="1" applyBorder="1" applyAlignment="1">
      <alignment horizontal="center" vertical="center"/>
    </xf>
    <xf numFmtId="167" fontId="26" fillId="2" borderId="67" xfId="1" applyNumberFormat="1" applyFont="1" applyFill="1" applyBorder="1" applyAlignment="1">
      <alignment horizontal="center" vertical="center"/>
    </xf>
    <xf numFmtId="167" fontId="26" fillId="2" borderId="37" xfId="1" applyNumberFormat="1" applyFont="1" applyFill="1" applyBorder="1" applyAlignment="1">
      <alignment horizontal="center" vertical="center"/>
    </xf>
    <xf numFmtId="167" fontId="26" fillId="2" borderId="62" xfId="1" applyNumberFormat="1" applyFont="1" applyFill="1" applyBorder="1" applyAlignment="1">
      <alignment horizontal="center" vertical="center"/>
    </xf>
    <xf numFmtId="167" fontId="26" fillId="2" borderId="30" xfId="1" applyNumberFormat="1" applyFont="1" applyFill="1" applyBorder="1" applyAlignment="1">
      <alignment horizontal="center" vertical="center"/>
    </xf>
    <xf numFmtId="167" fontId="26" fillId="2" borderId="31" xfId="1" applyNumberFormat="1" applyFont="1" applyFill="1" applyBorder="1" applyAlignment="1">
      <alignment horizontal="center" vertical="center"/>
    </xf>
    <xf numFmtId="167" fontId="26" fillId="2" borderId="32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0" fillId="0" borderId="7" xfId="1" applyFont="1" applyBorder="1" applyAlignment="1">
      <alignment horizontal="center" vertical="center"/>
    </xf>
    <xf numFmtId="166" fontId="0" fillId="0" borderId="8" xfId="1" applyFont="1" applyBorder="1" applyAlignment="1">
      <alignment horizontal="center" vertical="center"/>
    </xf>
    <xf numFmtId="166" fontId="0" fillId="0" borderId="9" xfId="1" applyFont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49" fontId="0" fillId="2" borderId="26" xfId="0" applyNumberFormat="1" applyFill="1" applyBorder="1" applyAlignment="1">
      <alignment horizontal="center" vertical="center"/>
    </xf>
    <xf numFmtId="9" fontId="0" fillId="10" borderId="66" xfId="2" applyFont="1" applyFill="1" applyBorder="1" applyAlignment="1">
      <alignment horizontal="center" vertical="center"/>
    </xf>
    <xf numFmtId="9" fontId="0" fillId="10" borderId="68" xfId="2" applyFont="1" applyFill="1" applyBorder="1" applyAlignment="1">
      <alignment horizontal="center" vertical="center"/>
    </xf>
    <xf numFmtId="167" fontId="26" fillId="10" borderId="67" xfId="1" applyNumberFormat="1" applyFont="1" applyFill="1" applyBorder="1" applyAlignment="1">
      <alignment horizontal="center" vertical="center"/>
    </xf>
    <xf numFmtId="167" fontId="26" fillId="10" borderId="37" xfId="1" applyNumberFormat="1" applyFont="1" applyFill="1" applyBorder="1" applyAlignment="1">
      <alignment horizontal="center" vertical="center"/>
    </xf>
    <xf numFmtId="167" fontId="26" fillId="10" borderId="62" xfId="1" applyNumberFormat="1" applyFont="1" applyFill="1" applyBorder="1" applyAlignment="1">
      <alignment horizontal="center" vertical="center"/>
    </xf>
    <xf numFmtId="167" fontId="26" fillId="10" borderId="30" xfId="1" applyNumberFormat="1" applyFont="1" applyFill="1" applyBorder="1" applyAlignment="1">
      <alignment horizontal="center" vertical="center"/>
    </xf>
    <xf numFmtId="167" fontId="26" fillId="10" borderId="31" xfId="1" applyNumberFormat="1" applyFont="1" applyFill="1" applyBorder="1" applyAlignment="1">
      <alignment horizontal="center" vertical="center"/>
    </xf>
    <xf numFmtId="167" fontId="26" fillId="10" borderId="32" xfId="1" applyNumberFormat="1" applyFont="1" applyFill="1" applyBorder="1" applyAlignment="1">
      <alignment horizontal="center" vertical="center"/>
    </xf>
    <xf numFmtId="0" fontId="26" fillId="10" borderId="67" xfId="0" applyFont="1" applyFill="1" applyBorder="1" applyAlignment="1">
      <alignment horizontal="center" vertical="center"/>
    </xf>
    <xf numFmtId="0" fontId="26" fillId="10" borderId="62" xfId="0" applyFont="1" applyFill="1" applyBorder="1" applyAlignment="1">
      <alignment horizontal="center" vertical="center"/>
    </xf>
    <xf numFmtId="0" fontId="26" fillId="10" borderId="30" xfId="0" applyFont="1" applyFill="1" applyBorder="1" applyAlignment="1">
      <alignment horizontal="center" vertical="center"/>
    </xf>
    <xf numFmtId="0" fontId="26" fillId="10" borderId="32" xfId="0" applyFont="1" applyFill="1" applyBorder="1" applyAlignment="1">
      <alignment horizontal="center" vertical="center"/>
    </xf>
    <xf numFmtId="0" fontId="26" fillId="10" borderId="37" xfId="0" applyFont="1" applyFill="1" applyBorder="1" applyAlignment="1">
      <alignment horizontal="center" vertical="center"/>
    </xf>
    <xf numFmtId="0" fontId="26" fillId="10" borderId="31" xfId="0" applyFont="1" applyFill="1" applyBorder="1" applyAlignment="1">
      <alignment horizontal="center" vertical="center"/>
    </xf>
    <xf numFmtId="0" fontId="32" fillId="2" borderId="12" xfId="0" applyFont="1" applyFill="1" applyBorder="1" applyAlignment="1">
      <alignment horizontal="center" vertical="center"/>
    </xf>
    <xf numFmtId="0" fontId="32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/>
    </xf>
    <xf numFmtId="0" fontId="27" fillId="2" borderId="13" xfId="0" applyFont="1" applyFill="1" applyBorder="1" applyAlignment="1">
      <alignment horizontal="center"/>
    </xf>
    <xf numFmtId="0" fontId="26" fillId="7" borderId="67" xfId="0" applyFont="1" applyFill="1" applyBorder="1" applyAlignment="1">
      <alignment horizontal="center" vertical="center"/>
    </xf>
    <xf numFmtId="0" fontId="26" fillId="7" borderId="37" xfId="0" applyFont="1" applyFill="1" applyBorder="1" applyAlignment="1">
      <alignment horizontal="center" vertical="center"/>
    </xf>
    <xf numFmtId="0" fontId="26" fillId="7" borderId="62" xfId="0" applyFont="1" applyFill="1" applyBorder="1" applyAlignment="1">
      <alignment horizontal="center" vertical="center"/>
    </xf>
    <xf numFmtId="167" fontId="26" fillId="7" borderId="67" xfId="1" applyNumberFormat="1" applyFont="1" applyFill="1" applyBorder="1" applyAlignment="1">
      <alignment horizontal="center" vertical="center"/>
    </xf>
    <xf numFmtId="167" fontId="26" fillId="7" borderId="37" xfId="1" applyNumberFormat="1" applyFont="1" applyFill="1" applyBorder="1" applyAlignment="1">
      <alignment horizontal="center" vertical="center"/>
    </xf>
    <xf numFmtId="167" fontId="26" fillId="7" borderId="62" xfId="1" applyNumberFormat="1" applyFont="1" applyFill="1" applyBorder="1" applyAlignment="1">
      <alignment horizontal="center" vertical="center"/>
    </xf>
    <xf numFmtId="9" fontId="10" fillId="7" borderId="66" xfId="2" applyFont="1" applyFill="1" applyBorder="1" applyAlignment="1">
      <alignment horizontal="center" vertical="center"/>
    </xf>
    <xf numFmtId="9" fontId="10" fillId="7" borderId="68" xfId="2" applyFont="1" applyFill="1" applyBorder="1" applyAlignment="1">
      <alignment horizontal="center" vertical="center"/>
    </xf>
    <xf numFmtId="0" fontId="37" fillId="2" borderId="58" xfId="0" applyFont="1" applyFill="1" applyBorder="1" applyAlignment="1">
      <alignment horizontal="center"/>
    </xf>
    <xf numFmtId="0" fontId="37" fillId="2" borderId="59" xfId="0" applyFont="1" applyFill="1" applyBorder="1" applyAlignment="1">
      <alignment horizontal="center"/>
    </xf>
    <xf numFmtId="0" fontId="37" fillId="2" borderId="60" xfId="0" applyFont="1" applyFill="1" applyBorder="1" applyAlignment="1">
      <alignment horizontal="center"/>
    </xf>
    <xf numFmtId="0" fontId="40" fillId="2" borderId="12" xfId="0" applyFont="1" applyFill="1" applyBorder="1" applyAlignment="1">
      <alignment horizontal="center"/>
    </xf>
    <xf numFmtId="0" fontId="40" fillId="2" borderId="13" xfId="0" applyFont="1" applyFill="1" applyBorder="1" applyAlignment="1">
      <alignment horizontal="center"/>
    </xf>
    <xf numFmtId="166" fontId="0" fillId="0" borderId="56" xfId="1" applyFont="1" applyBorder="1" applyAlignment="1">
      <alignment horizontal="center" vertical="center"/>
    </xf>
    <xf numFmtId="166" fontId="0" fillId="0" borderId="54" xfId="1" applyFont="1" applyBorder="1" applyAlignment="1">
      <alignment horizontal="center" vertical="center"/>
    </xf>
    <xf numFmtId="166" fontId="0" fillId="0" borderId="55" xfId="1" applyFont="1" applyBorder="1" applyAlignment="1">
      <alignment horizontal="center" vertical="center"/>
    </xf>
    <xf numFmtId="0" fontId="32" fillId="2" borderId="12" xfId="0" applyFont="1" applyFill="1" applyBorder="1" applyAlignment="1">
      <alignment horizontal="center"/>
    </xf>
    <xf numFmtId="0" fontId="32" fillId="2" borderId="13" xfId="0" applyFont="1" applyFill="1" applyBorder="1" applyAlignment="1">
      <alignment horizontal="center"/>
    </xf>
    <xf numFmtId="0" fontId="39" fillId="2" borderId="58" xfId="0" applyFont="1" applyFill="1" applyBorder="1" applyAlignment="1">
      <alignment horizontal="center"/>
    </xf>
    <xf numFmtId="0" fontId="39" fillId="2" borderId="59" xfId="0" applyFont="1" applyFill="1" applyBorder="1" applyAlignment="1">
      <alignment horizontal="center"/>
    </xf>
    <xf numFmtId="0" fontId="39" fillId="2" borderId="60" xfId="0" applyFont="1" applyFill="1" applyBorder="1" applyAlignment="1">
      <alignment horizontal="center"/>
    </xf>
    <xf numFmtId="0" fontId="0" fillId="8" borderId="89" xfId="0" applyFill="1" applyBorder="1" applyAlignment="1">
      <alignment horizontal="center"/>
    </xf>
    <xf numFmtId="0" fontId="40" fillId="2" borderId="58" xfId="0" applyFont="1" applyFill="1" applyBorder="1" applyAlignment="1">
      <alignment horizontal="center"/>
    </xf>
    <xf numFmtId="0" fontId="40" fillId="2" borderId="59" xfId="0" applyFont="1" applyFill="1" applyBorder="1" applyAlignment="1">
      <alignment horizontal="center"/>
    </xf>
    <xf numFmtId="0" fontId="40" fillId="2" borderId="60" xfId="0" applyFont="1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167" fontId="28" fillId="2" borderId="67" xfId="1" applyNumberFormat="1" applyFont="1" applyFill="1" applyBorder="1" applyAlignment="1">
      <alignment horizontal="center" vertical="center"/>
    </xf>
    <xf numFmtId="167" fontId="28" fillId="2" borderId="37" xfId="1" applyNumberFormat="1" applyFont="1" applyFill="1" applyBorder="1" applyAlignment="1">
      <alignment horizontal="center" vertical="center"/>
    </xf>
    <xf numFmtId="167" fontId="28" fillId="2" borderId="62" xfId="1" applyNumberFormat="1" applyFont="1" applyFill="1" applyBorder="1" applyAlignment="1">
      <alignment horizontal="center" vertical="center"/>
    </xf>
    <xf numFmtId="167" fontId="28" fillId="2" borderId="30" xfId="1" applyNumberFormat="1" applyFont="1" applyFill="1" applyBorder="1" applyAlignment="1">
      <alignment horizontal="center" vertical="center"/>
    </xf>
    <xf numFmtId="167" fontId="28" fillId="2" borderId="31" xfId="1" applyNumberFormat="1" applyFont="1" applyFill="1" applyBorder="1" applyAlignment="1">
      <alignment horizontal="center" vertical="center"/>
    </xf>
    <xf numFmtId="167" fontId="28" fillId="2" borderId="32" xfId="1" applyNumberFormat="1" applyFont="1" applyFill="1" applyBorder="1" applyAlignment="1">
      <alignment horizontal="center" vertical="center"/>
    </xf>
    <xf numFmtId="0" fontId="28" fillId="2" borderId="67" xfId="0" applyFont="1" applyFill="1" applyBorder="1" applyAlignment="1">
      <alignment horizontal="center" vertical="center"/>
    </xf>
    <xf numFmtId="0" fontId="28" fillId="2" borderId="62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7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166" fontId="0" fillId="0" borderId="4" xfId="1" applyFont="1" applyBorder="1" applyAlignment="1">
      <alignment horizontal="center" vertical="center"/>
    </xf>
    <xf numFmtId="166" fontId="0" fillId="0" borderId="5" xfId="1" applyFont="1" applyBorder="1" applyAlignment="1">
      <alignment horizontal="center" vertical="center"/>
    </xf>
    <xf numFmtId="166" fontId="0" fillId="0" borderId="2" xfId="1" applyFont="1" applyBorder="1" applyAlignment="1">
      <alignment horizontal="center" vertical="center"/>
    </xf>
    <xf numFmtId="0" fontId="28" fillId="10" borderId="67" xfId="0" applyFont="1" applyFill="1" applyBorder="1" applyAlignment="1">
      <alignment horizontal="center" vertical="center"/>
    </xf>
    <xf numFmtId="0" fontId="28" fillId="10" borderId="37" xfId="0" applyFont="1" applyFill="1" applyBorder="1" applyAlignment="1">
      <alignment horizontal="center" vertical="center"/>
    </xf>
    <xf numFmtId="0" fontId="28" fillId="10" borderId="62" xfId="0" applyFont="1" applyFill="1" applyBorder="1" applyAlignment="1">
      <alignment horizontal="center" vertical="center"/>
    </xf>
    <xf numFmtId="0" fontId="28" fillId="10" borderId="30" xfId="0" applyFont="1" applyFill="1" applyBorder="1" applyAlignment="1">
      <alignment horizontal="center" vertical="center"/>
    </xf>
    <xf numFmtId="0" fontId="28" fillId="10" borderId="31" xfId="0" applyFont="1" applyFill="1" applyBorder="1" applyAlignment="1">
      <alignment horizontal="center" vertical="center"/>
    </xf>
    <xf numFmtId="0" fontId="28" fillId="10" borderId="32" xfId="0" applyFont="1" applyFill="1" applyBorder="1" applyAlignment="1">
      <alignment horizontal="center" vertical="center"/>
    </xf>
    <xf numFmtId="167" fontId="28" fillId="10" borderId="67" xfId="1" applyNumberFormat="1" applyFont="1" applyFill="1" applyBorder="1" applyAlignment="1">
      <alignment horizontal="center" vertical="center"/>
    </xf>
    <xf numFmtId="167" fontId="28" fillId="10" borderId="37" xfId="1" applyNumberFormat="1" applyFont="1" applyFill="1" applyBorder="1" applyAlignment="1">
      <alignment horizontal="center" vertical="center"/>
    </xf>
    <xf numFmtId="167" fontId="28" fillId="10" borderId="62" xfId="1" applyNumberFormat="1" applyFont="1" applyFill="1" applyBorder="1" applyAlignment="1">
      <alignment horizontal="center" vertical="center"/>
    </xf>
    <xf numFmtId="167" fontId="28" fillId="10" borderId="30" xfId="1" applyNumberFormat="1" applyFont="1" applyFill="1" applyBorder="1" applyAlignment="1">
      <alignment horizontal="center" vertical="center"/>
    </xf>
    <xf numFmtId="167" fontId="28" fillId="10" borderId="31" xfId="1" applyNumberFormat="1" applyFont="1" applyFill="1" applyBorder="1" applyAlignment="1">
      <alignment horizontal="center" vertical="center"/>
    </xf>
    <xf numFmtId="167" fontId="28" fillId="10" borderId="32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8" fillId="7" borderId="67" xfId="0" applyFont="1" applyFill="1" applyBorder="1" applyAlignment="1">
      <alignment horizontal="center" vertical="center"/>
    </xf>
    <xf numFmtId="0" fontId="28" fillId="7" borderId="62" xfId="0" applyFont="1" applyFill="1" applyBorder="1" applyAlignment="1">
      <alignment horizontal="center" vertical="center"/>
    </xf>
    <xf numFmtId="0" fontId="28" fillId="7" borderId="30" xfId="0" applyFont="1" applyFill="1" applyBorder="1" applyAlignment="1">
      <alignment horizontal="center" vertical="center"/>
    </xf>
    <xf numFmtId="0" fontId="28" fillId="7" borderId="32" xfId="0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28" fillId="7" borderId="31" xfId="0" applyFont="1" applyFill="1" applyBorder="1" applyAlignment="1">
      <alignment horizontal="center" vertical="center"/>
    </xf>
    <xf numFmtId="167" fontId="28" fillId="7" borderId="67" xfId="1" applyNumberFormat="1" applyFont="1" applyFill="1" applyBorder="1" applyAlignment="1">
      <alignment horizontal="center" vertical="center"/>
    </xf>
    <xf numFmtId="167" fontId="28" fillId="7" borderId="37" xfId="1" applyNumberFormat="1" applyFont="1" applyFill="1" applyBorder="1" applyAlignment="1">
      <alignment horizontal="center" vertical="center"/>
    </xf>
    <xf numFmtId="167" fontId="28" fillId="7" borderId="62" xfId="1" applyNumberFormat="1" applyFont="1" applyFill="1" applyBorder="1" applyAlignment="1">
      <alignment horizontal="center" vertical="center"/>
    </xf>
    <xf numFmtId="167" fontId="28" fillId="7" borderId="30" xfId="1" applyNumberFormat="1" applyFont="1" applyFill="1" applyBorder="1" applyAlignment="1">
      <alignment horizontal="center" vertical="center"/>
    </xf>
    <xf numFmtId="167" fontId="28" fillId="7" borderId="31" xfId="1" applyNumberFormat="1" applyFont="1" applyFill="1" applyBorder="1" applyAlignment="1">
      <alignment horizontal="center" vertical="center"/>
    </xf>
    <xf numFmtId="167" fontId="28" fillId="7" borderId="32" xfId="1" applyNumberFormat="1" applyFont="1" applyFill="1" applyBorder="1" applyAlignment="1">
      <alignment horizontal="center" vertical="center"/>
    </xf>
    <xf numFmtId="0" fontId="28" fillId="7" borderId="6" xfId="0" applyFont="1" applyFill="1" applyBorder="1" applyAlignment="1">
      <alignment horizontal="center" vertical="center"/>
    </xf>
    <xf numFmtId="0" fontId="28" fillId="7" borderId="2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/>
    </xf>
    <xf numFmtId="9" fontId="28" fillId="7" borderId="74" xfId="2" applyFont="1" applyFill="1" applyBorder="1" applyAlignment="1">
      <alignment horizontal="center" vertical="center"/>
    </xf>
    <xf numFmtId="9" fontId="28" fillId="7" borderId="68" xfId="2" applyFont="1" applyFill="1" applyBorder="1" applyAlignment="1">
      <alignment horizontal="center" vertical="center"/>
    </xf>
    <xf numFmtId="167" fontId="28" fillId="7" borderId="23" xfId="1" applyNumberFormat="1" applyFont="1" applyFill="1" applyBorder="1" applyAlignment="1">
      <alignment horizontal="center" vertical="center"/>
    </xf>
    <xf numFmtId="167" fontId="28" fillId="7" borderId="0" xfId="1" applyNumberFormat="1" applyFont="1" applyFill="1" applyBorder="1" applyAlignment="1">
      <alignment horizontal="center" vertical="center"/>
    </xf>
    <xf numFmtId="167" fontId="28" fillId="7" borderId="24" xfId="1" applyNumberFormat="1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28" fillId="7" borderId="25" xfId="0" applyFont="1" applyFill="1" applyBorder="1" applyAlignment="1">
      <alignment horizontal="center" vertical="center"/>
    </xf>
    <xf numFmtId="49" fontId="28" fillId="7" borderId="6" xfId="0" applyNumberFormat="1" applyFont="1" applyFill="1" applyBorder="1" applyAlignment="1">
      <alignment horizontal="center" vertical="center"/>
    </xf>
    <xf numFmtId="49" fontId="28" fillId="7" borderId="26" xfId="0" applyNumberFormat="1" applyFont="1" applyFill="1" applyBorder="1" applyAlignment="1">
      <alignment horizontal="center" vertical="center"/>
    </xf>
    <xf numFmtId="0" fontId="28" fillId="7" borderId="23" xfId="0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24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2" fillId="2" borderId="4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49" fontId="0" fillId="10" borderId="42" xfId="0" applyNumberFormat="1" applyFill="1" applyBorder="1" applyAlignment="1">
      <alignment horizontal="center" vertical="center"/>
    </xf>
    <xf numFmtId="49" fontId="0" fillId="10" borderId="3" xfId="0" applyNumberFormat="1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9" fontId="0" fillId="10" borderId="42" xfId="2" applyFont="1" applyFill="1" applyBorder="1" applyAlignment="1">
      <alignment horizontal="center" vertical="center"/>
    </xf>
    <xf numFmtId="9" fontId="0" fillId="10" borderId="3" xfId="2" applyFont="1" applyFill="1" applyBorder="1" applyAlignment="1">
      <alignment horizontal="center" vertical="center"/>
    </xf>
    <xf numFmtId="0" fontId="28" fillId="7" borderId="19" xfId="0" applyFont="1" applyFill="1" applyBorder="1" applyAlignment="1">
      <alignment horizontal="center" vertical="center"/>
    </xf>
    <xf numFmtId="0" fontId="28" fillId="7" borderId="20" xfId="0" applyFont="1" applyFill="1" applyBorder="1" applyAlignment="1">
      <alignment horizontal="center"/>
    </xf>
    <xf numFmtId="9" fontId="28" fillId="7" borderId="66" xfId="2" applyFont="1" applyFill="1" applyBorder="1" applyAlignment="1">
      <alignment horizontal="center" vertical="center"/>
    </xf>
    <xf numFmtId="0" fontId="28" fillId="7" borderId="18" xfId="0" applyFont="1" applyFill="1" applyBorder="1" applyAlignment="1">
      <alignment horizontal="center" vertical="center"/>
    </xf>
    <xf numFmtId="49" fontId="28" fillId="7" borderId="19" xfId="0" applyNumberFormat="1" applyFont="1" applyFill="1" applyBorder="1" applyAlignment="1">
      <alignment horizontal="center" vertical="center"/>
    </xf>
    <xf numFmtId="0" fontId="44" fillId="2" borderId="12" xfId="0" applyFont="1" applyFill="1" applyBorder="1" applyAlignment="1">
      <alignment horizontal="center"/>
    </xf>
    <xf numFmtId="0" fontId="44" fillId="2" borderId="13" xfId="0" applyFont="1" applyFill="1" applyBorder="1" applyAlignment="1">
      <alignment horizontal="center"/>
    </xf>
    <xf numFmtId="0" fontId="28" fillId="10" borderId="20" xfId="0" applyFont="1" applyFill="1" applyBorder="1" applyAlignment="1">
      <alignment horizontal="center"/>
    </xf>
    <xf numFmtId="9" fontId="28" fillId="10" borderId="66" xfId="2" applyFont="1" applyFill="1" applyBorder="1" applyAlignment="1">
      <alignment horizontal="center" vertical="center"/>
    </xf>
    <xf numFmtId="9" fontId="28" fillId="10" borderId="68" xfId="2" applyFont="1" applyFill="1" applyBorder="1" applyAlignment="1">
      <alignment horizontal="center" vertical="center"/>
    </xf>
    <xf numFmtId="0" fontId="28" fillId="10" borderId="18" xfId="0" applyFont="1" applyFill="1" applyBorder="1" applyAlignment="1">
      <alignment horizontal="center" vertical="center"/>
    </xf>
    <xf numFmtId="0" fontId="28" fillId="10" borderId="25" xfId="0" applyFont="1" applyFill="1" applyBorder="1" applyAlignment="1">
      <alignment horizontal="center" vertical="center"/>
    </xf>
    <xf numFmtId="0" fontId="28" fillId="10" borderId="19" xfId="0" applyFont="1" applyFill="1" applyBorder="1" applyAlignment="1">
      <alignment horizontal="center" vertical="center"/>
    </xf>
    <xf numFmtId="0" fontId="28" fillId="10" borderId="26" xfId="0" applyFont="1" applyFill="1" applyBorder="1" applyAlignment="1">
      <alignment horizontal="center" vertical="center"/>
    </xf>
    <xf numFmtId="49" fontId="28" fillId="10" borderId="19" xfId="0" applyNumberFormat="1" applyFont="1" applyFill="1" applyBorder="1" applyAlignment="1">
      <alignment horizontal="center" vertical="center"/>
    </xf>
    <xf numFmtId="49" fontId="28" fillId="10" borderId="26" xfId="0" applyNumberFormat="1" applyFont="1" applyFill="1" applyBorder="1" applyAlignment="1">
      <alignment horizontal="center" vertical="center"/>
    </xf>
    <xf numFmtId="0" fontId="0" fillId="7" borderId="80" xfId="0" applyFill="1" applyBorder="1" applyAlignment="1">
      <alignment horizontal="center"/>
    </xf>
    <xf numFmtId="0" fontId="0" fillId="10" borderId="79" xfId="0" applyFill="1" applyBorder="1" applyAlignment="1">
      <alignment horizontal="center"/>
    </xf>
    <xf numFmtId="0" fontId="0" fillId="10" borderId="80" xfId="0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50" fillId="12" borderId="4" xfId="4" applyFont="1" applyFill="1" applyBorder="1" applyAlignment="1">
      <alignment horizontal="center" vertical="center"/>
    </xf>
    <xf numFmtId="0" fontId="50" fillId="12" borderId="5" xfId="4" applyFont="1" applyFill="1" applyBorder="1" applyAlignment="1">
      <alignment horizontal="center" vertical="center"/>
    </xf>
    <xf numFmtId="1" fontId="8" fillId="13" borderId="49" xfId="3" applyNumberFormat="1" applyFont="1" applyFill="1" applyBorder="1" applyAlignment="1">
      <alignment horizontal="center" vertical="center" wrapText="1"/>
    </xf>
    <xf numFmtId="167" fontId="0" fillId="0" borderId="63" xfId="1" applyNumberFormat="1" applyFont="1" applyBorder="1" applyAlignment="1">
      <alignment horizontal="center"/>
    </xf>
    <xf numFmtId="167" fontId="0" fillId="0" borderId="64" xfId="1" applyNumberFormat="1" applyFont="1" applyBorder="1" applyAlignment="1">
      <alignment horizontal="center"/>
    </xf>
    <xf numFmtId="0" fontId="5" fillId="2" borderId="19" xfId="3" applyFont="1" applyFill="1" applyBorder="1" applyAlignment="1">
      <alignment horizontal="center" vertical="center" wrapText="1"/>
    </xf>
    <xf numFmtId="0" fontId="5" fillId="2" borderId="26" xfId="3" applyFont="1" applyFill="1" applyBorder="1" applyAlignment="1">
      <alignment horizontal="center" vertical="center" wrapText="1"/>
    </xf>
    <xf numFmtId="167" fontId="5" fillId="2" borderId="19" xfId="1" applyNumberFormat="1" applyFont="1" applyFill="1" applyBorder="1" applyAlignment="1">
      <alignment horizontal="center" vertical="center" wrapText="1"/>
    </xf>
    <xf numFmtId="167" fontId="5" fillId="2" borderId="26" xfId="1" applyNumberFormat="1" applyFont="1" applyFill="1" applyBorder="1" applyAlignment="1">
      <alignment horizontal="center" vertical="center" wrapText="1"/>
    </xf>
    <xf numFmtId="0" fontId="5" fillId="2" borderId="66" xfId="3" applyFont="1" applyFill="1" applyBorder="1" applyAlignment="1">
      <alignment horizontal="center" vertical="center" wrapText="1"/>
    </xf>
    <xf numFmtId="0" fontId="5" fillId="2" borderId="68" xfId="3" applyFont="1" applyFill="1" applyBorder="1" applyAlignment="1">
      <alignment horizontal="center" vertical="center" wrapText="1"/>
    </xf>
    <xf numFmtId="49" fontId="5" fillId="2" borderId="19" xfId="3" applyNumberFormat="1" applyFont="1" applyFill="1" applyBorder="1" applyAlignment="1">
      <alignment horizontal="center" vertical="center"/>
    </xf>
    <xf numFmtId="49" fontId="5" fillId="2" borderId="26" xfId="3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1" fontId="5" fillId="2" borderId="79" xfId="0" applyNumberFormat="1" applyFont="1" applyFill="1" applyBorder="1" applyAlignment="1">
      <alignment horizontal="center" vertical="center"/>
    </xf>
    <xf numFmtId="1" fontId="5" fillId="2" borderId="59" xfId="0" applyNumberFormat="1" applyFont="1" applyFill="1" applyBorder="1" applyAlignment="1">
      <alignment horizontal="center" vertical="center"/>
    </xf>
    <xf numFmtId="1" fontId="5" fillId="2" borderId="80" xfId="0" applyNumberFormat="1" applyFont="1" applyFill="1" applyBorder="1" applyAlignment="1">
      <alignment horizontal="center" vertical="center"/>
    </xf>
    <xf numFmtId="1" fontId="5" fillId="2" borderId="19" xfId="0" applyNumberFormat="1" applyFont="1" applyFill="1" applyBorder="1" applyAlignment="1">
      <alignment horizontal="center" vertical="center" wrapText="1"/>
    </xf>
    <xf numFmtId="1" fontId="5" fillId="2" borderId="26" xfId="0" applyNumberFormat="1" applyFont="1" applyFill="1" applyBorder="1" applyAlignment="1">
      <alignment horizontal="center" vertical="center" wrapText="1"/>
    </xf>
    <xf numFmtId="167" fontId="0" fillId="0" borderId="56" xfId="1" applyNumberFormat="1" applyFont="1" applyBorder="1" applyAlignment="1">
      <alignment horizontal="center" vertical="center"/>
    </xf>
    <xf numFmtId="167" fontId="0" fillId="0" borderId="54" xfId="1" applyNumberFormat="1" applyFont="1" applyBorder="1" applyAlignment="1">
      <alignment horizontal="center" vertical="center"/>
    </xf>
    <xf numFmtId="167" fontId="0" fillId="0" borderId="55" xfId="1" applyNumberFormat="1" applyFont="1" applyBorder="1" applyAlignment="1">
      <alignment horizontal="center" vertical="center"/>
    </xf>
    <xf numFmtId="0" fontId="5" fillId="2" borderId="18" xfId="3" applyFont="1" applyFill="1" applyBorder="1" applyAlignment="1">
      <alignment horizontal="center" vertical="center"/>
    </xf>
    <xf numFmtId="0" fontId="5" fillId="2" borderId="25" xfId="3" applyFont="1" applyFill="1" applyBorder="1" applyAlignment="1">
      <alignment horizontal="center" vertical="center"/>
    </xf>
    <xf numFmtId="0" fontId="5" fillId="2" borderId="19" xfId="3" applyFont="1" applyFill="1" applyBorder="1" applyAlignment="1">
      <alignment horizontal="center" vertical="center"/>
    </xf>
    <xf numFmtId="0" fontId="5" fillId="2" borderId="26" xfId="3" applyFont="1" applyFill="1" applyBorder="1" applyAlignment="1">
      <alignment horizontal="center" vertical="center"/>
    </xf>
    <xf numFmtId="0" fontId="5" fillId="10" borderId="19" xfId="3" applyFont="1" applyFill="1" applyBorder="1" applyAlignment="1">
      <alignment horizontal="center" vertical="center" wrapText="1"/>
    </xf>
    <xf numFmtId="0" fontId="5" fillId="10" borderId="26" xfId="3" applyFont="1" applyFill="1" applyBorder="1" applyAlignment="1">
      <alignment horizontal="center" vertical="center" wrapText="1"/>
    </xf>
    <xf numFmtId="167" fontId="5" fillId="10" borderId="19" xfId="1" applyNumberFormat="1" applyFont="1" applyFill="1" applyBorder="1" applyAlignment="1">
      <alignment horizontal="center" vertical="center" wrapText="1"/>
    </xf>
    <xf numFmtId="167" fontId="5" fillId="10" borderId="26" xfId="1" applyNumberFormat="1" applyFont="1" applyFill="1" applyBorder="1" applyAlignment="1">
      <alignment horizontal="center" vertical="center" wrapText="1"/>
    </xf>
    <xf numFmtId="0" fontId="5" fillId="10" borderId="66" xfId="3" applyFont="1" applyFill="1" applyBorder="1" applyAlignment="1">
      <alignment horizontal="center" vertical="center" wrapText="1"/>
    </xf>
    <xf numFmtId="0" fontId="5" fillId="10" borderId="68" xfId="3" applyFont="1" applyFill="1" applyBorder="1" applyAlignment="1">
      <alignment horizontal="center" vertical="center" wrapText="1"/>
    </xf>
    <xf numFmtId="49" fontId="5" fillId="10" borderId="19" xfId="3" applyNumberFormat="1" applyFont="1" applyFill="1" applyBorder="1" applyAlignment="1">
      <alignment horizontal="center" vertical="center"/>
    </xf>
    <xf numFmtId="49" fontId="5" fillId="10" borderId="26" xfId="3" applyNumberFormat="1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1" fontId="5" fillId="10" borderId="79" xfId="0" applyNumberFormat="1" applyFont="1" applyFill="1" applyBorder="1" applyAlignment="1">
      <alignment horizontal="center" vertical="center"/>
    </xf>
    <xf numFmtId="1" fontId="5" fillId="10" borderId="59" xfId="0" applyNumberFormat="1" applyFont="1" applyFill="1" applyBorder="1" applyAlignment="1">
      <alignment horizontal="center" vertical="center"/>
    </xf>
    <xf numFmtId="1" fontId="5" fillId="10" borderId="80" xfId="0" applyNumberFormat="1" applyFont="1" applyFill="1" applyBorder="1" applyAlignment="1">
      <alignment horizontal="center" vertical="center"/>
    </xf>
    <xf numFmtId="1" fontId="5" fillId="10" borderId="19" xfId="0" applyNumberFormat="1" applyFont="1" applyFill="1" applyBorder="1" applyAlignment="1">
      <alignment horizontal="center" vertical="center" wrapText="1"/>
    </xf>
    <xf numFmtId="1" fontId="5" fillId="10" borderId="26" xfId="0" applyNumberFormat="1" applyFont="1" applyFill="1" applyBorder="1" applyAlignment="1">
      <alignment horizontal="center" vertical="center" wrapText="1"/>
    </xf>
    <xf numFmtId="0" fontId="5" fillId="10" borderId="18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167" fontId="5" fillId="7" borderId="19" xfId="1" applyNumberFormat="1" applyFont="1" applyFill="1" applyBorder="1" applyAlignment="1">
      <alignment horizontal="center" vertical="center" wrapText="1"/>
    </xf>
    <xf numFmtId="167" fontId="5" fillId="7" borderId="26" xfId="1" applyNumberFormat="1" applyFont="1" applyFill="1" applyBorder="1" applyAlignment="1">
      <alignment horizontal="center" vertical="center" wrapText="1"/>
    </xf>
    <xf numFmtId="0" fontId="5" fillId="7" borderId="66" xfId="3" applyFont="1" applyFill="1" applyBorder="1" applyAlignment="1">
      <alignment horizontal="center" vertical="center" wrapText="1"/>
    </xf>
    <xf numFmtId="0" fontId="5" fillId="7" borderId="68" xfId="3" applyFont="1" applyFill="1" applyBorder="1" applyAlignment="1">
      <alignment horizontal="center" vertical="center" wrapText="1"/>
    </xf>
    <xf numFmtId="0" fontId="50" fillId="12" borderId="79" xfId="4" applyFont="1" applyFill="1" applyBorder="1" applyAlignment="1">
      <alignment horizontal="center" vertical="center"/>
    </xf>
    <xf numFmtId="0" fontId="50" fillId="12" borderId="59" xfId="4" applyFont="1" applyFill="1" applyBorder="1" applyAlignment="1">
      <alignment horizontal="center" vertical="center"/>
    </xf>
    <xf numFmtId="0" fontId="50" fillId="12" borderId="60" xfId="4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center" vertical="center" wrapText="1"/>
    </xf>
    <xf numFmtId="1" fontId="5" fillId="7" borderId="79" xfId="0" applyNumberFormat="1" applyFont="1" applyFill="1" applyBorder="1" applyAlignment="1">
      <alignment horizontal="center" vertical="center"/>
    </xf>
    <xf numFmtId="1" fontId="5" fillId="7" borderId="59" xfId="0" applyNumberFormat="1" applyFont="1" applyFill="1" applyBorder="1" applyAlignment="1">
      <alignment horizontal="center" vertical="center"/>
    </xf>
    <xf numFmtId="1" fontId="5" fillId="7" borderId="80" xfId="0" applyNumberFormat="1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center" vertical="center" wrapText="1"/>
    </xf>
    <xf numFmtId="1" fontId="5" fillId="7" borderId="26" xfId="0" applyNumberFormat="1" applyFont="1" applyFill="1" applyBorder="1" applyAlignment="1">
      <alignment horizontal="center" vertical="center" wrapText="1"/>
    </xf>
    <xf numFmtId="0" fontId="5" fillId="7" borderId="19" xfId="3" applyFont="1" applyFill="1" applyBorder="1" applyAlignment="1">
      <alignment horizontal="center" vertical="center" wrapText="1"/>
    </xf>
    <xf numFmtId="0" fontId="5" fillId="7" borderId="26" xfId="3" applyFont="1" applyFill="1" applyBorder="1" applyAlignment="1">
      <alignment horizontal="center" vertical="center" wrapText="1"/>
    </xf>
    <xf numFmtId="0" fontId="5" fillId="7" borderId="18" xfId="3" applyFont="1" applyFill="1" applyBorder="1" applyAlignment="1">
      <alignment horizontal="center" vertical="center"/>
    </xf>
    <xf numFmtId="0" fontId="5" fillId="7" borderId="25" xfId="3" applyFont="1" applyFill="1" applyBorder="1" applyAlignment="1">
      <alignment horizontal="center" vertical="center"/>
    </xf>
    <xf numFmtId="0" fontId="5" fillId="7" borderId="19" xfId="3" applyFont="1" applyFill="1" applyBorder="1" applyAlignment="1">
      <alignment horizontal="center" vertical="center"/>
    </xf>
    <xf numFmtId="0" fontId="5" fillId="7" borderId="26" xfId="3" applyFont="1" applyFill="1" applyBorder="1" applyAlignment="1">
      <alignment horizontal="center" vertical="center"/>
    </xf>
    <xf numFmtId="49" fontId="5" fillId="7" borderId="19" xfId="3" applyNumberFormat="1" applyFont="1" applyFill="1" applyBorder="1" applyAlignment="1">
      <alignment horizontal="center" vertical="center"/>
    </xf>
    <xf numFmtId="49" fontId="5" fillId="7" borderId="26" xfId="3" applyNumberFormat="1" applyFont="1" applyFill="1" applyBorder="1" applyAlignment="1">
      <alignment horizontal="center" vertical="center"/>
    </xf>
    <xf numFmtId="0" fontId="5" fillId="7" borderId="21" xfId="3" applyFont="1" applyFill="1" applyBorder="1" applyAlignment="1">
      <alignment horizontal="center" vertical="center" wrapText="1"/>
    </xf>
    <xf numFmtId="0" fontId="5" fillId="7" borderId="28" xfId="3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7" fontId="0" fillId="0" borderId="4" xfId="1" applyNumberFormat="1" applyFont="1" applyBorder="1" applyAlignment="1">
      <alignment horizontal="center" vertical="center"/>
    </xf>
    <xf numFmtId="167" fontId="0" fillId="0" borderId="5" xfId="1" applyNumberFormat="1" applyFont="1" applyBorder="1" applyAlignment="1">
      <alignment horizontal="center" vertical="center"/>
    </xf>
    <xf numFmtId="167" fontId="0" fillId="0" borderId="2" xfId="1" applyNumberFormat="1" applyFont="1" applyBorder="1" applyAlignment="1">
      <alignment horizontal="center" vertical="center"/>
    </xf>
    <xf numFmtId="0" fontId="19" fillId="0" borderId="57" xfId="0" applyFont="1" applyBorder="1" applyAlignment="1">
      <alignment horizontal="center"/>
    </xf>
    <xf numFmtId="167" fontId="56" fillId="2" borderId="67" xfId="1" applyNumberFormat="1" applyFont="1" applyFill="1" applyBorder="1" applyAlignment="1">
      <alignment horizontal="center" vertical="center"/>
    </xf>
    <xf numFmtId="167" fontId="56" fillId="2" borderId="37" xfId="1" applyNumberFormat="1" applyFont="1" applyFill="1" applyBorder="1" applyAlignment="1">
      <alignment horizontal="center" vertical="center"/>
    </xf>
    <xf numFmtId="167" fontId="56" fillId="2" borderId="23" xfId="1" applyNumberFormat="1" applyFont="1" applyFill="1" applyBorder="1" applyAlignment="1">
      <alignment horizontal="center" vertical="center"/>
    </xf>
    <xf numFmtId="167" fontId="56" fillId="2" borderId="0" xfId="1" applyNumberFormat="1" applyFont="1" applyFill="1" applyBorder="1" applyAlignment="1">
      <alignment horizontal="center" vertical="center"/>
    </xf>
    <xf numFmtId="167" fontId="56" fillId="2" borderId="62" xfId="1" applyNumberFormat="1" applyFont="1" applyFill="1" applyBorder="1" applyAlignment="1">
      <alignment horizontal="center" vertical="center"/>
    </xf>
    <xf numFmtId="167" fontId="56" fillId="2" borderId="30" xfId="1" applyNumberFormat="1" applyFont="1" applyFill="1" applyBorder="1" applyAlignment="1">
      <alignment horizontal="center" vertical="center"/>
    </xf>
    <xf numFmtId="167" fontId="56" fillId="2" borderId="31" xfId="1" applyNumberFormat="1" applyFont="1" applyFill="1" applyBorder="1" applyAlignment="1">
      <alignment horizontal="center" vertical="center"/>
    </xf>
    <xf numFmtId="167" fontId="56" fillId="2" borderId="32" xfId="1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67" fontId="19" fillId="0" borderId="56" xfId="1" applyNumberFormat="1" applyFont="1" applyBorder="1" applyAlignment="1">
      <alignment horizontal="center" vertical="center"/>
    </xf>
    <xf numFmtId="167" fontId="19" fillId="0" borderId="54" xfId="1" applyNumberFormat="1" applyFont="1" applyBorder="1" applyAlignment="1">
      <alignment horizontal="center" vertical="center"/>
    </xf>
    <xf numFmtId="167" fontId="19" fillId="0" borderId="8" xfId="1" applyNumberFormat="1" applyFont="1" applyBorder="1" applyAlignment="1">
      <alignment horizontal="center" vertical="center"/>
    </xf>
    <xf numFmtId="167" fontId="19" fillId="0" borderId="9" xfId="1" applyNumberFormat="1" applyFont="1" applyBorder="1" applyAlignment="1">
      <alignment horizontal="center" vertical="center"/>
    </xf>
    <xf numFmtId="167" fontId="56" fillId="10" borderId="67" xfId="1" applyNumberFormat="1" applyFont="1" applyFill="1" applyBorder="1" applyAlignment="1">
      <alignment horizontal="center" vertical="center"/>
    </xf>
    <xf numFmtId="167" fontId="56" fillId="10" borderId="37" xfId="1" applyNumberFormat="1" applyFont="1" applyFill="1" applyBorder="1" applyAlignment="1">
      <alignment horizontal="center" vertical="center"/>
    </xf>
    <xf numFmtId="167" fontId="56" fillId="10" borderId="30" xfId="1" applyNumberFormat="1" applyFont="1" applyFill="1" applyBorder="1" applyAlignment="1">
      <alignment horizontal="center" vertical="center"/>
    </xf>
    <xf numFmtId="167" fontId="56" fillId="10" borderId="31" xfId="1" applyNumberFormat="1" applyFont="1" applyFill="1" applyBorder="1" applyAlignment="1">
      <alignment horizontal="center" vertical="center"/>
    </xf>
    <xf numFmtId="167" fontId="56" fillId="10" borderId="62" xfId="1" applyNumberFormat="1" applyFont="1" applyFill="1" applyBorder="1" applyAlignment="1">
      <alignment horizontal="center" vertical="center"/>
    </xf>
    <xf numFmtId="167" fontId="56" fillId="10" borderId="23" xfId="1" applyNumberFormat="1" applyFont="1" applyFill="1" applyBorder="1" applyAlignment="1">
      <alignment horizontal="center" vertical="center"/>
    </xf>
    <xf numFmtId="167" fontId="56" fillId="10" borderId="24" xfId="1" applyNumberFormat="1" applyFont="1" applyFill="1" applyBorder="1" applyAlignment="1">
      <alignment horizontal="center" vertical="center"/>
    </xf>
    <xf numFmtId="167" fontId="56" fillId="10" borderId="0" xfId="1" applyNumberFormat="1" applyFont="1" applyFill="1" applyBorder="1" applyAlignment="1">
      <alignment horizontal="center" vertical="center"/>
    </xf>
    <xf numFmtId="167" fontId="19" fillId="0" borderId="7" xfId="1" applyNumberFormat="1" applyFont="1" applyBorder="1" applyAlignment="1">
      <alignment horizontal="center" vertical="center"/>
    </xf>
    <xf numFmtId="167" fontId="19" fillId="0" borderId="55" xfId="1" applyNumberFormat="1" applyFont="1" applyBorder="1" applyAlignment="1">
      <alignment horizontal="center" vertical="center"/>
    </xf>
    <xf numFmtId="167" fontId="56" fillId="10" borderId="32" xfId="1" applyNumberFormat="1" applyFont="1" applyFill="1" applyBorder="1" applyAlignment="1">
      <alignment horizontal="center" vertical="center"/>
    </xf>
    <xf numFmtId="9" fontId="0" fillId="10" borderId="19" xfId="2" applyFont="1" applyFill="1" applyBorder="1" applyAlignment="1">
      <alignment horizontal="center" vertical="center"/>
    </xf>
    <xf numFmtId="9" fontId="0" fillId="10" borderId="26" xfId="2" applyFont="1" applyFill="1" applyBorder="1" applyAlignment="1">
      <alignment horizontal="center" vertical="center"/>
    </xf>
    <xf numFmtId="167" fontId="56" fillId="7" borderId="0" xfId="1" applyNumberFormat="1" applyFont="1" applyFill="1" applyAlignment="1">
      <alignment horizontal="center" vertical="center"/>
    </xf>
    <xf numFmtId="167" fontId="56" fillId="7" borderId="0" xfId="1" applyNumberFormat="1" applyFont="1" applyFill="1" applyBorder="1" applyAlignment="1">
      <alignment horizontal="center" vertical="center"/>
    </xf>
    <xf numFmtId="167" fontId="56" fillId="7" borderId="23" xfId="1" applyNumberFormat="1" applyFont="1" applyFill="1" applyBorder="1" applyAlignment="1">
      <alignment horizontal="center" vertical="center"/>
    </xf>
    <xf numFmtId="167" fontId="56" fillId="7" borderId="24" xfId="1" applyNumberFormat="1" applyFont="1" applyFill="1" applyBorder="1" applyAlignment="1">
      <alignment horizontal="center" vertical="center"/>
    </xf>
    <xf numFmtId="167" fontId="56" fillId="7" borderId="30" xfId="1" applyNumberFormat="1" applyFont="1" applyFill="1" applyBorder="1" applyAlignment="1">
      <alignment horizontal="center" vertical="center"/>
    </xf>
    <xf numFmtId="167" fontId="56" fillId="7" borderId="31" xfId="1" applyNumberFormat="1" applyFont="1" applyFill="1" applyBorder="1" applyAlignment="1">
      <alignment horizontal="center" vertical="center"/>
    </xf>
    <xf numFmtId="167" fontId="56" fillId="7" borderId="32" xfId="1" applyNumberFormat="1" applyFont="1" applyFill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167" fontId="55" fillId="10" borderId="19" xfId="1" applyNumberFormat="1" applyFont="1" applyFill="1" applyBorder="1" applyAlignment="1">
      <alignment horizontal="center" vertical="center" wrapText="1"/>
    </xf>
    <xf numFmtId="167" fontId="55" fillId="10" borderId="26" xfId="1" applyNumberFormat="1" applyFont="1" applyFill="1" applyBorder="1" applyAlignment="1">
      <alignment horizontal="center" vertical="center" wrapText="1"/>
    </xf>
    <xf numFmtId="0" fontId="55" fillId="10" borderId="19" xfId="3" applyFont="1" applyFill="1" applyBorder="1" applyAlignment="1">
      <alignment horizontal="center" vertical="center" wrapText="1"/>
    </xf>
    <xf numFmtId="0" fontId="55" fillId="10" borderId="26" xfId="3" applyFont="1" applyFill="1" applyBorder="1" applyAlignment="1">
      <alignment horizontal="center" vertical="center" wrapText="1"/>
    </xf>
    <xf numFmtId="0" fontId="55" fillId="10" borderId="19" xfId="0" applyFont="1" applyFill="1" applyBorder="1" applyAlignment="1">
      <alignment horizontal="center" vertical="center" wrapText="1"/>
    </xf>
    <xf numFmtId="0" fontId="55" fillId="10" borderId="26" xfId="0" applyFont="1" applyFill="1" applyBorder="1" applyAlignment="1">
      <alignment horizontal="center" vertical="center" wrapText="1"/>
    </xf>
    <xf numFmtId="1" fontId="55" fillId="10" borderId="79" xfId="0" applyNumberFormat="1" applyFont="1" applyFill="1" applyBorder="1" applyAlignment="1">
      <alignment horizontal="center" vertical="center"/>
    </xf>
    <xf numFmtId="1" fontId="55" fillId="10" borderId="59" xfId="0" applyNumberFormat="1" applyFont="1" applyFill="1" applyBorder="1" applyAlignment="1">
      <alignment horizontal="center" vertical="center"/>
    </xf>
    <xf numFmtId="1" fontId="55" fillId="10" borderId="80" xfId="0" applyNumberFormat="1" applyFont="1" applyFill="1" applyBorder="1" applyAlignment="1">
      <alignment horizontal="center" vertical="center"/>
    </xf>
    <xf numFmtId="1" fontId="55" fillId="10" borderId="19" xfId="0" applyNumberFormat="1" applyFont="1" applyFill="1" applyBorder="1" applyAlignment="1">
      <alignment horizontal="center" vertical="center" wrapText="1"/>
    </xf>
    <xf numFmtId="1" fontId="55" fillId="10" borderId="26" xfId="0" applyNumberFormat="1" applyFont="1" applyFill="1" applyBorder="1" applyAlignment="1">
      <alignment horizontal="center" vertical="center" wrapText="1"/>
    </xf>
    <xf numFmtId="0" fontId="55" fillId="10" borderId="18" xfId="3" applyFont="1" applyFill="1" applyBorder="1" applyAlignment="1">
      <alignment horizontal="center" vertical="center"/>
    </xf>
    <xf numFmtId="0" fontId="55" fillId="10" borderId="25" xfId="3" applyFont="1" applyFill="1" applyBorder="1" applyAlignment="1">
      <alignment horizontal="center" vertical="center"/>
    </xf>
    <xf numFmtId="0" fontId="55" fillId="10" borderId="19" xfId="3" applyFont="1" applyFill="1" applyBorder="1" applyAlignment="1">
      <alignment horizontal="center" vertical="center"/>
    </xf>
    <xf numFmtId="0" fontId="55" fillId="10" borderId="26" xfId="3" applyFont="1" applyFill="1" applyBorder="1" applyAlignment="1">
      <alignment horizontal="center" vertical="center"/>
    </xf>
    <xf numFmtId="0" fontId="59" fillId="2" borderId="4" xfId="0" applyFont="1" applyFill="1" applyBorder="1" applyAlignment="1">
      <alignment horizontal="center"/>
    </xf>
    <xf numFmtId="0" fontId="59" fillId="2" borderId="5" xfId="0" applyFont="1" applyFill="1" applyBorder="1" applyAlignment="1">
      <alignment horizontal="center"/>
    </xf>
    <xf numFmtId="167" fontId="56" fillId="7" borderId="37" xfId="1" applyNumberFormat="1" applyFont="1" applyFill="1" applyBorder="1" applyAlignment="1">
      <alignment horizontal="center" vertical="center"/>
    </xf>
    <xf numFmtId="167" fontId="56" fillId="7" borderId="67" xfId="1" applyNumberFormat="1" applyFont="1" applyFill="1" applyBorder="1" applyAlignment="1">
      <alignment horizontal="center" vertical="center"/>
    </xf>
    <xf numFmtId="167" fontId="56" fillId="7" borderId="62" xfId="1" applyNumberFormat="1" applyFont="1" applyFill="1" applyBorder="1" applyAlignment="1">
      <alignment horizontal="center" vertical="center"/>
    </xf>
    <xf numFmtId="1" fontId="55" fillId="7" borderId="79" xfId="0" applyNumberFormat="1" applyFont="1" applyFill="1" applyBorder="1" applyAlignment="1">
      <alignment horizontal="center" vertical="center"/>
    </xf>
    <xf numFmtId="1" fontId="55" fillId="7" borderId="59" xfId="0" applyNumberFormat="1" applyFont="1" applyFill="1" applyBorder="1" applyAlignment="1">
      <alignment horizontal="center" vertical="center"/>
    </xf>
    <xf numFmtId="1" fontId="55" fillId="7" borderId="80" xfId="0" applyNumberFormat="1" applyFont="1" applyFill="1" applyBorder="1" applyAlignment="1">
      <alignment horizontal="center" vertical="center"/>
    </xf>
    <xf numFmtId="1" fontId="55" fillId="7" borderId="19" xfId="0" applyNumberFormat="1" applyFont="1" applyFill="1" applyBorder="1" applyAlignment="1">
      <alignment horizontal="center" vertical="center" wrapText="1"/>
    </xf>
    <xf numFmtId="1" fontId="55" fillId="7" borderId="26" xfId="0" applyNumberFormat="1" applyFont="1" applyFill="1" applyBorder="1" applyAlignment="1">
      <alignment horizontal="center" vertical="center" wrapText="1"/>
    </xf>
    <xf numFmtId="167" fontId="55" fillId="7" borderId="19" xfId="1" applyNumberFormat="1" applyFont="1" applyFill="1" applyBorder="1" applyAlignment="1">
      <alignment horizontal="center" vertical="center" wrapText="1"/>
    </xf>
    <xf numFmtId="167" fontId="55" fillId="7" borderId="26" xfId="1" applyNumberFormat="1" applyFont="1" applyFill="1" applyBorder="1" applyAlignment="1">
      <alignment horizontal="center" vertical="center" wrapText="1"/>
    </xf>
    <xf numFmtId="0" fontId="55" fillId="7" borderId="19" xfId="3" applyFont="1" applyFill="1" applyBorder="1" applyAlignment="1">
      <alignment horizontal="center" vertical="center" wrapText="1"/>
    </xf>
    <xf numFmtId="0" fontId="55" fillId="7" borderId="26" xfId="3" applyFont="1" applyFill="1" applyBorder="1" applyAlignment="1">
      <alignment horizontal="center" vertical="center" wrapText="1"/>
    </xf>
    <xf numFmtId="0" fontId="55" fillId="7" borderId="18" xfId="3" applyFont="1" applyFill="1" applyBorder="1" applyAlignment="1">
      <alignment horizontal="center" vertical="center"/>
    </xf>
    <xf numFmtId="0" fontId="55" fillId="7" borderId="25" xfId="3" applyFont="1" applyFill="1" applyBorder="1" applyAlignment="1">
      <alignment horizontal="center" vertical="center"/>
    </xf>
    <xf numFmtId="0" fontId="55" fillId="7" borderId="19" xfId="3" applyFont="1" applyFill="1" applyBorder="1" applyAlignment="1">
      <alignment horizontal="center" vertical="center"/>
    </xf>
    <xf numFmtId="0" fontId="55" fillId="7" borderId="26" xfId="3" applyFont="1" applyFill="1" applyBorder="1" applyAlignment="1">
      <alignment horizontal="center" vertical="center"/>
    </xf>
    <xf numFmtId="0" fontId="55" fillId="7" borderId="19" xfId="0" applyFont="1" applyFill="1" applyBorder="1" applyAlignment="1">
      <alignment horizontal="center" vertical="center" wrapText="1"/>
    </xf>
    <xf numFmtId="0" fontId="55" fillId="7" borderId="26" xfId="0" applyFont="1" applyFill="1" applyBorder="1" applyAlignment="1">
      <alignment horizontal="center" vertical="center" wrapText="1"/>
    </xf>
    <xf numFmtId="0" fontId="58" fillId="2" borderId="79" xfId="4" applyFont="1" applyFill="1" applyBorder="1" applyAlignment="1">
      <alignment horizontal="center" vertical="center"/>
    </xf>
    <xf numFmtId="0" fontId="58" fillId="2" borderId="59" xfId="4" applyFont="1" applyFill="1" applyBorder="1" applyAlignment="1">
      <alignment horizontal="center" vertical="center"/>
    </xf>
    <xf numFmtId="0" fontId="19" fillId="8" borderId="44" xfId="0" applyFont="1" applyFill="1" applyBorder="1" applyAlignment="1">
      <alignment horizontal="center"/>
    </xf>
    <xf numFmtId="0" fontId="19" fillId="8" borderId="45" xfId="0" applyFont="1" applyFill="1" applyBorder="1" applyAlignment="1">
      <alignment horizontal="center"/>
    </xf>
    <xf numFmtId="0" fontId="19" fillId="8" borderId="46" xfId="0" applyFont="1" applyFill="1" applyBorder="1" applyAlignment="1">
      <alignment horizontal="center"/>
    </xf>
    <xf numFmtId="0" fontId="19" fillId="8" borderId="47" xfId="0" applyFont="1" applyFill="1" applyBorder="1" applyAlignment="1">
      <alignment horizontal="center"/>
    </xf>
    <xf numFmtId="0" fontId="19" fillId="8" borderId="48" xfId="0" applyFont="1" applyFill="1" applyBorder="1" applyAlignment="1">
      <alignment horizontal="center"/>
    </xf>
    <xf numFmtId="0" fontId="19" fillId="8" borderId="49" xfId="0" applyFont="1" applyFill="1" applyBorder="1" applyAlignment="1">
      <alignment horizontal="center"/>
    </xf>
    <xf numFmtId="0" fontId="73" fillId="2" borderId="4" xfId="0" applyFont="1" applyFill="1" applyBorder="1" applyAlignment="1">
      <alignment horizontal="center"/>
    </xf>
    <xf numFmtId="0" fontId="73" fillId="2" borderId="5" xfId="0" applyFont="1" applyFill="1" applyBorder="1" applyAlignment="1">
      <alignment horizontal="center"/>
    </xf>
    <xf numFmtId="49" fontId="56" fillId="2" borderId="19" xfId="0" applyNumberFormat="1" applyFont="1" applyFill="1" applyBorder="1" applyAlignment="1">
      <alignment horizontal="center" vertical="center"/>
    </xf>
    <xf numFmtId="49" fontId="56" fillId="2" borderId="26" xfId="0" applyNumberFormat="1" applyFont="1" applyFill="1" applyBorder="1" applyAlignment="1">
      <alignment horizontal="center" vertical="center"/>
    </xf>
    <xf numFmtId="0" fontId="56" fillId="2" borderId="19" xfId="0" applyFont="1" applyFill="1" applyBorder="1" applyAlignment="1">
      <alignment horizontal="center" vertical="center"/>
    </xf>
    <xf numFmtId="0" fontId="56" fillId="2" borderId="26" xfId="0" applyFont="1" applyFill="1" applyBorder="1" applyAlignment="1">
      <alignment horizontal="center" vertical="center"/>
    </xf>
    <xf numFmtId="0" fontId="56" fillId="2" borderId="20" xfId="0" applyFont="1" applyFill="1" applyBorder="1" applyAlignment="1">
      <alignment horizontal="center"/>
    </xf>
    <xf numFmtId="9" fontId="56" fillId="2" borderId="66" xfId="2" applyFont="1" applyFill="1" applyBorder="1" applyAlignment="1">
      <alignment horizontal="center" vertical="center"/>
    </xf>
    <xf numFmtId="9" fontId="56" fillId="2" borderId="68" xfId="2" applyFont="1" applyFill="1" applyBorder="1" applyAlignment="1">
      <alignment horizontal="center" vertical="center"/>
    </xf>
    <xf numFmtId="0" fontId="19" fillId="8" borderId="50" xfId="0" applyFont="1" applyFill="1" applyBorder="1" applyAlignment="1">
      <alignment horizontal="center"/>
    </xf>
    <xf numFmtId="0" fontId="19" fillId="8" borderId="51" xfId="0" applyFont="1" applyFill="1" applyBorder="1" applyAlignment="1">
      <alignment horizontal="center"/>
    </xf>
    <xf numFmtId="0" fontId="19" fillId="8" borderId="52" xfId="0" applyFont="1" applyFill="1" applyBorder="1" applyAlignment="1">
      <alignment horizontal="center"/>
    </xf>
    <xf numFmtId="0" fontId="56" fillId="2" borderId="18" xfId="0" applyFont="1" applyFill="1" applyBorder="1" applyAlignment="1">
      <alignment horizontal="center" vertical="center"/>
    </xf>
    <xf numFmtId="0" fontId="56" fillId="2" borderId="25" xfId="0" applyFont="1" applyFill="1" applyBorder="1" applyAlignment="1">
      <alignment horizontal="center" vertical="center"/>
    </xf>
    <xf numFmtId="167" fontId="66" fillId="10" borderId="67" xfId="1" applyNumberFormat="1" applyFont="1" applyFill="1" applyBorder="1" applyAlignment="1">
      <alignment horizontal="center" vertical="center"/>
    </xf>
    <xf numFmtId="167" fontId="66" fillId="10" borderId="62" xfId="1" applyNumberFormat="1" applyFont="1" applyFill="1" applyBorder="1" applyAlignment="1">
      <alignment horizontal="center" vertical="center"/>
    </xf>
    <xf numFmtId="167" fontId="66" fillId="10" borderId="30" xfId="1" applyNumberFormat="1" applyFont="1" applyFill="1" applyBorder="1" applyAlignment="1">
      <alignment horizontal="center" vertical="center"/>
    </xf>
    <xf numFmtId="167" fontId="66" fillId="10" borderId="32" xfId="1" applyNumberFormat="1" applyFont="1" applyFill="1" applyBorder="1" applyAlignment="1">
      <alignment horizontal="center" vertical="center"/>
    </xf>
    <xf numFmtId="167" fontId="66" fillId="10" borderId="37" xfId="1" applyNumberFormat="1" applyFont="1" applyFill="1" applyBorder="1" applyAlignment="1">
      <alignment horizontal="center" vertical="center"/>
    </xf>
    <xf numFmtId="167" fontId="66" fillId="10" borderId="31" xfId="1" applyNumberFormat="1" applyFont="1" applyFill="1" applyBorder="1" applyAlignment="1">
      <alignment horizontal="center" vertical="center"/>
    </xf>
    <xf numFmtId="0" fontId="72" fillId="2" borderId="12" xfId="0" applyFont="1" applyFill="1" applyBorder="1" applyAlignment="1">
      <alignment horizontal="center"/>
    </xf>
    <xf numFmtId="0" fontId="72" fillId="2" borderId="13" xfId="0" applyFont="1" applyFill="1" applyBorder="1" applyAlignment="1">
      <alignment horizontal="center"/>
    </xf>
    <xf numFmtId="49" fontId="19" fillId="10" borderId="19" xfId="0" applyNumberFormat="1" applyFont="1" applyFill="1" applyBorder="1" applyAlignment="1">
      <alignment horizontal="center" vertical="center"/>
    </xf>
    <xf numFmtId="49" fontId="19" fillId="10" borderId="26" xfId="0" applyNumberFormat="1" applyFont="1" applyFill="1" applyBorder="1" applyAlignment="1">
      <alignment horizontal="center" vertical="center"/>
    </xf>
    <xf numFmtId="0" fontId="19" fillId="10" borderId="19" xfId="0" applyFont="1" applyFill="1" applyBorder="1" applyAlignment="1">
      <alignment horizontal="center" vertical="center"/>
    </xf>
    <xf numFmtId="0" fontId="19" fillId="10" borderId="26" xfId="0" applyFont="1" applyFill="1" applyBorder="1" applyAlignment="1">
      <alignment horizontal="center" vertical="center"/>
    </xf>
    <xf numFmtId="0" fontId="19" fillId="10" borderId="20" xfId="0" applyFont="1" applyFill="1" applyBorder="1" applyAlignment="1">
      <alignment horizontal="center"/>
    </xf>
    <xf numFmtId="9" fontId="19" fillId="10" borderId="66" xfId="2" applyFont="1" applyFill="1" applyBorder="1" applyAlignment="1">
      <alignment horizontal="center" vertical="center"/>
    </xf>
    <xf numFmtId="9" fontId="19" fillId="10" borderId="68" xfId="2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9" fillId="10" borderId="25" xfId="0" applyFont="1" applyFill="1" applyBorder="1" applyAlignment="1">
      <alignment horizontal="center" vertical="center"/>
    </xf>
    <xf numFmtId="0" fontId="71" fillId="2" borderId="4" xfId="0" applyFont="1" applyFill="1" applyBorder="1" applyAlignment="1">
      <alignment horizontal="center"/>
    </xf>
    <xf numFmtId="0" fontId="71" fillId="2" borderId="5" xfId="0" applyFont="1" applyFill="1" applyBorder="1" applyAlignment="1">
      <alignment horizontal="center"/>
    </xf>
    <xf numFmtId="0" fontId="65" fillId="10" borderId="19" xfId="3" applyFont="1" applyFill="1" applyBorder="1" applyAlignment="1">
      <alignment horizontal="center" vertical="center" wrapText="1"/>
    </xf>
    <xf numFmtId="0" fontId="65" fillId="10" borderId="26" xfId="3" applyFont="1" applyFill="1" applyBorder="1" applyAlignment="1">
      <alignment horizontal="center" vertical="center" wrapText="1"/>
    </xf>
    <xf numFmtId="0" fontId="65" fillId="10" borderId="19" xfId="0" applyFont="1" applyFill="1" applyBorder="1" applyAlignment="1">
      <alignment horizontal="center" vertical="center" wrapText="1"/>
    </xf>
    <xf numFmtId="0" fontId="65" fillId="10" borderId="26" xfId="0" applyFont="1" applyFill="1" applyBorder="1" applyAlignment="1">
      <alignment horizontal="center" vertical="center" wrapText="1"/>
    </xf>
    <xf numFmtId="1" fontId="65" fillId="10" borderId="79" xfId="0" applyNumberFormat="1" applyFont="1" applyFill="1" applyBorder="1" applyAlignment="1">
      <alignment horizontal="center" vertical="center"/>
    </xf>
    <xf numFmtId="1" fontId="65" fillId="10" borderId="59" xfId="0" applyNumberFormat="1" applyFont="1" applyFill="1" applyBorder="1" applyAlignment="1">
      <alignment horizontal="center" vertical="center"/>
    </xf>
    <xf numFmtId="1" fontId="65" fillId="10" borderId="80" xfId="0" applyNumberFormat="1" applyFont="1" applyFill="1" applyBorder="1" applyAlignment="1">
      <alignment horizontal="center" vertical="center"/>
    </xf>
    <xf numFmtId="1" fontId="65" fillId="10" borderId="19" xfId="0" applyNumberFormat="1" applyFont="1" applyFill="1" applyBorder="1" applyAlignment="1">
      <alignment horizontal="center" vertical="center" wrapText="1"/>
    </xf>
    <xf numFmtId="1" fontId="65" fillId="10" borderId="26" xfId="0" applyNumberFormat="1" applyFont="1" applyFill="1" applyBorder="1" applyAlignment="1">
      <alignment horizontal="center" vertical="center" wrapText="1"/>
    </xf>
    <xf numFmtId="167" fontId="65" fillId="10" borderId="19" xfId="1" applyNumberFormat="1" applyFont="1" applyFill="1" applyBorder="1" applyAlignment="1">
      <alignment horizontal="center" vertical="center" wrapText="1"/>
    </xf>
    <xf numFmtId="167" fontId="65" fillId="10" borderId="26" xfId="1" applyNumberFormat="1" applyFont="1" applyFill="1" applyBorder="1" applyAlignment="1">
      <alignment horizontal="center" vertical="center" wrapText="1"/>
    </xf>
    <xf numFmtId="0" fontId="65" fillId="10" borderId="18" xfId="3" applyFont="1" applyFill="1" applyBorder="1" applyAlignment="1">
      <alignment horizontal="center" vertical="center"/>
    </xf>
    <xf numFmtId="0" fontId="65" fillId="10" borderId="25" xfId="3" applyFont="1" applyFill="1" applyBorder="1" applyAlignment="1">
      <alignment horizontal="center" vertical="center"/>
    </xf>
    <xf numFmtId="0" fontId="65" fillId="10" borderId="19" xfId="3" applyFont="1" applyFill="1" applyBorder="1" applyAlignment="1">
      <alignment horizontal="center" vertical="center"/>
    </xf>
    <xf numFmtId="0" fontId="65" fillId="10" borderId="26" xfId="3" applyFont="1" applyFill="1" applyBorder="1" applyAlignment="1">
      <alignment horizontal="center" vertical="center"/>
    </xf>
    <xf numFmtId="0" fontId="65" fillId="10" borderId="21" xfId="3" applyFont="1" applyFill="1" applyBorder="1" applyAlignment="1">
      <alignment horizontal="center" vertical="center" wrapText="1"/>
    </xf>
    <xf numFmtId="0" fontId="65" fillId="10" borderId="28" xfId="3" applyFont="1" applyFill="1" applyBorder="1" applyAlignment="1">
      <alignment horizontal="center" vertical="center" wrapText="1"/>
    </xf>
    <xf numFmtId="0" fontId="70" fillId="2" borderId="4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65" fillId="7" borderId="19" xfId="3" applyFont="1" applyFill="1" applyBorder="1" applyAlignment="1">
      <alignment horizontal="center" vertical="center" wrapText="1"/>
    </xf>
    <xf numFmtId="0" fontId="65" fillId="7" borderId="26" xfId="3" applyFont="1" applyFill="1" applyBorder="1" applyAlignment="1">
      <alignment horizontal="center" vertical="center" wrapText="1"/>
    </xf>
    <xf numFmtId="167" fontId="65" fillId="7" borderId="19" xfId="1" applyNumberFormat="1" applyFont="1" applyFill="1" applyBorder="1" applyAlignment="1">
      <alignment horizontal="center" vertical="center" wrapText="1"/>
    </xf>
    <xf numFmtId="167" fontId="65" fillId="7" borderId="26" xfId="1" applyNumberFormat="1" applyFont="1" applyFill="1" applyBorder="1" applyAlignment="1">
      <alignment horizontal="center" vertical="center" wrapText="1"/>
    </xf>
    <xf numFmtId="0" fontId="65" fillId="7" borderId="21" xfId="3" applyFont="1" applyFill="1" applyBorder="1" applyAlignment="1">
      <alignment horizontal="center" vertical="center" wrapText="1"/>
    </xf>
    <xf numFmtId="0" fontId="65" fillId="7" borderId="28" xfId="3" applyFont="1" applyFill="1" applyBorder="1" applyAlignment="1">
      <alignment horizontal="center" vertical="center" wrapText="1"/>
    </xf>
    <xf numFmtId="0" fontId="65" fillId="7" borderId="19" xfId="3" applyFont="1" applyFill="1" applyBorder="1" applyAlignment="1">
      <alignment horizontal="center" vertical="center"/>
    </xf>
    <xf numFmtId="0" fontId="65" fillId="7" borderId="26" xfId="3" applyFont="1" applyFill="1" applyBorder="1" applyAlignment="1">
      <alignment horizontal="center" vertical="center"/>
    </xf>
    <xf numFmtId="0" fontId="65" fillId="7" borderId="19" xfId="0" applyFont="1" applyFill="1" applyBorder="1" applyAlignment="1">
      <alignment horizontal="center" vertical="center" wrapText="1"/>
    </xf>
    <xf numFmtId="0" fontId="65" fillId="7" borderId="26" xfId="0" applyFont="1" applyFill="1" applyBorder="1" applyAlignment="1">
      <alignment horizontal="center" vertical="center" wrapText="1"/>
    </xf>
    <xf numFmtId="1" fontId="65" fillId="7" borderId="79" xfId="0" applyNumberFormat="1" applyFont="1" applyFill="1" applyBorder="1" applyAlignment="1">
      <alignment horizontal="center" vertical="center"/>
    </xf>
    <xf numFmtId="1" fontId="65" fillId="7" borderId="59" xfId="0" applyNumberFormat="1" applyFont="1" applyFill="1" applyBorder="1" applyAlignment="1">
      <alignment horizontal="center" vertical="center"/>
    </xf>
    <xf numFmtId="1" fontId="65" fillId="7" borderId="80" xfId="0" applyNumberFormat="1" applyFont="1" applyFill="1" applyBorder="1" applyAlignment="1">
      <alignment horizontal="center" vertical="center"/>
    </xf>
    <xf numFmtId="1" fontId="65" fillId="7" borderId="19" xfId="0" applyNumberFormat="1" applyFont="1" applyFill="1" applyBorder="1" applyAlignment="1">
      <alignment horizontal="center" vertical="center" wrapText="1"/>
    </xf>
    <xf numFmtId="1" fontId="65" fillId="7" borderId="26" xfId="0" applyNumberFormat="1" applyFont="1" applyFill="1" applyBorder="1" applyAlignment="1">
      <alignment horizontal="center" vertical="center" wrapText="1"/>
    </xf>
    <xf numFmtId="0" fontId="65" fillId="7" borderId="18" xfId="3" applyFont="1" applyFill="1" applyBorder="1" applyAlignment="1">
      <alignment horizontal="center" vertical="center"/>
    </xf>
    <xf numFmtId="0" fontId="65" fillId="7" borderId="25" xfId="3" applyFont="1" applyFill="1" applyBorder="1" applyAlignment="1">
      <alignment horizontal="center" vertical="center"/>
    </xf>
    <xf numFmtId="167" fontId="66" fillId="7" borderId="67" xfId="1" applyNumberFormat="1" applyFont="1" applyFill="1" applyBorder="1" applyAlignment="1">
      <alignment horizontal="center" vertical="center"/>
    </xf>
    <xf numFmtId="167" fontId="66" fillId="7" borderId="37" xfId="1" applyNumberFormat="1" applyFont="1" applyFill="1" applyBorder="1" applyAlignment="1">
      <alignment horizontal="center" vertical="center"/>
    </xf>
    <xf numFmtId="167" fontId="66" fillId="7" borderId="62" xfId="1" applyNumberFormat="1" applyFont="1" applyFill="1" applyBorder="1" applyAlignment="1">
      <alignment horizontal="center" vertical="center"/>
    </xf>
    <xf numFmtId="167" fontId="66" fillId="7" borderId="30" xfId="1" applyNumberFormat="1" applyFont="1" applyFill="1" applyBorder="1" applyAlignment="1">
      <alignment horizontal="center" vertical="center"/>
    </xf>
    <xf numFmtId="167" fontId="66" fillId="7" borderId="31" xfId="1" applyNumberFormat="1" applyFont="1" applyFill="1" applyBorder="1" applyAlignment="1">
      <alignment horizontal="center" vertical="center"/>
    </xf>
    <xf numFmtId="167" fontId="66" fillId="7" borderId="32" xfId="1" applyNumberFormat="1" applyFont="1" applyFill="1" applyBorder="1" applyAlignment="1">
      <alignment horizontal="center" vertical="center"/>
    </xf>
    <xf numFmtId="167" fontId="19" fillId="0" borderId="10" xfId="1" applyNumberFormat="1" applyFont="1" applyBorder="1" applyAlignment="1">
      <alignment horizontal="center" vertical="center"/>
    </xf>
    <xf numFmtId="167" fontId="19" fillId="0" borderId="0" xfId="1" applyNumberFormat="1" applyFont="1" applyBorder="1" applyAlignment="1">
      <alignment horizontal="center" vertical="center"/>
    </xf>
    <xf numFmtId="167" fontId="56" fillId="2" borderId="24" xfId="1" applyNumberFormat="1" applyFont="1" applyFill="1" applyBorder="1" applyAlignment="1">
      <alignment horizontal="center" vertical="center"/>
    </xf>
    <xf numFmtId="0" fontId="42" fillId="2" borderId="4" xfId="0" applyFont="1" applyFill="1" applyBorder="1" applyAlignment="1">
      <alignment horizontal="center"/>
    </xf>
    <xf numFmtId="0" fontId="42" fillId="2" borderId="5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59" fillId="2" borderId="12" xfId="0" applyFont="1" applyFill="1" applyBorder="1" applyAlignment="1">
      <alignment horizontal="center"/>
    </xf>
    <xf numFmtId="0" fontId="59" fillId="2" borderId="13" xfId="0" applyFont="1" applyFill="1" applyBorder="1" applyAlignment="1">
      <alignment horizontal="center"/>
    </xf>
    <xf numFmtId="0" fontId="19" fillId="0" borderId="31" xfId="0" applyFont="1" applyBorder="1" applyAlignment="1">
      <alignment horizontal="center" vertical="center"/>
    </xf>
    <xf numFmtId="0" fontId="19" fillId="0" borderId="83" xfId="0" applyFont="1" applyBorder="1" applyAlignment="1">
      <alignment horizontal="center" vertical="center"/>
    </xf>
    <xf numFmtId="167" fontId="19" fillId="0" borderId="31" xfId="1" applyNumberFormat="1" applyFont="1" applyBorder="1" applyAlignment="1">
      <alignment horizontal="center" vertical="center"/>
    </xf>
    <xf numFmtId="167" fontId="56" fillId="10" borderId="0" xfId="1" applyNumberFormat="1" applyFont="1" applyFill="1" applyAlignment="1">
      <alignment horizontal="center" vertical="center"/>
    </xf>
    <xf numFmtId="9" fontId="0" fillId="7" borderId="74" xfId="2" applyFont="1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49" fontId="0" fillId="7" borderId="6" xfId="0" applyNumberFormat="1" applyFill="1" applyBorder="1" applyAlignment="1">
      <alignment horizontal="center" vertical="center"/>
    </xf>
    <xf numFmtId="167" fontId="56" fillId="2" borderId="38" xfId="1" applyNumberFormat="1" applyFont="1" applyFill="1" applyBorder="1" applyAlignment="1">
      <alignment horizontal="center" vertical="center"/>
    </xf>
    <xf numFmtId="167" fontId="56" fillId="2" borderId="83" xfId="1" applyNumberFormat="1" applyFont="1" applyFill="1" applyBorder="1" applyAlignment="1">
      <alignment horizontal="center" vertical="center"/>
    </xf>
    <xf numFmtId="0" fontId="39" fillId="2" borderId="79" xfId="0" applyFont="1" applyFill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12" fillId="0" borderId="64" xfId="0" applyFont="1" applyBorder="1" applyAlignment="1">
      <alignment horizontal="center"/>
    </xf>
    <xf numFmtId="0" fontId="12" fillId="19" borderId="19" xfId="0" applyFont="1" applyFill="1" applyBorder="1" applyAlignment="1">
      <alignment horizontal="center" vertical="center"/>
    </xf>
    <xf numFmtId="0" fontId="12" fillId="19" borderId="26" xfId="0" applyFont="1" applyFill="1" applyBorder="1" applyAlignment="1">
      <alignment horizontal="center" vertical="center"/>
    </xf>
    <xf numFmtId="0" fontId="12" fillId="19" borderId="59" xfId="0" applyFont="1" applyFill="1" applyBorder="1" applyAlignment="1">
      <alignment horizontal="center"/>
    </xf>
    <xf numFmtId="0" fontId="12" fillId="19" borderId="80" xfId="0" applyFont="1" applyFill="1" applyBorder="1" applyAlignment="1">
      <alignment horizontal="center"/>
    </xf>
    <xf numFmtId="0" fontId="12" fillId="19" borderId="66" xfId="0" applyFont="1" applyFill="1" applyBorder="1" applyAlignment="1">
      <alignment horizontal="center"/>
    </xf>
    <xf numFmtId="0" fontId="12" fillId="19" borderId="68" xfId="0" applyFont="1" applyFill="1" applyBorder="1" applyAlignment="1">
      <alignment horizontal="center"/>
    </xf>
    <xf numFmtId="167" fontId="56" fillId="2" borderId="0" xfId="1" applyNumberFormat="1" applyFont="1" applyFill="1" applyAlignment="1">
      <alignment horizontal="center" vertical="center"/>
    </xf>
    <xf numFmtId="0" fontId="12" fillId="19" borderId="18" xfId="0" applyFont="1" applyFill="1" applyBorder="1" applyAlignment="1">
      <alignment horizontal="center" vertical="center"/>
    </xf>
    <xf numFmtId="0" fontId="12" fillId="19" borderId="25" xfId="0" applyFont="1" applyFill="1" applyBorder="1" applyAlignment="1">
      <alignment horizontal="center" vertical="center"/>
    </xf>
    <xf numFmtId="0" fontId="12" fillId="18" borderId="18" xfId="0" applyFont="1" applyFill="1" applyBorder="1" applyAlignment="1">
      <alignment horizontal="center" vertical="center"/>
    </xf>
    <xf numFmtId="0" fontId="12" fillId="18" borderId="25" xfId="0" applyFont="1" applyFill="1" applyBorder="1" applyAlignment="1">
      <alignment horizontal="center" vertical="center"/>
    </xf>
    <xf numFmtId="0" fontId="12" fillId="18" borderId="19" xfId="0" applyFont="1" applyFill="1" applyBorder="1" applyAlignment="1">
      <alignment horizontal="center" vertical="center"/>
    </xf>
    <xf numFmtId="0" fontId="12" fillId="18" borderId="26" xfId="0" applyFont="1" applyFill="1" applyBorder="1" applyAlignment="1">
      <alignment horizontal="center" vertical="center"/>
    </xf>
    <xf numFmtId="0" fontId="12" fillId="18" borderId="59" xfId="0" applyFont="1" applyFill="1" applyBorder="1" applyAlignment="1">
      <alignment horizontal="center"/>
    </xf>
    <xf numFmtId="0" fontId="12" fillId="18" borderId="80" xfId="0" applyFont="1" applyFill="1" applyBorder="1" applyAlignment="1">
      <alignment horizontal="center"/>
    </xf>
    <xf numFmtId="0" fontId="12" fillId="18" borderId="66" xfId="0" applyFont="1" applyFill="1" applyBorder="1" applyAlignment="1">
      <alignment horizontal="center"/>
    </xf>
    <xf numFmtId="0" fontId="12" fillId="18" borderId="68" xfId="0" applyFont="1" applyFill="1" applyBorder="1" applyAlignment="1">
      <alignment horizontal="center"/>
    </xf>
    <xf numFmtId="167" fontId="56" fillId="10" borderId="38" xfId="1" applyNumberFormat="1" applyFont="1" applyFill="1" applyBorder="1" applyAlignment="1">
      <alignment horizontal="center" vertical="center"/>
    </xf>
    <xf numFmtId="167" fontId="56" fillId="10" borderId="83" xfId="1" applyNumberFormat="1" applyFont="1" applyFill="1" applyBorder="1" applyAlignment="1">
      <alignment horizontal="center" vertical="center"/>
    </xf>
    <xf numFmtId="0" fontId="12" fillId="15" borderId="59" xfId="0" applyFont="1" applyFill="1" applyBorder="1" applyAlignment="1">
      <alignment horizontal="center"/>
    </xf>
    <xf numFmtId="0" fontId="12" fillId="15" borderId="80" xfId="0" applyFont="1" applyFill="1" applyBorder="1" applyAlignment="1">
      <alignment horizontal="center"/>
    </xf>
    <xf numFmtId="0" fontId="12" fillId="15" borderId="66" xfId="0" applyFont="1" applyFill="1" applyBorder="1" applyAlignment="1">
      <alignment horizontal="center"/>
    </xf>
    <xf numFmtId="0" fontId="12" fillId="15" borderId="68" xfId="0" applyFont="1" applyFill="1" applyBorder="1" applyAlignment="1">
      <alignment horizontal="center"/>
    </xf>
    <xf numFmtId="0" fontId="12" fillId="17" borderId="103" xfId="0" applyFont="1" applyFill="1" applyBorder="1" applyAlignment="1">
      <alignment horizontal="center"/>
    </xf>
    <xf numFmtId="0" fontId="12" fillId="17" borderId="105" xfId="0" applyFont="1" applyFill="1" applyBorder="1" applyAlignment="1">
      <alignment horizontal="center"/>
    </xf>
    <xf numFmtId="167" fontId="56" fillId="7" borderId="38" xfId="1" applyNumberFormat="1" applyFont="1" applyFill="1" applyBorder="1" applyAlignment="1">
      <alignment horizontal="center" vertical="center"/>
    </xf>
    <xf numFmtId="167" fontId="56" fillId="7" borderId="83" xfId="1" applyNumberFormat="1" applyFont="1" applyFill="1" applyBorder="1" applyAlignment="1">
      <alignment horizontal="center" vertical="center"/>
    </xf>
    <xf numFmtId="0" fontId="75" fillId="16" borderId="12" xfId="0" applyFont="1" applyFill="1" applyBorder="1" applyAlignment="1">
      <alignment horizontal="center"/>
    </xf>
    <xf numFmtId="0" fontId="75" fillId="16" borderId="13" xfId="0" applyFont="1" applyFill="1" applyBorder="1" applyAlignment="1">
      <alignment horizontal="center"/>
    </xf>
    <xf numFmtId="0" fontId="12" fillId="15" borderId="18" xfId="0" applyFont="1" applyFill="1" applyBorder="1" applyAlignment="1">
      <alignment horizontal="center" vertical="center"/>
    </xf>
    <xf numFmtId="0" fontId="12" fillId="15" borderId="25" xfId="0" applyFont="1" applyFill="1" applyBorder="1" applyAlignment="1">
      <alignment horizontal="center" vertical="center"/>
    </xf>
    <xf numFmtId="0" fontId="12" fillId="15" borderId="19" xfId="0" applyFont="1" applyFill="1" applyBorder="1" applyAlignment="1">
      <alignment horizontal="center" vertical="center"/>
    </xf>
    <xf numFmtId="0" fontId="12" fillId="15" borderId="26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/>
    </xf>
    <xf numFmtId="0" fontId="39" fillId="2" borderId="5" xfId="0" applyFont="1" applyFill="1" applyBorder="1" applyAlignment="1">
      <alignment horizontal="center"/>
    </xf>
    <xf numFmtId="0" fontId="39" fillId="2" borderId="2" xfId="0" applyFont="1" applyFill="1" applyBorder="1" applyAlignment="1">
      <alignment horizontal="center"/>
    </xf>
    <xf numFmtId="0" fontId="32" fillId="2" borderId="79" xfId="0" applyFont="1" applyFill="1" applyBorder="1" applyAlignment="1">
      <alignment horizontal="center"/>
    </xf>
    <xf numFmtId="0" fontId="27" fillId="2" borderId="79" xfId="0" applyFont="1" applyFill="1" applyBorder="1" applyAlignment="1">
      <alignment horizontal="center"/>
    </xf>
    <xf numFmtId="0" fontId="19" fillId="0" borderId="63" xfId="0" applyFont="1" applyBorder="1" applyAlignment="1">
      <alignment horizontal="center"/>
    </xf>
    <xf numFmtId="0" fontId="19" fillId="0" borderId="64" xfId="0" applyFont="1" applyBorder="1" applyAlignment="1">
      <alignment horizontal="center"/>
    </xf>
    <xf numFmtId="9" fontId="0" fillId="2" borderId="6" xfId="2" applyFont="1" applyFill="1" applyBorder="1" applyAlignment="1">
      <alignment horizontal="center" vertical="center"/>
    </xf>
    <xf numFmtId="9" fontId="0" fillId="2" borderId="3" xfId="2" applyFont="1" applyFill="1" applyBorder="1" applyAlignment="1">
      <alignment horizontal="center" vertical="center"/>
    </xf>
    <xf numFmtId="167" fontId="56" fillId="2" borderId="13" xfId="1" applyNumberFormat="1" applyFont="1" applyFill="1" applyBorder="1" applyAlignment="1">
      <alignment horizontal="center" vertical="center"/>
    </xf>
    <xf numFmtId="167" fontId="56" fillId="2" borderId="81" xfId="1" applyNumberFormat="1" applyFont="1" applyFill="1" applyBorder="1" applyAlignment="1">
      <alignment horizontal="center" vertical="center"/>
    </xf>
    <xf numFmtId="167" fontId="56" fillId="2" borderId="36" xfId="1" applyNumberFormat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9" fontId="0" fillId="10" borderId="6" xfId="2" applyFont="1" applyFill="1" applyBorder="1" applyAlignment="1">
      <alignment horizontal="center" vertical="center"/>
    </xf>
    <xf numFmtId="167" fontId="56" fillId="10" borderId="13" xfId="1" applyNumberFormat="1" applyFont="1" applyFill="1" applyBorder="1" applyAlignment="1">
      <alignment horizontal="center" vertical="center"/>
    </xf>
    <xf numFmtId="167" fontId="56" fillId="10" borderId="81" xfId="1" applyNumberFormat="1" applyFont="1" applyFill="1" applyBorder="1" applyAlignment="1">
      <alignment horizontal="center" vertical="center"/>
    </xf>
    <xf numFmtId="167" fontId="56" fillId="10" borderId="36" xfId="1" applyNumberFormat="1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49" fontId="0" fillId="10" borderId="6" xfId="0" applyNumberFormat="1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167" fontId="56" fillId="7" borderId="81" xfId="1" applyNumberFormat="1" applyFont="1" applyFill="1" applyBorder="1" applyAlignment="1">
      <alignment horizontal="center" vertical="center"/>
    </xf>
    <xf numFmtId="167" fontId="56" fillId="7" borderId="13" xfId="1" applyNumberFormat="1" applyFont="1" applyFill="1" applyBorder="1" applyAlignment="1">
      <alignment horizontal="center" vertical="center"/>
    </xf>
    <xf numFmtId="167" fontId="56" fillId="7" borderId="36" xfId="1" applyNumberFormat="1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78" fillId="2" borderId="4" xfId="0" applyFont="1" applyFill="1" applyBorder="1" applyAlignment="1">
      <alignment horizontal="center"/>
    </xf>
    <xf numFmtId="0" fontId="78" fillId="2" borderId="5" xfId="0" applyFont="1" applyFill="1" applyBorder="1" applyAlignment="1">
      <alignment horizontal="center"/>
    </xf>
    <xf numFmtId="0" fontId="19" fillId="0" borderId="28" xfId="0" applyFont="1" applyBorder="1" applyAlignment="1">
      <alignment horizontal="center" vertical="center"/>
    </xf>
    <xf numFmtId="167" fontId="19" fillId="0" borderId="28" xfId="1" applyNumberFormat="1" applyFont="1" applyBorder="1" applyAlignment="1">
      <alignment horizontal="center" vertical="center"/>
    </xf>
    <xf numFmtId="0" fontId="44" fillId="2" borderId="4" xfId="0" applyFont="1" applyFill="1" applyBorder="1" applyAlignment="1">
      <alignment horizontal="center"/>
    </xf>
    <xf numFmtId="0" fontId="44" fillId="2" borderId="5" xfId="0" applyFont="1" applyFill="1" applyBorder="1" applyAlignment="1">
      <alignment horizontal="center"/>
    </xf>
    <xf numFmtId="0" fontId="0" fillId="7" borderId="3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49" fontId="0" fillId="7" borderId="3" xfId="0" applyNumberFormat="1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9" fontId="0" fillId="2" borderId="42" xfId="2" applyFont="1" applyFill="1" applyBorder="1" applyAlignment="1">
      <alignment horizontal="center" vertical="center"/>
    </xf>
    <xf numFmtId="49" fontId="0" fillId="2" borderId="42" xfId="0" applyNumberFormat="1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9" fontId="0" fillId="7" borderId="42" xfId="2" applyFont="1" applyFill="1" applyBorder="1" applyAlignment="1">
      <alignment horizontal="center" vertical="center"/>
    </xf>
    <xf numFmtId="9" fontId="0" fillId="7" borderId="3" xfId="2" applyFont="1" applyFill="1" applyBorder="1" applyAlignment="1">
      <alignment horizontal="center" vertical="center"/>
    </xf>
    <xf numFmtId="49" fontId="0" fillId="7" borderId="42" xfId="0" applyNumberFormat="1" applyFill="1" applyBorder="1" applyAlignment="1">
      <alignment horizontal="center" vertical="center"/>
    </xf>
    <xf numFmtId="9" fontId="0" fillId="7" borderId="19" xfId="2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10" borderId="40" xfId="0" applyFill="1" applyBorder="1" applyAlignment="1">
      <alignment horizontal="center" vertical="center"/>
    </xf>
    <xf numFmtId="166" fontId="92" fillId="0" borderId="57" xfId="1" applyFont="1" applyBorder="1" applyAlignment="1">
      <alignment horizontal="center"/>
    </xf>
    <xf numFmtId="0" fontId="5" fillId="2" borderId="116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166" fontId="56" fillId="2" borderId="118" xfId="1" applyFont="1" applyFill="1" applyBorder="1" applyAlignment="1">
      <alignment horizontal="center" vertical="center"/>
    </xf>
    <xf numFmtId="166" fontId="56" fillId="2" borderId="120" xfId="1" applyFont="1" applyFill="1" applyBorder="1" applyAlignment="1">
      <alignment horizontal="center" vertical="center"/>
    </xf>
    <xf numFmtId="166" fontId="56" fillId="2" borderId="121" xfId="1" applyFont="1" applyFill="1" applyBorder="1" applyAlignment="1">
      <alignment horizontal="center" vertical="center"/>
    </xf>
    <xf numFmtId="166" fontId="56" fillId="2" borderId="12" xfId="1" applyFont="1" applyFill="1" applyBorder="1" applyAlignment="1">
      <alignment horizontal="center" vertical="center"/>
    </xf>
    <xf numFmtId="166" fontId="56" fillId="2" borderId="13" xfId="1" applyFont="1" applyFill="1" applyBorder="1" applyAlignment="1">
      <alignment horizontal="center" vertical="center"/>
    </xf>
    <xf numFmtId="166" fontId="56" fillId="2" borderId="14" xfId="1" applyFont="1" applyFill="1" applyBorder="1" applyAlignment="1">
      <alignment horizontal="center" vertical="center"/>
    </xf>
    <xf numFmtId="0" fontId="52" fillId="2" borderId="4" xfId="4" applyFont="1" applyFill="1" applyBorder="1" applyAlignment="1">
      <alignment horizontal="center" vertical="center"/>
    </xf>
    <xf numFmtId="0" fontId="52" fillId="2" borderId="5" xfId="4" applyFont="1" applyFill="1" applyBorder="1" applyAlignment="1">
      <alignment horizontal="center" vertical="center"/>
    </xf>
    <xf numFmtId="0" fontId="52" fillId="2" borderId="2" xfId="4" applyFont="1" applyFill="1" applyBorder="1" applyAlignment="1">
      <alignment horizontal="center" vertical="center"/>
    </xf>
    <xf numFmtId="1" fontId="5" fillId="2" borderId="117" xfId="0" applyNumberFormat="1" applyFont="1" applyFill="1" applyBorder="1" applyAlignment="1">
      <alignment horizontal="center" vertical="center"/>
    </xf>
    <xf numFmtId="1" fontId="5" fillId="2" borderId="116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166" fontId="5" fillId="2" borderId="116" xfId="1" applyFont="1" applyFill="1" applyBorder="1" applyAlignment="1">
      <alignment horizontal="center" vertical="center" wrapText="1"/>
    </xf>
    <xf numFmtId="166" fontId="5" fillId="2" borderId="3" xfId="1" applyFont="1" applyFill="1" applyBorder="1" applyAlignment="1">
      <alignment horizontal="center" vertical="center" wrapText="1"/>
    </xf>
    <xf numFmtId="0" fontId="0" fillId="2" borderId="116" xfId="0" applyFill="1" applyBorder="1" applyAlignment="1">
      <alignment horizontal="center" vertical="center"/>
    </xf>
    <xf numFmtId="49" fontId="0" fillId="2" borderId="116" xfId="0" applyNumberFormat="1" applyFill="1" applyBorder="1" applyAlignment="1">
      <alignment horizontal="center" vertical="center"/>
    </xf>
    <xf numFmtId="0" fontId="5" fillId="2" borderId="11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6" fontId="5" fillId="10" borderId="116" xfId="1" applyFont="1" applyFill="1" applyBorder="1" applyAlignment="1">
      <alignment horizontal="center" vertical="center" wrapText="1"/>
    </xf>
    <xf numFmtId="166" fontId="5" fillId="10" borderId="3" xfId="1" applyFont="1" applyFill="1" applyBorder="1" applyAlignment="1">
      <alignment horizontal="center" vertical="center" wrapText="1"/>
    </xf>
    <xf numFmtId="0" fontId="5" fillId="10" borderId="116" xfId="3" applyFont="1" applyFill="1" applyBorder="1" applyAlignment="1">
      <alignment horizontal="center" vertical="center" wrapText="1"/>
    </xf>
    <xf numFmtId="0" fontId="5" fillId="10" borderId="3" xfId="3" applyFont="1" applyFill="1" applyBorder="1" applyAlignment="1">
      <alignment horizontal="center" vertical="center" wrapText="1"/>
    </xf>
    <xf numFmtId="166" fontId="56" fillId="10" borderId="118" xfId="1" applyFont="1" applyFill="1" applyBorder="1" applyAlignment="1">
      <alignment horizontal="center" vertical="center"/>
    </xf>
    <xf numFmtId="166" fontId="56" fillId="10" borderId="120" xfId="1" applyFont="1" applyFill="1" applyBorder="1" applyAlignment="1">
      <alignment horizontal="center" vertical="center"/>
    </xf>
    <xf numFmtId="166" fontId="56" fillId="10" borderId="121" xfId="1" applyFont="1" applyFill="1" applyBorder="1" applyAlignment="1">
      <alignment horizontal="center" vertical="center"/>
    </xf>
    <xf numFmtId="166" fontId="56" fillId="10" borderId="12" xfId="1" applyFont="1" applyFill="1" applyBorder="1" applyAlignment="1">
      <alignment horizontal="center" vertical="center"/>
    </xf>
    <xf numFmtId="166" fontId="56" fillId="10" borderId="13" xfId="1" applyFont="1" applyFill="1" applyBorder="1" applyAlignment="1">
      <alignment horizontal="center" vertical="center"/>
    </xf>
    <xf numFmtId="166" fontId="56" fillId="10" borderId="14" xfId="1" applyFont="1" applyFill="1" applyBorder="1" applyAlignment="1">
      <alignment horizontal="center" vertical="center"/>
    </xf>
    <xf numFmtId="0" fontId="87" fillId="2" borderId="4" xfId="4" applyFont="1" applyFill="1" applyBorder="1" applyAlignment="1">
      <alignment horizontal="center" vertical="center"/>
    </xf>
    <xf numFmtId="0" fontId="87" fillId="2" borderId="5" xfId="4" applyFont="1" applyFill="1" applyBorder="1" applyAlignment="1">
      <alignment horizontal="center" vertical="center"/>
    </xf>
    <xf numFmtId="0" fontId="87" fillId="2" borderId="2" xfId="4" applyFont="1" applyFill="1" applyBorder="1" applyAlignment="1">
      <alignment horizontal="center" vertical="center"/>
    </xf>
    <xf numFmtId="0" fontId="5" fillId="10" borderId="116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1" fontId="5" fillId="10" borderId="117" xfId="0" applyNumberFormat="1" applyFont="1" applyFill="1" applyBorder="1" applyAlignment="1">
      <alignment horizontal="center" vertical="center"/>
    </xf>
    <xf numFmtId="1" fontId="5" fillId="10" borderId="116" xfId="0" applyNumberFormat="1" applyFont="1" applyFill="1" applyBorder="1" applyAlignment="1">
      <alignment horizontal="center" vertical="center" wrapText="1"/>
    </xf>
    <xf numFmtId="1" fontId="5" fillId="10" borderId="3" xfId="0" applyNumberFormat="1" applyFont="1" applyFill="1" applyBorder="1" applyAlignment="1">
      <alignment horizontal="center" vertical="center" wrapText="1"/>
    </xf>
    <xf numFmtId="166" fontId="19" fillId="0" borderId="7" xfId="1" applyFont="1" applyBorder="1" applyAlignment="1">
      <alignment horizontal="center" vertical="center"/>
    </xf>
    <xf numFmtId="166" fontId="19" fillId="0" borderId="8" xfId="1" applyFont="1" applyBorder="1" applyAlignment="1">
      <alignment horizontal="center" vertical="center"/>
    </xf>
    <xf numFmtId="166" fontId="19" fillId="0" borderId="9" xfId="1" applyFont="1" applyBorder="1" applyAlignment="1">
      <alignment horizontal="center" vertical="center"/>
    </xf>
    <xf numFmtId="0" fontId="0" fillId="10" borderId="116" xfId="0" applyFill="1" applyBorder="1" applyAlignment="1">
      <alignment horizontal="center" vertical="center"/>
    </xf>
    <xf numFmtId="49" fontId="0" fillId="10" borderId="116" xfId="0" applyNumberFormat="1" applyFill="1" applyBorder="1" applyAlignment="1">
      <alignment horizontal="center" vertical="center"/>
    </xf>
    <xf numFmtId="166" fontId="56" fillId="10" borderId="7" xfId="1" applyFont="1" applyFill="1" applyBorder="1" applyAlignment="1">
      <alignment horizontal="center" vertical="center"/>
    </xf>
    <xf numFmtId="166" fontId="56" fillId="10" borderId="8" xfId="1" applyFont="1" applyFill="1" applyBorder="1" applyAlignment="1">
      <alignment horizontal="center" vertical="center"/>
    </xf>
    <xf numFmtId="166" fontId="56" fillId="10" borderId="9" xfId="1" applyFont="1" applyFill="1" applyBorder="1" applyAlignment="1">
      <alignment horizontal="center" vertical="center"/>
    </xf>
    <xf numFmtId="0" fontId="0" fillId="10" borderId="117" xfId="0" applyFill="1" applyBorder="1" applyAlignment="1">
      <alignment horizontal="center"/>
    </xf>
    <xf numFmtId="166" fontId="56" fillId="10" borderId="10" xfId="1" applyFont="1" applyFill="1" applyBorder="1" applyAlignment="1">
      <alignment horizontal="center" vertical="center"/>
    </xf>
    <xf numFmtId="166" fontId="56" fillId="10" borderId="0" xfId="1" applyFont="1" applyFill="1" applyBorder="1" applyAlignment="1">
      <alignment horizontal="center" vertical="center"/>
    </xf>
    <xf numFmtId="166" fontId="56" fillId="10" borderId="11" xfId="1" applyFont="1" applyFill="1" applyBorder="1" applyAlignment="1">
      <alignment horizontal="center" vertical="center"/>
    </xf>
    <xf numFmtId="0" fontId="0" fillId="10" borderId="115" xfId="0" applyFill="1" applyBorder="1" applyAlignment="1">
      <alignment horizontal="center" vertical="center"/>
    </xf>
    <xf numFmtId="166" fontId="19" fillId="0" borderId="57" xfId="1" applyFont="1" applyBorder="1" applyAlignment="1">
      <alignment horizontal="center"/>
    </xf>
    <xf numFmtId="166" fontId="19" fillId="0" borderId="56" xfId="1" applyFont="1" applyBorder="1" applyAlignment="1">
      <alignment horizontal="center" vertical="center"/>
    </xf>
    <xf numFmtId="166" fontId="19" fillId="0" borderId="54" xfId="1" applyFont="1" applyBorder="1" applyAlignment="1">
      <alignment horizontal="center" vertical="center"/>
    </xf>
    <xf numFmtId="166" fontId="19" fillId="7" borderId="10" xfId="1" applyFont="1" applyFill="1" applyBorder="1" applyAlignment="1">
      <alignment horizontal="center" vertical="center"/>
    </xf>
    <xf numFmtId="166" fontId="19" fillId="7" borderId="0" xfId="1" applyFont="1" applyFill="1" applyBorder="1" applyAlignment="1">
      <alignment horizontal="center" vertical="center"/>
    </xf>
    <xf numFmtId="166" fontId="19" fillId="7" borderId="12" xfId="1" applyFont="1" applyFill="1" applyBorder="1" applyAlignment="1">
      <alignment horizontal="center" vertical="center"/>
    </xf>
    <xf numFmtId="166" fontId="19" fillId="7" borderId="13" xfId="1" applyFont="1" applyFill="1" applyBorder="1" applyAlignment="1">
      <alignment horizontal="center" vertical="center"/>
    </xf>
    <xf numFmtId="0" fontId="84" fillId="2" borderId="4" xfId="4" applyFont="1" applyFill="1" applyBorder="1" applyAlignment="1">
      <alignment horizontal="center" vertical="center"/>
    </xf>
    <xf numFmtId="0" fontId="84" fillId="2" borderId="5" xfId="4" applyFont="1" applyFill="1" applyBorder="1" applyAlignment="1">
      <alignment horizontal="center" vertical="center"/>
    </xf>
    <xf numFmtId="0" fontId="84" fillId="2" borderId="2" xfId="4" applyFont="1" applyFill="1" applyBorder="1" applyAlignment="1">
      <alignment horizontal="center" vertical="center"/>
    </xf>
    <xf numFmtId="49" fontId="0" fillId="7" borderId="116" xfId="0" applyNumberFormat="1" applyFill="1" applyBorder="1" applyAlignment="1">
      <alignment horizontal="center" vertical="center"/>
    </xf>
    <xf numFmtId="0" fontId="0" fillId="7" borderId="116" xfId="0" applyFill="1" applyBorder="1" applyAlignment="1">
      <alignment horizontal="center" vertical="center"/>
    </xf>
    <xf numFmtId="0" fontId="0" fillId="7" borderId="117" xfId="0" applyFill="1" applyBorder="1" applyAlignment="1">
      <alignment horizontal="center"/>
    </xf>
    <xf numFmtId="166" fontId="19" fillId="7" borderId="11" xfId="1" applyFont="1" applyFill="1" applyBorder="1" applyAlignment="1">
      <alignment horizontal="center" vertical="center"/>
    </xf>
    <xf numFmtId="166" fontId="19" fillId="7" borderId="14" xfId="1" applyFont="1" applyFill="1" applyBorder="1" applyAlignment="1">
      <alignment horizontal="center" vertical="center"/>
    </xf>
    <xf numFmtId="0" fontId="0" fillId="7" borderId="115" xfId="0" applyFill="1" applyBorder="1" applyAlignment="1">
      <alignment horizontal="center" vertical="center"/>
    </xf>
    <xf numFmtId="166" fontId="19" fillId="0" borderId="55" xfId="1" applyFont="1" applyBorder="1" applyAlignment="1">
      <alignment horizontal="center" vertical="center"/>
    </xf>
    <xf numFmtId="166" fontId="56" fillId="7" borderId="23" xfId="1" applyFont="1" applyFill="1" applyBorder="1" applyAlignment="1">
      <alignment horizontal="center" vertical="center"/>
    </xf>
    <xf numFmtId="166" fontId="56" fillId="7" borderId="0" xfId="1" applyFont="1" applyFill="1" applyBorder="1" applyAlignment="1">
      <alignment horizontal="center" vertical="center"/>
    </xf>
    <xf numFmtId="166" fontId="56" fillId="7" borderId="81" xfId="1" applyFont="1" applyFill="1" applyBorder="1" applyAlignment="1">
      <alignment horizontal="center" vertical="center"/>
    </xf>
    <xf numFmtId="166" fontId="56" fillId="7" borderId="13" xfId="1" applyFont="1" applyFill="1" applyBorder="1" applyAlignment="1">
      <alignment horizontal="center" vertical="center"/>
    </xf>
    <xf numFmtId="0" fontId="50" fillId="2" borderId="4" xfId="4" applyFont="1" applyFill="1" applyBorder="1" applyAlignment="1">
      <alignment horizontal="center" vertical="center"/>
    </xf>
    <xf numFmtId="0" fontId="50" fillId="2" borderId="5" xfId="4" applyFont="1" applyFill="1" applyBorder="1" applyAlignment="1">
      <alignment horizontal="center" vertical="center"/>
    </xf>
    <xf numFmtId="0" fontId="50" fillId="2" borderId="2" xfId="4" applyFont="1" applyFill="1" applyBorder="1" applyAlignment="1">
      <alignment horizontal="center" vertical="center"/>
    </xf>
    <xf numFmtId="1" fontId="8" fillId="13" borderId="86" xfId="3" applyNumberFormat="1" applyFont="1" applyFill="1" applyBorder="1" applyAlignment="1">
      <alignment horizontal="center" vertical="center" wrapText="1"/>
    </xf>
    <xf numFmtId="1" fontId="8" fillId="13" borderId="88" xfId="3" applyNumberFormat="1" applyFont="1" applyFill="1" applyBorder="1" applyAlignment="1">
      <alignment horizontal="center" vertical="center" wrapText="1"/>
    </xf>
    <xf numFmtId="166" fontId="19" fillId="0" borderId="63" xfId="1" applyFont="1" applyBorder="1" applyAlignment="1">
      <alignment horizontal="center"/>
    </xf>
    <xf numFmtId="166" fontId="19" fillId="0" borderId="64" xfId="1" applyFont="1" applyBorder="1" applyAlignment="1">
      <alignment horizontal="center"/>
    </xf>
    <xf numFmtId="166" fontId="5" fillId="5" borderId="19" xfId="1" applyFont="1" applyFill="1" applyBorder="1" applyAlignment="1">
      <alignment horizontal="center" vertical="center" wrapText="1"/>
    </xf>
    <xf numFmtId="166" fontId="5" fillId="5" borderId="26" xfId="1" applyFont="1" applyFill="1" applyBorder="1" applyAlignment="1">
      <alignment horizontal="center" vertical="center" wrapText="1"/>
    </xf>
    <xf numFmtId="9" fontId="5" fillId="5" borderId="66" xfId="2" applyFont="1" applyFill="1" applyBorder="1" applyAlignment="1">
      <alignment horizontal="center" vertical="center" wrapText="1"/>
    </xf>
    <xf numFmtId="9" fontId="5" fillId="5" borderId="68" xfId="2" applyFont="1" applyFill="1" applyBorder="1" applyAlignment="1">
      <alignment horizontal="center" vertical="center" wrapText="1"/>
    </xf>
    <xf numFmtId="166" fontId="56" fillId="5" borderId="37" xfId="1" applyFont="1" applyFill="1" applyBorder="1" applyAlignment="1">
      <alignment horizontal="center" vertical="center"/>
    </xf>
    <xf numFmtId="166" fontId="56" fillId="5" borderId="31" xfId="1" applyFont="1" applyFill="1" applyBorder="1" applyAlignment="1">
      <alignment horizontal="center" vertical="center"/>
    </xf>
    <xf numFmtId="166" fontId="56" fillId="5" borderId="21" xfId="1" applyFont="1" applyFill="1" applyBorder="1" applyAlignment="1">
      <alignment horizontal="center" vertical="center"/>
    </xf>
    <xf numFmtId="166" fontId="56" fillId="5" borderId="38" xfId="1" applyFont="1" applyFill="1" applyBorder="1" applyAlignment="1">
      <alignment horizontal="center" vertical="center"/>
    </xf>
    <xf numFmtId="166" fontId="56" fillId="5" borderId="28" xfId="1" applyFont="1" applyFill="1" applyBorder="1" applyAlignment="1">
      <alignment horizontal="center" vertical="center"/>
    </xf>
    <xf numFmtId="166" fontId="56" fillId="5" borderId="83" xfId="1" applyFont="1" applyFill="1" applyBorder="1" applyAlignment="1">
      <alignment horizontal="center" vertical="center"/>
    </xf>
    <xf numFmtId="166" fontId="56" fillId="5" borderId="62" xfId="1" applyFont="1" applyFill="1" applyBorder="1" applyAlignment="1">
      <alignment horizontal="center" vertical="center"/>
    </xf>
    <xf numFmtId="166" fontId="56" fillId="5" borderId="32" xfId="1" applyFont="1" applyFill="1" applyBorder="1" applyAlignment="1">
      <alignment horizontal="center" vertical="center"/>
    </xf>
    <xf numFmtId="0" fontId="50" fillId="5" borderId="12" xfId="4" applyFont="1" applyFill="1" applyBorder="1" applyAlignment="1">
      <alignment horizontal="center" vertical="center"/>
    </xf>
    <xf numFmtId="0" fontId="50" fillId="5" borderId="13" xfId="4" applyFont="1" applyFill="1" applyBorder="1" applyAlignment="1">
      <alignment horizontal="center" vertical="center"/>
    </xf>
    <xf numFmtId="0" fontId="50" fillId="5" borderId="14" xfId="4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1" fontId="5" fillId="5" borderId="20" xfId="0" applyNumberFormat="1" applyFont="1" applyFill="1" applyBorder="1" applyAlignment="1">
      <alignment horizontal="center" vertical="center"/>
    </xf>
    <xf numFmtId="1" fontId="5" fillId="5" borderId="19" xfId="0" applyNumberFormat="1" applyFont="1" applyFill="1" applyBorder="1" applyAlignment="1">
      <alignment horizontal="center" vertical="center" wrapText="1"/>
    </xf>
    <xf numFmtId="1" fontId="5" fillId="5" borderId="26" xfId="0" applyNumberFormat="1" applyFont="1" applyFill="1" applyBorder="1" applyAlignment="1">
      <alignment horizontal="center" vertical="center" wrapText="1"/>
    </xf>
    <xf numFmtId="9" fontId="8" fillId="5" borderId="19" xfId="2" applyFont="1" applyFill="1" applyBorder="1" applyAlignment="1">
      <alignment horizontal="center" vertical="center" wrapText="1"/>
    </xf>
    <xf numFmtId="9" fontId="8" fillId="5" borderId="26" xfId="2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horizontal="center"/>
    </xf>
    <xf numFmtId="0" fontId="5" fillId="5" borderId="18" xfId="3" applyFont="1" applyFill="1" applyBorder="1" applyAlignment="1">
      <alignment horizontal="center" vertical="center"/>
    </xf>
    <xf numFmtId="0" fontId="5" fillId="5" borderId="25" xfId="3" applyFont="1" applyFill="1" applyBorder="1" applyAlignment="1">
      <alignment horizontal="center" vertical="center"/>
    </xf>
    <xf numFmtId="0" fontId="5" fillId="5" borderId="19" xfId="3" applyFont="1" applyFill="1" applyBorder="1" applyAlignment="1">
      <alignment horizontal="center" vertical="center" wrapText="1"/>
    </xf>
    <xf numFmtId="0" fontId="5" fillId="5" borderId="26" xfId="3" applyFont="1" applyFill="1" applyBorder="1" applyAlignment="1">
      <alignment horizontal="center" vertical="center" wrapText="1"/>
    </xf>
    <xf numFmtId="1" fontId="8" fillId="13" borderId="87" xfId="3" applyNumberFormat="1" applyFont="1" applyFill="1" applyBorder="1" applyAlignment="1">
      <alignment horizontal="center" vertical="center" wrapText="1"/>
    </xf>
    <xf numFmtId="9" fontId="8" fillId="0" borderId="0" xfId="0" applyNumberFormat="1" applyFont="1" applyAlignment="1">
      <alignment horizontal="center"/>
    </xf>
    <xf numFmtId="166" fontId="5" fillId="10" borderId="19" xfId="1" applyFont="1" applyFill="1" applyBorder="1" applyAlignment="1">
      <alignment horizontal="center" vertical="center" wrapText="1"/>
    </xf>
    <xf numFmtId="166" fontId="5" fillId="10" borderId="26" xfId="1" applyFont="1" applyFill="1" applyBorder="1" applyAlignment="1">
      <alignment horizontal="center" vertical="center" wrapText="1"/>
    </xf>
    <xf numFmtId="9" fontId="5" fillId="10" borderId="66" xfId="2" applyFont="1" applyFill="1" applyBorder="1" applyAlignment="1">
      <alignment horizontal="center" vertical="center" wrapText="1"/>
    </xf>
    <xf numFmtId="9" fontId="5" fillId="10" borderId="68" xfId="2" applyFont="1" applyFill="1" applyBorder="1" applyAlignment="1">
      <alignment horizontal="center" vertical="center" wrapText="1"/>
    </xf>
    <xf numFmtId="166" fontId="56" fillId="10" borderId="37" xfId="1" applyFont="1" applyFill="1" applyBorder="1" applyAlignment="1">
      <alignment horizontal="center" vertical="center"/>
    </xf>
    <xf numFmtId="166" fontId="56" fillId="10" borderId="31" xfId="1" applyFont="1" applyFill="1" applyBorder="1" applyAlignment="1">
      <alignment horizontal="center" vertical="center"/>
    </xf>
    <xf numFmtId="166" fontId="56" fillId="10" borderId="21" xfId="1" applyFont="1" applyFill="1" applyBorder="1" applyAlignment="1">
      <alignment horizontal="center" vertical="center"/>
    </xf>
    <xf numFmtId="166" fontId="56" fillId="10" borderId="38" xfId="1" applyFont="1" applyFill="1" applyBorder="1" applyAlignment="1">
      <alignment horizontal="center" vertical="center"/>
    </xf>
    <xf numFmtId="166" fontId="56" fillId="10" borderId="28" xfId="1" applyFont="1" applyFill="1" applyBorder="1" applyAlignment="1">
      <alignment horizontal="center" vertical="center"/>
    </xf>
    <xf numFmtId="166" fontId="56" fillId="10" borderId="83" xfId="1" applyFont="1" applyFill="1" applyBorder="1" applyAlignment="1">
      <alignment horizontal="center" vertical="center"/>
    </xf>
    <xf numFmtId="166" fontId="56" fillId="10" borderId="62" xfId="1" applyFont="1" applyFill="1" applyBorder="1" applyAlignment="1">
      <alignment horizontal="center" vertical="center"/>
    </xf>
    <xf numFmtId="166" fontId="56" fillId="10" borderId="32" xfId="1" applyFont="1" applyFill="1" applyBorder="1" applyAlignment="1">
      <alignment horizontal="center" vertical="center"/>
    </xf>
    <xf numFmtId="0" fontId="95" fillId="10" borderId="12" xfId="4" applyFont="1" applyFill="1" applyBorder="1" applyAlignment="1">
      <alignment horizontal="center" vertical="center"/>
    </xf>
    <xf numFmtId="0" fontId="95" fillId="10" borderId="13" xfId="4" applyFont="1" applyFill="1" applyBorder="1" applyAlignment="1">
      <alignment horizontal="center" vertical="center"/>
    </xf>
    <xf numFmtId="0" fontId="95" fillId="10" borderId="14" xfId="4" applyFont="1" applyFill="1" applyBorder="1" applyAlignment="1">
      <alignment horizontal="center" vertical="center"/>
    </xf>
    <xf numFmtId="1" fontId="5" fillId="10" borderId="20" xfId="0" applyNumberFormat="1" applyFont="1" applyFill="1" applyBorder="1" applyAlignment="1">
      <alignment horizontal="center" vertical="center"/>
    </xf>
    <xf numFmtId="9" fontId="8" fillId="10" borderId="19" xfId="2" applyFont="1" applyFill="1" applyBorder="1" applyAlignment="1">
      <alignment horizontal="center" vertical="center" wrapText="1"/>
    </xf>
    <xf numFmtId="9" fontId="8" fillId="10" borderId="26" xfId="2" applyFont="1" applyFill="1" applyBorder="1" applyAlignment="1">
      <alignment horizontal="center" vertical="center" wrapText="1"/>
    </xf>
    <xf numFmtId="0" fontId="50" fillId="10" borderId="12" xfId="4" applyFont="1" applyFill="1" applyBorder="1" applyAlignment="1">
      <alignment horizontal="center" vertical="center"/>
    </xf>
    <xf numFmtId="0" fontId="50" fillId="10" borderId="13" xfId="4" applyFont="1" applyFill="1" applyBorder="1" applyAlignment="1">
      <alignment horizontal="center" vertical="center"/>
    </xf>
    <xf numFmtId="0" fontId="0" fillId="10" borderId="79" xfId="0" applyFill="1" applyBorder="1" applyAlignment="1">
      <alignment horizontal="center" vertical="center"/>
    </xf>
    <xf numFmtId="0" fontId="0" fillId="10" borderId="59" xfId="0" applyFill="1" applyBorder="1" applyAlignment="1">
      <alignment horizontal="center" vertical="center"/>
    </xf>
    <xf numFmtId="0" fontId="0" fillId="10" borderId="80" xfId="0" applyFill="1" applyBorder="1" applyAlignment="1">
      <alignment horizontal="center" vertical="center"/>
    </xf>
    <xf numFmtId="0" fontId="50" fillId="2" borderId="12" xfId="4" applyFont="1" applyFill="1" applyBorder="1" applyAlignment="1">
      <alignment horizontal="center" vertical="center"/>
    </xf>
    <xf numFmtId="0" fontId="50" fillId="2" borderId="13" xfId="4" applyFont="1" applyFill="1" applyBorder="1" applyAlignment="1">
      <alignment horizontal="center" vertical="center"/>
    </xf>
    <xf numFmtId="0" fontId="0" fillId="7" borderId="79" xfId="0" applyFill="1" applyBorder="1" applyAlignment="1">
      <alignment horizontal="center" vertical="center"/>
    </xf>
    <xf numFmtId="0" fontId="0" fillId="7" borderId="59" xfId="0" applyFill="1" applyBorder="1" applyAlignment="1">
      <alignment horizontal="center" vertical="center"/>
    </xf>
    <xf numFmtId="0" fontId="0" fillId="7" borderId="80" xfId="0" applyFill="1" applyBorder="1" applyAlignment="1">
      <alignment horizontal="center" vertical="center"/>
    </xf>
    <xf numFmtId="166" fontId="56" fillId="7" borderId="37" xfId="1" applyFont="1" applyFill="1" applyBorder="1" applyAlignment="1">
      <alignment horizontal="center" vertical="center"/>
    </xf>
    <xf numFmtId="166" fontId="56" fillId="7" borderId="31" xfId="1" applyFont="1" applyFill="1" applyBorder="1" applyAlignment="1">
      <alignment horizontal="center" vertical="center"/>
    </xf>
    <xf numFmtId="166" fontId="56" fillId="7" borderId="21" xfId="1" applyFont="1" applyFill="1" applyBorder="1" applyAlignment="1">
      <alignment horizontal="center" vertical="center"/>
    </xf>
    <xf numFmtId="166" fontId="56" fillId="7" borderId="38" xfId="1" applyFont="1" applyFill="1" applyBorder="1" applyAlignment="1">
      <alignment horizontal="center" vertical="center"/>
    </xf>
    <xf numFmtId="166" fontId="56" fillId="7" borderId="28" xfId="1" applyFont="1" applyFill="1" applyBorder="1" applyAlignment="1">
      <alignment horizontal="center" vertical="center"/>
    </xf>
    <xf numFmtId="166" fontId="56" fillId="7" borderId="83" xfId="1" applyFont="1" applyFill="1" applyBorder="1" applyAlignment="1">
      <alignment horizontal="center" vertical="center"/>
    </xf>
    <xf numFmtId="166" fontId="56" fillId="7" borderId="62" xfId="1" applyFont="1" applyFill="1" applyBorder="1" applyAlignment="1">
      <alignment horizontal="center" vertical="center"/>
    </xf>
    <xf numFmtId="166" fontId="56" fillId="7" borderId="32" xfId="1" applyFont="1" applyFill="1" applyBorder="1" applyAlignment="1">
      <alignment horizontal="center" vertical="center"/>
    </xf>
    <xf numFmtId="1" fontId="5" fillId="13" borderId="49" xfId="3" applyNumberFormat="1" applyFont="1" applyFill="1" applyBorder="1" applyAlignment="1">
      <alignment horizontal="center" vertical="center" wrapText="1"/>
    </xf>
    <xf numFmtId="1" fontId="5" fillId="13" borderId="50" xfId="3" applyNumberFormat="1" applyFont="1" applyFill="1" applyBorder="1" applyAlignment="1">
      <alignment horizontal="center" vertical="center" wrapText="1"/>
    </xf>
    <xf numFmtId="1" fontId="5" fillId="13" borderId="52" xfId="3" applyNumberFormat="1" applyFont="1" applyFill="1" applyBorder="1" applyAlignment="1">
      <alignment horizontal="center" vertical="center" wrapText="1"/>
    </xf>
    <xf numFmtId="1" fontId="49" fillId="0" borderId="0" xfId="1" applyNumberFormat="1" applyFont="1" applyAlignment="1">
      <alignment horizontal="center"/>
    </xf>
    <xf numFmtId="1" fontId="49" fillId="0" borderId="0" xfId="1" applyNumberFormat="1" applyFont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49" fillId="0" borderId="0" xfId="2" applyNumberFormat="1" applyFont="1" applyAlignment="1">
      <alignment horizontal="center"/>
    </xf>
    <xf numFmtId="166" fontId="56" fillId="10" borderId="67" xfId="1" applyFont="1" applyFill="1" applyBorder="1" applyAlignment="1">
      <alignment horizontal="center" vertical="center"/>
    </xf>
    <xf numFmtId="166" fontId="56" fillId="10" borderId="30" xfId="1" applyFont="1" applyFill="1" applyBorder="1" applyAlignment="1">
      <alignment horizontal="center" vertical="center"/>
    </xf>
    <xf numFmtId="166" fontId="56" fillId="7" borderId="67" xfId="1" applyFont="1" applyFill="1" applyBorder="1" applyAlignment="1">
      <alignment horizontal="center" vertical="center"/>
    </xf>
    <xf numFmtId="166" fontId="56" fillId="7" borderId="30" xfId="1" applyFont="1" applyFill="1" applyBorder="1" applyAlignment="1">
      <alignment horizontal="center" vertical="center"/>
    </xf>
    <xf numFmtId="166" fontId="66" fillId="7" borderId="67" xfId="1" applyFont="1" applyFill="1" applyBorder="1" applyAlignment="1">
      <alignment horizontal="center" vertical="center"/>
    </xf>
    <xf numFmtId="166" fontId="66" fillId="7" borderId="37" xfId="1" applyFont="1" applyFill="1" applyBorder="1" applyAlignment="1">
      <alignment horizontal="center" vertical="center"/>
    </xf>
    <xf numFmtId="166" fontId="66" fillId="7" borderId="30" xfId="1" applyFont="1" applyFill="1" applyBorder="1" applyAlignment="1">
      <alignment horizontal="center" vertical="center"/>
    </xf>
    <xf numFmtId="166" fontId="66" fillId="7" borderId="31" xfId="1" applyFont="1" applyFill="1" applyBorder="1" applyAlignment="1">
      <alignment horizontal="center" vertical="center"/>
    </xf>
    <xf numFmtId="166" fontId="66" fillId="7" borderId="21" xfId="1" applyFont="1" applyFill="1" applyBorder="1" applyAlignment="1">
      <alignment horizontal="center" vertical="center"/>
    </xf>
    <xf numFmtId="166" fontId="66" fillId="7" borderId="28" xfId="1" applyFont="1" applyFill="1" applyBorder="1" applyAlignment="1">
      <alignment horizontal="center" vertical="center"/>
    </xf>
  </cellXfs>
  <cellStyles count="11">
    <cellStyle name="Comma" xfId="1" builtinId="3"/>
    <cellStyle name="Moeda 2" xfId="6" xr:uid="{BF7BB02F-FBB4-4CDA-970D-58885FC1FF89}"/>
    <cellStyle name="Normal" xfId="0" builtinId="0"/>
    <cellStyle name="Normal 11" xfId="3" xr:uid="{26A9372A-4AEA-4C17-8D2F-C72E947F1405}"/>
    <cellStyle name="Normal 11 2" xfId="5" xr:uid="{F9FC11A2-7492-41D1-91C9-162187C4DF61}"/>
    <cellStyle name="Normal 2" xfId="8" xr:uid="{4615FA66-F523-441E-A038-33DB0031DEDC}"/>
    <cellStyle name="Normal 3" xfId="10" xr:uid="{5A72105F-D7AD-4979-86F7-F01473C8F5B7}"/>
    <cellStyle name="Normal 4" xfId="9" xr:uid="{E3AAABA2-5F5D-47B9-A74E-89D5A2ABFDFD}"/>
    <cellStyle name="Normal 5 6" xfId="4" xr:uid="{813A38AD-38C0-4C43-B750-6239B1118339}"/>
    <cellStyle name="Normal 7" xfId="7" xr:uid="{06138B5F-EBCD-4CF8-891D-3BFA636B5C23}"/>
    <cellStyle name="Percent" xfId="2" builtinId="5"/>
  </cellStyles>
  <dxfs count="0"/>
  <tableStyles count="0" defaultTableStyle="TableStyleMedium2" defaultPivotStyle="PivotStyleLight16"/>
  <colors>
    <mruColors>
      <color rgb="FFFFCCCC"/>
      <color rgb="FFFFFF99"/>
      <color rgb="FFCCCCFF"/>
      <color rgb="FFFFCC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44"/>
  <sheetViews>
    <sheetView workbookViewId="0"/>
  </sheetViews>
  <sheetFormatPr defaultRowHeight="14.4" x14ac:dyDescent="0.3"/>
  <sheetData>
    <row r="1" spans="1:9" ht="21" x14ac:dyDescent="0.4">
      <c r="A1" s="92" t="s">
        <v>1170</v>
      </c>
    </row>
    <row r="2" spans="1:9" x14ac:dyDescent="0.3">
      <c r="A2" t="s">
        <v>452</v>
      </c>
    </row>
    <row r="3" spans="1:9" x14ac:dyDescent="0.3">
      <c r="A3" s="93"/>
      <c r="B3" s="94"/>
    </row>
    <row r="5" spans="1:9" x14ac:dyDescent="0.3">
      <c r="B5" s="95"/>
    </row>
    <row r="6" spans="1:9" x14ac:dyDescent="0.3">
      <c r="B6" s="96"/>
      <c r="C6" s="97"/>
      <c r="F6" s="98"/>
      <c r="G6" s="98"/>
      <c r="H6" s="98"/>
      <c r="I6" s="99"/>
    </row>
    <row r="7" spans="1:9" x14ac:dyDescent="0.3">
      <c r="A7" s="100" t="s">
        <v>453</v>
      </c>
      <c r="B7" s="101">
        <v>1641632.76</v>
      </c>
      <c r="C7" s="102"/>
      <c r="F7" s="98"/>
      <c r="G7" s="98"/>
      <c r="H7" s="98"/>
      <c r="I7" s="99"/>
    </row>
    <row r="8" spans="1:9" x14ac:dyDescent="0.3">
      <c r="A8" s="100" t="s">
        <v>454</v>
      </c>
      <c r="B8" s="101">
        <v>2328715</v>
      </c>
      <c r="C8" s="97"/>
      <c r="F8" s="98"/>
      <c r="G8" s="98"/>
      <c r="H8" s="98"/>
      <c r="I8" s="99"/>
    </row>
    <row r="9" spans="1:9" x14ac:dyDescent="0.3">
      <c r="C9" s="97"/>
      <c r="F9" s="98"/>
      <c r="G9" s="98"/>
      <c r="H9" s="98"/>
      <c r="I9" s="99"/>
    </row>
    <row r="10" spans="1:9" x14ac:dyDescent="0.3">
      <c r="A10" s="103" t="s">
        <v>455</v>
      </c>
      <c r="B10" s="104">
        <v>3295226.4750000001</v>
      </c>
      <c r="C10" s="105"/>
      <c r="F10" s="98"/>
      <c r="G10" s="98"/>
      <c r="H10" s="98"/>
      <c r="I10" s="99"/>
    </row>
    <row r="11" spans="1:9" x14ac:dyDescent="0.3">
      <c r="A11" s="100" t="s">
        <v>456</v>
      </c>
      <c r="B11" s="101">
        <v>4453008.75</v>
      </c>
      <c r="C11" s="3"/>
      <c r="F11" s="98"/>
      <c r="G11" s="98"/>
      <c r="H11" s="98"/>
      <c r="I11" s="99"/>
    </row>
    <row r="12" spans="1:9" x14ac:dyDescent="0.3">
      <c r="F12" s="98"/>
      <c r="G12" s="98"/>
      <c r="H12" s="98"/>
      <c r="I12" s="99"/>
    </row>
    <row r="13" spans="1:9" x14ac:dyDescent="0.3">
      <c r="F13" s="98"/>
      <c r="G13" s="98"/>
      <c r="H13" s="98"/>
      <c r="I13" s="99"/>
    </row>
    <row r="14" spans="1:9" x14ac:dyDescent="0.3">
      <c r="A14" s="4" t="s">
        <v>457</v>
      </c>
      <c r="F14" s="98"/>
      <c r="G14" s="98"/>
      <c r="H14" s="98"/>
      <c r="I14" s="99"/>
    </row>
    <row r="15" spans="1:9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  <c r="F15" s="98"/>
      <c r="G15" s="98"/>
      <c r="H15" s="98"/>
      <c r="I15" s="99"/>
    </row>
    <row r="16" spans="1:9" x14ac:dyDescent="0.3">
      <c r="A16" s="107" t="s">
        <v>462</v>
      </c>
      <c r="B16" s="108" t="s">
        <v>463</v>
      </c>
      <c r="C16" s="109">
        <v>0.37</v>
      </c>
      <c r="D16" s="110">
        <v>1219233.79575</v>
      </c>
      <c r="E16" s="110">
        <v>406411.26525</v>
      </c>
      <c r="F16" s="98"/>
      <c r="G16" s="98"/>
      <c r="H16" s="98"/>
      <c r="I16" s="99"/>
    </row>
    <row r="17" spans="1:37" x14ac:dyDescent="0.3">
      <c r="A17" s="107" t="s">
        <v>464</v>
      </c>
      <c r="B17" s="108" t="s">
        <v>465</v>
      </c>
      <c r="C17" s="109">
        <v>0.4</v>
      </c>
      <c r="D17" s="110">
        <v>1318090.5900000001</v>
      </c>
      <c r="E17" s="110">
        <v>329522.64750000002</v>
      </c>
      <c r="F17" s="98"/>
      <c r="G17" s="98"/>
      <c r="H17" s="98"/>
      <c r="I17" s="99"/>
    </row>
    <row r="18" spans="1:37" x14ac:dyDescent="0.3">
      <c r="A18" s="107" t="s">
        <v>466</v>
      </c>
      <c r="B18" s="108">
        <v>3</v>
      </c>
      <c r="C18" s="109">
        <v>0.23</v>
      </c>
      <c r="D18" s="110">
        <v>757902.08925000008</v>
      </c>
      <c r="E18" s="110">
        <v>189475.52231250002</v>
      </c>
      <c r="F18" s="98"/>
      <c r="G18" s="98"/>
      <c r="H18" s="98"/>
      <c r="I18" s="99"/>
    </row>
    <row r="19" spans="1:37" x14ac:dyDescent="0.3">
      <c r="B19" s="1" t="s">
        <v>467</v>
      </c>
      <c r="C19" s="3">
        <v>1</v>
      </c>
      <c r="D19" s="112"/>
      <c r="F19" s="98"/>
      <c r="G19" s="98"/>
      <c r="H19" s="98"/>
      <c r="I19" s="99"/>
    </row>
    <row r="20" spans="1:37" x14ac:dyDescent="0.3">
      <c r="C20" s="3"/>
      <c r="D20" s="112"/>
      <c r="F20" s="98"/>
      <c r="G20" s="98"/>
      <c r="H20" s="98"/>
      <c r="I20" s="99"/>
    </row>
    <row r="21" spans="1:37" x14ac:dyDescent="0.3">
      <c r="A21" s="113" t="s">
        <v>468</v>
      </c>
      <c r="B21" s="114">
        <v>584877</v>
      </c>
      <c r="F21" s="98"/>
      <c r="G21" s="98"/>
      <c r="H21" s="98"/>
      <c r="I21" s="99"/>
    </row>
    <row r="22" spans="1:37" x14ac:dyDescent="0.3">
      <c r="A22" s="113" t="s">
        <v>469</v>
      </c>
      <c r="B22" s="114">
        <v>1103403</v>
      </c>
      <c r="F22" s="98"/>
      <c r="G22" s="98"/>
      <c r="H22" s="98"/>
      <c r="I22" s="99"/>
    </row>
    <row r="23" spans="1:37" x14ac:dyDescent="0.3">
      <c r="Q23" s="115"/>
    </row>
    <row r="24" spans="1:37" x14ac:dyDescent="0.3">
      <c r="E24" s="1" t="s">
        <v>470</v>
      </c>
      <c r="F24" s="2" t="s">
        <v>471</v>
      </c>
      <c r="H24" s="1" t="s">
        <v>472</v>
      </c>
      <c r="J24" s="2305">
        <v>0.73</v>
      </c>
      <c r="K24" s="98"/>
      <c r="L24" s="98"/>
    </row>
    <row r="25" spans="1:37" x14ac:dyDescent="0.3">
      <c r="E25" s="1" t="s">
        <v>473</v>
      </c>
      <c r="F25" s="2" t="s">
        <v>474</v>
      </c>
      <c r="H25" s="1" t="s">
        <v>473</v>
      </c>
      <c r="J25" s="1">
        <v>42</v>
      </c>
      <c r="K25" s="1"/>
      <c r="L25" s="1"/>
    </row>
    <row r="26" spans="1:37" x14ac:dyDescent="0.3">
      <c r="A26" s="93"/>
      <c r="E26" s="1" t="s">
        <v>475</v>
      </c>
      <c r="F26" s="2" t="s">
        <v>476</v>
      </c>
      <c r="H26" s="1" t="s">
        <v>475</v>
      </c>
      <c r="J26" s="95">
        <v>3042</v>
      </c>
      <c r="K26" s="95"/>
      <c r="L26" s="95"/>
      <c r="P26" s="115"/>
    </row>
    <row r="27" spans="1:37" x14ac:dyDescent="0.3">
      <c r="E27" s="1" t="s">
        <v>477</v>
      </c>
      <c r="F27" s="2" t="s">
        <v>478</v>
      </c>
      <c r="H27" s="1" t="s">
        <v>477</v>
      </c>
      <c r="J27" s="95">
        <v>17791934</v>
      </c>
      <c r="K27" s="95"/>
      <c r="L27" s="95"/>
      <c r="O27" s="98"/>
      <c r="S27" s="116"/>
    </row>
    <row r="28" spans="1:37" x14ac:dyDescent="0.3">
      <c r="O28" s="98"/>
      <c r="P28" s="117"/>
    </row>
    <row r="29" spans="1:37" ht="18" x14ac:dyDescent="0.35">
      <c r="A29" s="118" t="s">
        <v>479</v>
      </c>
      <c r="O29" s="119"/>
      <c r="R29" s="98"/>
    </row>
    <row r="30" spans="1:37" x14ac:dyDescent="0.3">
      <c r="S30" s="120"/>
    </row>
    <row r="31" spans="1:37" x14ac:dyDescent="0.3">
      <c r="A31" s="2221" t="s">
        <v>480</v>
      </c>
      <c r="B31" s="2222"/>
      <c r="C31" s="2222"/>
      <c r="D31" s="2222"/>
      <c r="E31" s="2222"/>
      <c r="F31" s="2222"/>
      <c r="G31" s="2222"/>
      <c r="H31" s="2222"/>
      <c r="I31" s="2222"/>
      <c r="J31" s="2222"/>
      <c r="K31" s="2222"/>
      <c r="L31" s="2222"/>
      <c r="M31" s="2222"/>
      <c r="N31" s="2222"/>
      <c r="O31" s="2222"/>
      <c r="P31" s="2222"/>
      <c r="Q31" s="2222"/>
      <c r="R31" s="2223"/>
      <c r="S31" s="2224" t="s">
        <v>481</v>
      </c>
      <c r="T31" s="2225"/>
      <c r="U31" s="2225"/>
      <c r="V31" s="2225"/>
      <c r="W31" s="2225"/>
      <c r="X31" s="2225"/>
      <c r="Y31" s="2225"/>
      <c r="Z31" s="2225"/>
      <c r="AA31" s="2225"/>
      <c r="AB31" s="2225"/>
      <c r="AC31" s="2225"/>
      <c r="AD31" s="2225"/>
      <c r="AE31" s="2225"/>
      <c r="AF31" s="2225"/>
      <c r="AG31" s="2225"/>
      <c r="AH31" s="2225"/>
      <c r="AI31" s="2225"/>
      <c r="AJ31" s="2225"/>
      <c r="AK31" s="2226"/>
    </row>
    <row r="32" spans="1:37" ht="15.6" x14ac:dyDescent="0.3">
      <c r="A32" s="2310" t="s">
        <v>482</v>
      </c>
      <c r="B32" s="2290" t="s">
        <v>483</v>
      </c>
      <c r="C32" s="2290" t="s">
        <v>484</v>
      </c>
      <c r="D32" s="2290" t="s">
        <v>485</v>
      </c>
      <c r="E32" s="2290" t="s">
        <v>486</v>
      </c>
      <c r="F32" s="2312" t="s">
        <v>487</v>
      </c>
      <c r="G32" s="2290" t="s">
        <v>488</v>
      </c>
      <c r="H32" s="2290" t="s">
        <v>489</v>
      </c>
      <c r="I32" s="2292" t="s">
        <v>490</v>
      </c>
      <c r="J32" s="2292"/>
      <c r="K32" s="2292"/>
      <c r="L32" s="2292"/>
      <c r="M32" s="121" t="s">
        <v>491</v>
      </c>
      <c r="N32" s="122" t="s">
        <v>492</v>
      </c>
      <c r="O32" s="123" t="s">
        <v>493</v>
      </c>
      <c r="P32" s="122" t="s">
        <v>492</v>
      </c>
      <c r="Q32" s="122" t="s">
        <v>494</v>
      </c>
      <c r="R32" s="2293" t="s">
        <v>495</v>
      </c>
      <c r="S32" s="124" t="s">
        <v>496</v>
      </c>
      <c r="T32" s="2295" t="s">
        <v>497</v>
      </c>
      <c r="U32" s="2296"/>
      <c r="V32" s="2296"/>
      <c r="W32" s="2296"/>
      <c r="X32" s="2297"/>
      <c r="Y32" s="2301" t="s">
        <v>498</v>
      </c>
      <c r="Z32" s="2302"/>
      <c r="AB32" s="2301" t="s">
        <v>499</v>
      </c>
      <c r="AC32" s="2306"/>
      <c r="AD32" s="2306"/>
      <c r="AE32" s="2306"/>
      <c r="AF32" s="2306"/>
      <c r="AG32" s="2306"/>
      <c r="AH32" s="2306"/>
      <c r="AI32" s="2306"/>
      <c r="AJ32" s="2306"/>
      <c r="AK32" s="2302"/>
    </row>
    <row r="33" spans="1:37" ht="15.6" x14ac:dyDescent="0.3">
      <c r="A33" s="2311"/>
      <c r="B33" s="2291"/>
      <c r="C33" s="2291"/>
      <c r="D33" s="2291"/>
      <c r="E33" s="2291"/>
      <c r="F33" s="2313"/>
      <c r="G33" s="2291"/>
      <c r="H33" s="2291"/>
      <c r="I33" s="126" t="s">
        <v>500</v>
      </c>
      <c r="J33" s="126" t="s">
        <v>501</v>
      </c>
      <c r="K33" s="126" t="s">
        <v>502</v>
      </c>
      <c r="L33" s="126" t="s">
        <v>503</v>
      </c>
      <c r="M33" s="127" t="s">
        <v>504</v>
      </c>
      <c r="N33" s="128" t="s">
        <v>505</v>
      </c>
      <c r="O33" s="129" t="s">
        <v>506</v>
      </c>
      <c r="P33" s="128" t="s">
        <v>507</v>
      </c>
      <c r="Q33" s="128" t="s">
        <v>507</v>
      </c>
      <c r="R33" s="2294"/>
      <c r="S33" s="130" t="s">
        <v>508</v>
      </c>
      <c r="T33" s="2298"/>
      <c r="U33" s="2299"/>
      <c r="V33" s="2299"/>
      <c r="W33" s="2299"/>
      <c r="X33" s="2300"/>
      <c r="Y33" s="2303"/>
      <c r="Z33" s="2304"/>
      <c r="AB33" s="2303"/>
      <c r="AC33" s="2307"/>
      <c r="AD33" s="2307"/>
      <c r="AE33" s="2307"/>
      <c r="AF33" s="2307"/>
      <c r="AG33" s="2307"/>
      <c r="AH33" s="2307"/>
      <c r="AI33" s="2307"/>
      <c r="AJ33" s="2307"/>
      <c r="AK33" s="2304"/>
    </row>
    <row r="34" spans="1:37" ht="18" x14ac:dyDescent="0.35">
      <c r="A34" s="2308" t="s">
        <v>509</v>
      </c>
      <c r="B34" s="2309"/>
      <c r="C34" s="2309"/>
      <c r="D34" s="2309"/>
      <c r="E34" s="2309"/>
      <c r="F34" s="2309"/>
      <c r="G34" s="2309"/>
      <c r="H34" s="2309"/>
      <c r="I34" s="2309"/>
      <c r="J34" s="2309"/>
      <c r="K34" s="2309"/>
      <c r="L34" s="2309"/>
      <c r="M34" s="2309"/>
      <c r="N34" s="2309"/>
      <c r="O34" s="2309"/>
      <c r="P34" s="2309"/>
      <c r="Q34" s="2309"/>
      <c r="R34" s="2309"/>
      <c r="S34" s="131"/>
      <c r="T34" s="132" t="s">
        <v>510</v>
      </c>
      <c r="U34" s="133" t="s">
        <v>11</v>
      </c>
      <c r="V34" s="133" t="s">
        <v>511</v>
      </c>
      <c r="W34" s="133" t="s">
        <v>512</v>
      </c>
      <c r="X34" s="134" t="s">
        <v>513</v>
      </c>
      <c r="Y34" s="135" t="s">
        <v>514</v>
      </c>
      <c r="Z34" s="136" t="s">
        <v>515</v>
      </c>
      <c r="AA34" s="137"/>
      <c r="AB34" s="135" t="s">
        <v>1</v>
      </c>
      <c r="AC34" s="133" t="s">
        <v>12</v>
      </c>
      <c r="AD34" s="133" t="s">
        <v>13</v>
      </c>
      <c r="AE34" s="133" t="s">
        <v>14</v>
      </c>
      <c r="AF34" s="133" t="s">
        <v>15</v>
      </c>
      <c r="AG34" s="133" t="s">
        <v>16</v>
      </c>
      <c r="AH34" s="133" t="s">
        <v>17</v>
      </c>
      <c r="AI34" s="133" t="s">
        <v>18</v>
      </c>
      <c r="AJ34" s="133" t="s">
        <v>19</v>
      </c>
      <c r="AK34" s="136" t="s">
        <v>5</v>
      </c>
    </row>
    <row r="35" spans="1:37" x14ac:dyDescent="0.3">
      <c r="A35" s="139"/>
      <c r="B35" s="140"/>
      <c r="C35" s="140"/>
      <c r="D35" s="140"/>
      <c r="E35" s="140"/>
      <c r="F35" s="141"/>
      <c r="G35" s="140"/>
      <c r="H35" s="140"/>
      <c r="I35" s="142"/>
      <c r="J35" s="143"/>
      <c r="K35" s="143"/>
      <c r="L35" s="144"/>
      <c r="M35" s="145"/>
      <c r="N35" s="146"/>
      <c r="O35" s="147"/>
      <c r="P35" s="146"/>
      <c r="Q35" s="146"/>
      <c r="R35" s="148"/>
      <c r="S35" s="149"/>
      <c r="T35" s="150"/>
      <c r="Y35" s="151"/>
      <c r="Z35" s="152"/>
      <c r="AB35" s="153"/>
      <c r="AC35" s="154"/>
      <c r="AD35" s="154"/>
      <c r="AE35" s="154"/>
      <c r="AF35" s="154"/>
      <c r="AG35" s="154"/>
      <c r="AH35" s="154"/>
      <c r="AI35" s="154"/>
      <c r="AJ35" s="154"/>
      <c r="AK35" s="155"/>
    </row>
    <row r="36" spans="1:37" x14ac:dyDescent="0.3">
      <c r="A36" s="156" t="s">
        <v>516</v>
      </c>
      <c r="B36" s="157" t="s">
        <v>20</v>
      </c>
      <c r="C36" s="157" t="s">
        <v>517</v>
      </c>
      <c r="D36" s="157" t="s">
        <v>21</v>
      </c>
      <c r="E36" s="157" t="s">
        <v>518</v>
      </c>
      <c r="F36" s="158" t="s">
        <v>519</v>
      </c>
      <c r="G36" s="157">
        <v>1</v>
      </c>
      <c r="H36" s="157" t="s">
        <v>22</v>
      </c>
      <c r="I36" s="159">
        <v>1</v>
      </c>
      <c r="J36" s="160"/>
      <c r="K36" s="161">
        <v>1</v>
      </c>
      <c r="L36" s="162"/>
      <c r="M36" s="163">
        <v>1</v>
      </c>
      <c r="N36" s="164">
        <v>5929</v>
      </c>
      <c r="O36" s="165">
        <v>0.6</v>
      </c>
      <c r="P36" s="166">
        <f>N36*(1-O36)</f>
        <v>2371.6</v>
      </c>
      <c r="Q36" s="166">
        <f t="shared" ref="Q36:Q51" si="0">P36*M36*G36</f>
        <v>2371.6</v>
      </c>
      <c r="R36" s="167">
        <f t="shared" ref="R36:R51" si="1">Q36/$Q$59</f>
        <v>5.8381117292756607E-3</v>
      </c>
      <c r="S36" s="168">
        <f t="shared" ref="S36:S51" si="2">Q36*2</f>
        <v>4743.2</v>
      </c>
      <c r="T36" s="150">
        <f t="shared" ref="T36:T50" si="3">S36</f>
        <v>4743.2</v>
      </c>
      <c r="U36" s="169"/>
      <c r="V36" s="169"/>
      <c r="W36" s="169"/>
      <c r="X36" s="169"/>
      <c r="Y36" s="170"/>
      <c r="Z36" s="171">
        <f>S36</f>
        <v>4743.2</v>
      </c>
      <c r="AB36" s="170">
        <f>S36</f>
        <v>4743.2</v>
      </c>
      <c r="AC36" s="172"/>
      <c r="AD36" s="172"/>
      <c r="AE36" s="172"/>
      <c r="AF36" s="172"/>
      <c r="AG36" s="172"/>
      <c r="AH36" s="172"/>
      <c r="AI36" s="172"/>
      <c r="AJ36" s="172"/>
      <c r="AK36" s="152"/>
    </row>
    <row r="37" spans="1:37" x14ac:dyDescent="0.3">
      <c r="A37" s="156" t="s">
        <v>516</v>
      </c>
      <c r="B37" s="157" t="s">
        <v>23</v>
      </c>
      <c r="C37" s="157" t="s">
        <v>517</v>
      </c>
      <c r="D37" s="157" t="s">
        <v>21</v>
      </c>
      <c r="E37" s="157" t="s">
        <v>518</v>
      </c>
      <c r="F37" s="158" t="s">
        <v>519</v>
      </c>
      <c r="G37" s="157">
        <v>1</v>
      </c>
      <c r="H37" s="157" t="s">
        <v>24</v>
      </c>
      <c r="I37" s="159">
        <v>1</v>
      </c>
      <c r="J37" s="161"/>
      <c r="K37" s="161"/>
      <c r="L37" s="2209"/>
      <c r="M37" s="163">
        <v>1</v>
      </c>
      <c r="N37" s="166">
        <v>27024.15</v>
      </c>
      <c r="O37" s="173">
        <v>0.75</v>
      </c>
      <c r="P37" s="166">
        <f>N37*(1-O37)</f>
        <v>6756.0375000000004</v>
      </c>
      <c r="Q37" s="166">
        <f t="shared" si="0"/>
        <v>6756.0375000000004</v>
      </c>
      <c r="R37" s="167">
        <f t="shared" si="1"/>
        <v>1.6631178011543353E-2</v>
      </c>
      <c r="S37" s="168">
        <f t="shared" si="2"/>
        <v>13512.075000000001</v>
      </c>
      <c r="T37" s="150">
        <f t="shared" si="3"/>
        <v>13512.075000000001</v>
      </c>
      <c r="U37" s="169"/>
      <c r="Y37" s="170"/>
      <c r="Z37" s="171">
        <f>S37</f>
        <v>13512.075000000001</v>
      </c>
      <c r="AB37" s="151"/>
      <c r="AC37" s="174">
        <f>S37</f>
        <v>13512.075000000001</v>
      </c>
      <c r="AD37" s="172"/>
      <c r="AE37" s="172"/>
      <c r="AF37" s="172"/>
      <c r="AG37" s="172"/>
      <c r="AH37" s="172"/>
      <c r="AI37" s="172"/>
      <c r="AJ37" s="172"/>
      <c r="AK37" s="152"/>
    </row>
    <row r="38" spans="1:37" x14ac:dyDescent="0.3">
      <c r="A38" s="156" t="s">
        <v>516</v>
      </c>
      <c r="B38" s="157" t="s">
        <v>25</v>
      </c>
      <c r="C38" s="157" t="s">
        <v>517</v>
      </c>
      <c r="D38" s="157" t="s">
        <v>21</v>
      </c>
      <c r="E38" s="157" t="s">
        <v>518</v>
      </c>
      <c r="F38" s="158" t="s">
        <v>519</v>
      </c>
      <c r="G38" s="157">
        <v>1</v>
      </c>
      <c r="H38" s="157" t="s">
        <v>24</v>
      </c>
      <c r="I38" s="159">
        <v>1</v>
      </c>
      <c r="J38" s="161"/>
      <c r="K38" s="161"/>
      <c r="L38" s="2209"/>
      <c r="M38" s="163">
        <v>1</v>
      </c>
      <c r="N38" s="166">
        <v>7000</v>
      </c>
      <c r="O38" s="173">
        <v>0.1</v>
      </c>
      <c r="P38" s="166">
        <f t="shared" ref="P38:P51" si="4">N38*(1-O38)</f>
        <v>6300</v>
      </c>
      <c r="Q38" s="166">
        <f t="shared" si="0"/>
        <v>6300</v>
      </c>
      <c r="R38" s="167">
        <f t="shared" si="1"/>
        <v>1.5508561264309608E-2</v>
      </c>
      <c r="S38" s="168">
        <f t="shared" si="2"/>
        <v>12600</v>
      </c>
      <c r="T38" s="150">
        <f t="shared" si="3"/>
        <v>12600</v>
      </c>
      <c r="U38" s="169"/>
      <c r="Y38" s="170"/>
      <c r="Z38" s="171">
        <f>S38</f>
        <v>12600</v>
      </c>
      <c r="AB38" s="151"/>
      <c r="AC38" s="172"/>
      <c r="AD38" s="174">
        <f>S38</f>
        <v>12600</v>
      </c>
      <c r="AE38" s="172"/>
      <c r="AF38" s="172"/>
      <c r="AG38" s="172"/>
      <c r="AH38" s="172"/>
      <c r="AI38" s="172"/>
      <c r="AJ38" s="172"/>
      <c r="AK38" s="152"/>
    </row>
    <row r="39" spans="1:37" x14ac:dyDescent="0.3">
      <c r="A39" s="156" t="s">
        <v>516</v>
      </c>
      <c r="B39" s="157" t="s">
        <v>25</v>
      </c>
      <c r="C39" s="157" t="s">
        <v>517</v>
      </c>
      <c r="D39" s="157" t="s">
        <v>26</v>
      </c>
      <c r="E39" s="157" t="s">
        <v>520</v>
      </c>
      <c r="F39" s="158" t="s">
        <v>521</v>
      </c>
      <c r="G39" s="157">
        <v>1</v>
      </c>
      <c r="H39" s="157" t="s">
        <v>24</v>
      </c>
      <c r="I39" s="175">
        <v>1</v>
      </c>
      <c r="J39" s="176"/>
      <c r="K39" s="176"/>
      <c r="L39" s="177"/>
      <c r="M39" s="163">
        <v>1</v>
      </c>
      <c r="N39" s="166">
        <v>7500</v>
      </c>
      <c r="O39" s="173">
        <v>0.1</v>
      </c>
      <c r="P39" s="166">
        <f t="shared" si="4"/>
        <v>6750</v>
      </c>
      <c r="Q39" s="166">
        <f t="shared" si="0"/>
        <v>6750</v>
      </c>
      <c r="R39" s="178">
        <f t="shared" si="1"/>
        <v>1.6616315640331721E-2</v>
      </c>
      <c r="S39" s="168">
        <f t="shared" si="2"/>
        <v>13500</v>
      </c>
      <c r="T39" s="150">
        <f t="shared" si="3"/>
        <v>13500</v>
      </c>
      <c r="Y39" s="170">
        <f>S39</f>
        <v>13500</v>
      </c>
      <c r="Z39" s="171"/>
      <c r="AB39" s="151"/>
      <c r="AC39" s="172"/>
      <c r="AD39" s="174">
        <f>S39</f>
        <v>13500</v>
      </c>
      <c r="AE39" s="172"/>
      <c r="AF39" s="172"/>
      <c r="AG39" s="172"/>
      <c r="AH39" s="172"/>
      <c r="AI39" s="172"/>
      <c r="AJ39" s="172"/>
      <c r="AK39" s="152"/>
    </row>
    <row r="40" spans="1:37" x14ac:dyDescent="0.3">
      <c r="A40" s="156" t="s">
        <v>516</v>
      </c>
      <c r="B40" s="157" t="s">
        <v>25</v>
      </c>
      <c r="C40" s="157" t="s">
        <v>517</v>
      </c>
      <c r="D40" s="157" t="s">
        <v>27</v>
      </c>
      <c r="E40" s="157" t="s">
        <v>520</v>
      </c>
      <c r="F40" s="158" t="s">
        <v>522</v>
      </c>
      <c r="G40" s="157">
        <v>25</v>
      </c>
      <c r="H40" s="157" t="s">
        <v>24</v>
      </c>
      <c r="I40" s="175">
        <v>25</v>
      </c>
      <c r="J40" s="176"/>
      <c r="K40" s="179"/>
      <c r="L40" s="180"/>
      <c r="M40" s="163">
        <v>1</v>
      </c>
      <c r="N40" s="166">
        <v>2650</v>
      </c>
      <c r="O40" s="173">
        <v>0.1</v>
      </c>
      <c r="P40" s="166">
        <f t="shared" si="4"/>
        <v>2385</v>
      </c>
      <c r="Q40" s="166">
        <f t="shared" si="0"/>
        <v>59625</v>
      </c>
      <c r="R40" s="178">
        <f t="shared" si="1"/>
        <v>0.14677745482293023</v>
      </c>
      <c r="S40" s="168">
        <f t="shared" si="2"/>
        <v>119250</v>
      </c>
      <c r="T40" s="150">
        <f t="shared" si="3"/>
        <v>119250</v>
      </c>
      <c r="V40" s="169"/>
      <c r="Y40" s="181">
        <f>S40</f>
        <v>119250</v>
      </c>
      <c r="Z40" s="171"/>
      <c r="AB40" s="151"/>
      <c r="AC40" s="172"/>
      <c r="AD40" s="174">
        <f>S40</f>
        <v>119250</v>
      </c>
      <c r="AE40" s="172"/>
      <c r="AF40" s="172"/>
      <c r="AG40" s="172"/>
      <c r="AH40" s="172"/>
      <c r="AI40" s="172"/>
      <c r="AJ40" s="172"/>
      <c r="AK40" s="152"/>
    </row>
    <row r="41" spans="1:37" x14ac:dyDescent="0.3">
      <c r="A41" s="156" t="s">
        <v>516</v>
      </c>
      <c r="B41" s="157" t="s">
        <v>28</v>
      </c>
      <c r="C41" s="157" t="s">
        <v>517</v>
      </c>
      <c r="D41" s="157" t="s">
        <v>21</v>
      </c>
      <c r="E41" s="157" t="s">
        <v>518</v>
      </c>
      <c r="F41" s="158" t="s">
        <v>519</v>
      </c>
      <c r="G41" s="157">
        <v>1</v>
      </c>
      <c r="H41" s="157" t="s">
        <v>24</v>
      </c>
      <c r="I41" s="159">
        <v>1</v>
      </c>
      <c r="J41" s="161"/>
      <c r="K41" s="161"/>
      <c r="L41" s="2209"/>
      <c r="M41" s="163">
        <v>1</v>
      </c>
      <c r="N41" s="166">
        <v>5593</v>
      </c>
      <c r="O41" s="173">
        <v>0.25</v>
      </c>
      <c r="P41" s="166">
        <f t="shared" si="4"/>
        <v>4194.75</v>
      </c>
      <c r="Q41" s="166">
        <f t="shared" si="0"/>
        <v>4194.75</v>
      </c>
      <c r="R41" s="167">
        <f t="shared" si="1"/>
        <v>1.0326117041819481E-2</v>
      </c>
      <c r="S41" s="168">
        <f t="shared" si="2"/>
        <v>8389.5</v>
      </c>
      <c r="T41" s="150">
        <f t="shared" si="3"/>
        <v>8389.5</v>
      </c>
      <c r="Y41" s="170"/>
      <c r="Z41" s="171">
        <f>S41</f>
        <v>8389.5</v>
      </c>
      <c r="AB41" s="151"/>
      <c r="AC41" s="172"/>
      <c r="AD41" s="172"/>
      <c r="AE41" s="174">
        <f>S41</f>
        <v>8389.5</v>
      </c>
      <c r="AF41" s="172"/>
      <c r="AG41" s="172"/>
      <c r="AH41" s="172"/>
      <c r="AI41" s="172"/>
      <c r="AJ41" s="172"/>
      <c r="AK41" s="152"/>
    </row>
    <row r="42" spans="1:37" x14ac:dyDescent="0.3">
      <c r="A42" s="156" t="s">
        <v>516</v>
      </c>
      <c r="B42" s="157" t="s">
        <v>28</v>
      </c>
      <c r="C42" s="157" t="s">
        <v>517</v>
      </c>
      <c r="D42" s="157" t="s">
        <v>26</v>
      </c>
      <c r="E42" s="157" t="s">
        <v>520</v>
      </c>
      <c r="F42" s="158" t="s">
        <v>521</v>
      </c>
      <c r="G42" s="157">
        <v>2</v>
      </c>
      <c r="H42" s="157" t="s">
        <v>24</v>
      </c>
      <c r="I42" s="182">
        <v>2</v>
      </c>
      <c r="J42" s="183"/>
      <c r="K42" s="183"/>
      <c r="L42" s="2239"/>
      <c r="M42" s="163">
        <v>1</v>
      </c>
      <c r="N42" s="166">
        <f>(10000+6680)/2</f>
        <v>8340</v>
      </c>
      <c r="O42" s="173">
        <v>0.3</v>
      </c>
      <c r="P42" s="166">
        <f t="shared" si="4"/>
        <v>5838</v>
      </c>
      <c r="Q42" s="166">
        <f t="shared" si="0"/>
        <v>11676</v>
      </c>
      <c r="R42" s="178">
        <f t="shared" si="1"/>
        <v>2.8742533543187138E-2</v>
      </c>
      <c r="S42" s="168">
        <f t="shared" si="2"/>
        <v>23352</v>
      </c>
      <c r="T42" s="150">
        <f t="shared" si="3"/>
        <v>23352</v>
      </c>
      <c r="Y42" s="170">
        <f>S42</f>
        <v>23352</v>
      </c>
      <c r="Z42" s="171"/>
      <c r="AB42" s="151"/>
      <c r="AC42" s="172"/>
      <c r="AD42" s="172"/>
      <c r="AE42" s="174">
        <f t="shared" ref="AE42:AE43" si="5">S42</f>
        <v>23352</v>
      </c>
      <c r="AF42" s="172"/>
      <c r="AG42" s="172"/>
      <c r="AH42" s="172"/>
      <c r="AI42" s="172"/>
      <c r="AJ42" s="172"/>
      <c r="AK42" s="152"/>
    </row>
    <row r="43" spans="1:37" x14ac:dyDescent="0.3">
      <c r="A43" s="156" t="s">
        <v>516</v>
      </c>
      <c r="B43" s="157" t="s">
        <v>28</v>
      </c>
      <c r="C43" s="157" t="s">
        <v>517</v>
      </c>
      <c r="D43" s="157" t="s">
        <v>29</v>
      </c>
      <c r="E43" s="157" t="s">
        <v>520</v>
      </c>
      <c r="F43" s="158" t="s">
        <v>523</v>
      </c>
      <c r="G43" s="157">
        <v>3</v>
      </c>
      <c r="H43" s="157" t="s">
        <v>24</v>
      </c>
      <c r="I43" s="175">
        <v>3</v>
      </c>
      <c r="J43" s="176"/>
      <c r="K43" s="176"/>
      <c r="L43" s="177"/>
      <c r="M43" s="163">
        <v>1</v>
      </c>
      <c r="N43" s="166">
        <f>(13400+28000+16000)/3</f>
        <v>19133.333333333332</v>
      </c>
      <c r="O43" s="173">
        <v>0.25</v>
      </c>
      <c r="P43" s="166">
        <f t="shared" si="4"/>
        <v>14350</v>
      </c>
      <c r="Q43" s="166">
        <f t="shared" si="0"/>
        <v>43050</v>
      </c>
      <c r="R43" s="184">
        <f t="shared" si="1"/>
        <v>0.10597516863944899</v>
      </c>
      <c r="S43" s="168">
        <f t="shared" si="2"/>
        <v>86100</v>
      </c>
      <c r="T43" s="150">
        <f t="shared" si="3"/>
        <v>86100</v>
      </c>
      <c r="Y43" s="170">
        <f>S43</f>
        <v>86100</v>
      </c>
      <c r="Z43" s="171"/>
      <c r="AB43" s="151"/>
      <c r="AC43" s="172"/>
      <c r="AD43" s="172"/>
      <c r="AE43" s="174">
        <f t="shared" si="5"/>
        <v>86100</v>
      </c>
      <c r="AF43" s="172"/>
      <c r="AG43" s="172"/>
      <c r="AH43" s="172"/>
      <c r="AI43" s="172"/>
      <c r="AJ43" s="172"/>
      <c r="AK43" s="152"/>
    </row>
    <row r="44" spans="1:37" x14ac:dyDescent="0.3">
      <c r="A44" s="156" t="s">
        <v>516</v>
      </c>
      <c r="B44" s="157" t="s">
        <v>30</v>
      </c>
      <c r="C44" s="157" t="s">
        <v>517</v>
      </c>
      <c r="D44" s="157" t="s">
        <v>21</v>
      </c>
      <c r="E44" s="157" t="s">
        <v>518</v>
      </c>
      <c r="F44" s="158" t="s">
        <v>519</v>
      </c>
      <c r="G44" s="157">
        <v>1</v>
      </c>
      <c r="H44" s="157" t="s">
        <v>24</v>
      </c>
      <c r="I44" s="159">
        <v>1</v>
      </c>
      <c r="J44" s="161"/>
      <c r="K44" s="161"/>
      <c r="L44" s="2209"/>
      <c r="M44" s="157">
        <v>1</v>
      </c>
      <c r="N44" s="166">
        <v>2362</v>
      </c>
      <c r="O44" s="173">
        <v>0.2</v>
      </c>
      <c r="P44" s="166">
        <f t="shared" si="4"/>
        <v>1889.6000000000001</v>
      </c>
      <c r="Q44" s="166">
        <f t="shared" si="0"/>
        <v>1889.6000000000001</v>
      </c>
      <c r="R44" s="167">
        <f t="shared" si="1"/>
        <v>4.6515837087364184E-3</v>
      </c>
      <c r="S44" s="168">
        <f t="shared" si="2"/>
        <v>3779.2000000000003</v>
      </c>
      <c r="T44" s="150">
        <f t="shared" si="3"/>
        <v>3779.2000000000003</v>
      </c>
      <c r="Y44" s="151"/>
      <c r="Z44" s="171">
        <f>S44</f>
        <v>3779.2000000000003</v>
      </c>
      <c r="AB44" s="151"/>
      <c r="AC44" s="172"/>
      <c r="AD44" s="172"/>
      <c r="AE44" s="172"/>
      <c r="AF44" s="174">
        <f>S44</f>
        <v>3779.2000000000003</v>
      </c>
      <c r="AG44" s="172"/>
      <c r="AH44" s="172"/>
      <c r="AI44" s="172"/>
      <c r="AJ44" s="172"/>
      <c r="AK44" s="152"/>
    </row>
    <row r="45" spans="1:37" x14ac:dyDescent="0.3">
      <c r="A45" s="156" t="s">
        <v>516</v>
      </c>
      <c r="B45" s="157" t="s">
        <v>30</v>
      </c>
      <c r="C45" s="157" t="s">
        <v>517</v>
      </c>
      <c r="D45" s="157" t="s">
        <v>27</v>
      </c>
      <c r="E45" s="157" t="s">
        <v>524</v>
      </c>
      <c r="F45" s="158" t="s">
        <v>522</v>
      </c>
      <c r="G45" s="157">
        <v>25</v>
      </c>
      <c r="H45" s="157" t="s">
        <v>24</v>
      </c>
      <c r="I45" s="185"/>
      <c r="J45" s="160"/>
      <c r="K45" s="176">
        <v>25</v>
      </c>
      <c r="L45" s="177"/>
      <c r="M45" s="157">
        <v>1</v>
      </c>
      <c r="N45" s="166">
        <v>2650</v>
      </c>
      <c r="O45" s="173">
        <v>0.2</v>
      </c>
      <c r="P45" s="186">
        <f t="shared" si="4"/>
        <v>2120</v>
      </c>
      <c r="Q45" s="166">
        <f t="shared" si="0"/>
        <v>53000</v>
      </c>
      <c r="R45" s="178">
        <f t="shared" si="1"/>
        <v>0.13046884873149353</v>
      </c>
      <c r="S45" s="168">
        <f t="shared" si="2"/>
        <v>106000</v>
      </c>
      <c r="T45" s="150">
        <f t="shared" si="3"/>
        <v>106000</v>
      </c>
      <c r="Y45" s="170">
        <f>S45</f>
        <v>106000</v>
      </c>
      <c r="Z45" s="152"/>
      <c r="AB45" s="151"/>
      <c r="AC45" s="172"/>
      <c r="AD45" s="172"/>
      <c r="AE45" s="172"/>
      <c r="AF45" s="174">
        <f>S45</f>
        <v>106000</v>
      </c>
      <c r="AG45" s="172"/>
      <c r="AH45" s="172"/>
      <c r="AI45" s="172"/>
      <c r="AJ45" s="172"/>
      <c r="AK45" s="152"/>
    </row>
    <row r="46" spans="1:37" x14ac:dyDescent="0.3">
      <c r="A46" s="156" t="s">
        <v>516</v>
      </c>
      <c r="B46" s="157" t="s">
        <v>31</v>
      </c>
      <c r="C46" s="157" t="s">
        <v>525</v>
      </c>
      <c r="D46" s="157" t="s">
        <v>32</v>
      </c>
      <c r="E46" s="157" t="s">
        <v>526</v>
      </c>
      <c r="F46" s="158" t="s">
        <v>527</v>
      </c>
      <c r="G46" s="157">
        <v>7</v>
      </c>
      <c r="H46" s="157" t="s">
        <v>33</v>
      </c>
      <c r="I46" s="159">
        <v>7</v>
      </c>
      <c r="K46" s="161">
        <v>7</v>
      </c>
      <c r="L46" s="162"/>
      <c r="M46" s="157">
        <v>2</v>
      </c>
      <c r="N46" s="166">
        <f>265*8</f>
        <v>2120</v>
      </c>
      <c r="O46" s="173">
        <v>0.4</v>
      </c>
      <c r="P46" s="186">
        <f t="shared" si="4"/>
        <v>1272</v>
      </c>
      <c r="Q46" s="166">
        <f t="shared" si="0"/>
        <v>17808</v>
      </c>
      <c r="R46" s="187">
        <f t="shared" si="1"/>
        <v>4.3837533173781827E-2</v>
      </c>
      <c r="S46" s="168">
        <f t="shared" si="2"/>
        <v>35616</v>
      </c>
      <c r="T46" s="150">
        <f t="shared" si="3"/>
        <v>35616</v>
      </c>
      <c r="Y46" s="181"/>
      <c r="Z46" s="152"/>
      <c r="AB46" s="151"/>
      <c r="AC46" s="172"/>
      <c r="AD46" s="172"/>
      <c r="AE46" s="172"/>
      <c r="AF46" s="172"/>
      <c r="AG46" s="174">
        <f>S46</f>
        <v>35616</v>
      </c>
      <c r="AH46" s="172"/>
      <c r="AI46" s="172"/>
      <c r="AJ46" s="172"/>
      <c r="AK46" s="152"/>
    </row>
    <row r="47" spans="1:37" x14ac:dyDescent="0.3">
      <c r="A47" s="156" t="s">
        <v>516</v>
      </c>
      <c r="B47" s="157" t="s">
        <v>34</v>
      </c>
      <c r="C47" s="157" t="s">
        <v>517</v>
      </c>
      <c r="D47" s="157" t="s">
        <v>21</v>
      </c>
      <c r="E47" s="157" t="s">
        <v>518</v>
      </c>
      <c r="F47" s="158" t="s">
        <v>519</v>
      </c>
      <c r="G47" s="157">
        <v>2</v>
      </c>
      <c r="H47" s="157" t="s">
        <v>24</v>
      </c>
      <c r="I47" s="159">
        <v>2</v>
      </c>
      <c r="J47" s="161"/>
      <c r="K47" s="161"/>
      <c r="L47" s="2209"/>
      <c r="M47" s="157">
        <v>1</v>
      </c>
      <c r="N47" s="166">
        <v>7920</v>
      </c>
      <c r="O47" s="173">
        <v>0.25</v>
      </c>
      <c r="P47" s="186">
        <f t="shared" si="4"/>
        <v>5940</v>
      </c>
      <c r="Q47" s="166">
        <f t="shared" si="0"/>
        <v>11880</v>
      </c>
      <c r="R47" s="167">
        <f t="shared" si="1"/>
        <v>2.9244715526983833E-2</v>
      </c>
      <c r="S47" s="168">
        <f t="shared" si="2"/>
        <v>23760</v>
      </c>
      <c r="T47" s="150">
        <f t="shared" si="3"/>
        <v>23760</v>
      </c>
      <c r="Y47" s="151"/>
      <c r="Z47" s="171">
        <f t="shared" ref="Z47:Z51" si="6">S47</f>
        <v>23760</v>
      </c>
      <c r="AB47" s="151"/>
      <c r="AC47" s="172"/>
      <c r="AD47" s="172"/>
      <c r="AE47" s="172"/>
      <c r="AF47" s="172"/>
      <c r="AG47" s="172"/>
      <c r="AH47" s="174">
        <f>S47</f>
        <v>23760</v>
      </c>
      <c r="AI47" s="172"/>
      <c r="AJ47" s="172"/>
      <c r="AK47" s="152"/>
    </row>
    <row r="48" spans="1:37" x14ac:dyDescent="0.3">
      <c r="A48" s="156" t="s">
        <v>516</v>
      </c>
      <c r="B48" s="157" t="s">
        <v>35</v>
      </c>
      <c r="C48" s="157" t="s">
        <v>517</v>
      </c>
      <c r="D48" s="157" t="s">
        <v>21</v>
      </c>
      <c r="E48" s="157" t="s">
        <v>518</v>
      </c>
      <c r="F48" s="158" t="s">
        <v>519</v>
      </c>
      <c r="G48" s="157">
        <v>2</v>
      </c>
      <c r="H48" s="157" t="s">
        <v>24</v>
      </c>
      <c r="I48" s="159">
        <v>2</v>
      </c>
      <c r="J48" s="161"/>
      <c r="K48" s="161"/>
      <c r="L48" s="2209"/>
      <c r="M48" s="157">
        <v>1</v>
      </c>
      <c r="N48" s="166">
        <v>18500</v>
      </c>
      <c r="O48" s="173">
        <v>0.6</v>
      </c>
      <c r="P48" s="186">
        <f t="shared" si="4"/>
        <v>7400</v>
      </c>
      <c r="Q48" s="166">
        <f t="shared" si="0"/>
        <v>14800</v>
      </c>
      <c r="R48" s="167">
        <f t="shared" si="1"/>
        <v>3.6432810589171777E-2</v>
      </c>
      <c r="S48" s="168">
        <f t="shared" si="2"/>
        <v>29600</v>
      </c>
      <c r="T48" s="150">
        <f t="shared" si="3"/>
        <v>29600</v>
      </c>
      <c r="Y48" s="151"/>
      <c r="Z48" s="171">
        <f t="shared" si="6"/>
        <v>29600</v>
      </c>
      <c r="AB48" s="151"/>
      <c r="AC48" s="172"/>
      <c r="AD48" s="172"/>
      <c r="AE48" s="172"/>
      <c r="AF48" s="172"/>
      <c r="AG48" s="172"/>
      <c r="AH48" s="172"/>
      <c r="AI48" s="174">
        <f>S48</f>
        <v>29600</v>
      </c>
      <c r="AJ48" s="172"/>
      <c r="AK48" s="152"/>
    </row>
    <row r="49" spans="1:37" x14ac:dyDescent="0.3">
      <c r="A49" s="156" t="s">
        <v>516</v>
      </c>
      <c r="B49" s="157" t="s">
        <v>35</v>
      </c>
      <c r="C49" s="157" t="s">
        <v>517</v>
      </c>
      <c r="D49" s="157" t="s">
        <v>26</v>
      </c>
      <c r="E49" s="157" t="s">
        <v>520</v>
      </c>
      <c r="F49" s="158" t="s">
        <v>521</v>
      </c>
      <c r="G49" s="157">
        <v>2</v>
      </c>
      <c r="H49" s="157" t="s">
        <v>24</v>
      </c>
      <c r="I49" s="159">
        <v>2</v>
      </c>
      <c r="J49" s="161"/>
      <c r="K49" s="161"/>
      <c r="L49" s="2209"/>
      <c r="M49" s="157">
        <v>1</v>
      </c>
      <c r="N49" s="166">
        <v>20500</v>
      </c>
      <c r="O49" s="173">
        <v>0.57999999999999996</v>
      </c>
      <c r="P49" s="186">
        <f t="shared" si="4"/>
        <v>8610</v>
      </c>
      <c r="Q49" s="166">
        <f t="shared" si="0"/>
        <v>17220</v>
      </c>
      <c r="R49" s="178">
        <f t="shared" si="1"/>
        <v>4.2390067455779591E-2</v>
      </c>
      <c r="S49" s="168">
        <f t="shared" si="2"/>
        <v>34440</v>
      </c>
      <c r="T49" s="150">
        <f t="shared" si="3"/>
        <v>34440</v>
      </c>
      <c r="Y49" s="170">
        <f>S49</f>
        <v>34440</v>
      </c>
      <c r="Z49" s="152"/>
      <c r="AB49" s="151"/>
      <c r="AC49" s="172"/>
      <c r="AD49" s="172"/>
      <c r="AE49" s="172"/>
      <c r="AF49" s="172"/>
      <c r="AG49" s="172"/>
      <c r="AH49" s="172"/>
      <c r="AI49" s="174">
        <f>S49</f>
        <v>34440</v>
      </c>
      <c r="AJ49" s="172"/>
      <c r="AK49" s="152"/>
    </row>
    <row r="50" spans="1:37" x14ac:dyDescent="0.3">
      <c r="A50" s="156" t="s">
        <v>516</v>
      </c>
      <c r="B50" s="157" t="s">
        <v>36</v>
      </c>
      <c r="C50" s="157" t="s">
        <v>517</v>
      </c>
      <c r="D50" s="157" t="s">
        <v>21</v>
      </c>
      <c r="E50" s="157" t="s">
        <v>518</v>
      </c>
      <c r="F50" s="158" t="s">
        <v>519</v>
      </c>
      <c r="G50" s="157">
        <v>1</v>
      </c>
      <c r="H50" s="157" t="s">
        <v>24</v>
      </c>
      <c r="I50" s="159">
        <v>1</v>
      </c>
      <c r="J50" s="161"/>
      <c r="K50" s="161"/>
      <c r="L50" s="2209"/>
      <c r="M50" s="157">
        <v>1</v>
      </c>
      <c r="N50" s="166">
        <v>8125</v>
      </c>
      <c r="O50" s="173">
        <v>0.15</v>
      </c>
      <c r="P50" s="186">
        <f t="shared" si="4"/>
        <v>6906.25</v>
      </c>
      <c r="Q50" s="166">
        <f t="shared" si="0"/>
        <v>6906.25</v>
      </c>
      <c r="R50" s="167">
        <f t="shared" si="1"/>
        <v>1.7000952576450512E-2</v>
      </c>
      <c r="S50" s="168">
        <f t="shared" si="2"/>
        <v>13812.5</v>
      </c>
      <c r="T50" s="150">
        <f t="shared" si="3"/>
        <v>13812.5</v>
      </c>
      <c r="Y50" s="151"/>
      <c r="Z50" s="171">
        <f t="shared" si="6"/>
        <v>13812.5</v>
      </c>
      <c r="AB50" s="151"/>
      <c r="AC50" s="172"/>
      <c r="AD50" s="172"/>
      <c r="AE50" s="172"/>
      <c r="AF50" s="172"/>
      <c r="AG50" s="172"/>
      <c r="AH50" s="172"/>
      <c r="AI50" s="172"/>
      <c r="AJ50" s="174">
        <f>S50</f>
        <v>13812.5</v>
      </c>
      <c r="AK50" s="171"/>
    </row>
    <row r="51" spans="1:37" x14ac:dyDescent="0.3">
      <c r="A51" s="156" t="s">
        <v>516</v>
      </c>
      <c r="B51" s="157" t="s">
        <v>36</v>
      </c>
      <c r="C51" s="157" t="s">
        <v>517</v>
      </c>
      <c r="D51" s="157" t="s">
        <v>37</v>
      </c>
      <c r="E51" s="157" t="s">
        <v>520</v>
      </c>
      <c r="F51" s="158" t="s">
        <v>38</v>
      </c>
      <c r="G51" s="157">
        <v>1</v>
      </c>
      <c r="H51" s="157" t="s">
        <v>24</v>
      </c>
      <c r="I51" s="159">
        <v>1</v>
      </c>
      <c r="J51" s="161"/>
      <c r="K51" s="161"/>
      <c r="L51" s="2209"/>
      <c r="M51" s="157">
        <v>1</v>
      </c>
      <c r="N51" s="166">
        <v>73000</v>
      </c>
      <c r="O51" s="173">
        <v>0</v>
      </c>
      <c r="P51" s="186">
        <f t="shared" si="4"/>
        <v>73000</v>
      </c>
      <c r="Q51" s="166">
        <f t="shared" si="0"/>
        <v>73000</v>
      </c>
      <c r="R51" s="6">
        <f t="shared" si="1"/>
        <v>0.17970237655469862</v>
      </c>
      <c r="S51" s="168">
        <f t="shared" si="2"/>
        <v>146000</v>
      </c>
      <c r="T51" s="150"/>
      <c r="V51" s="169">
        <f>S51</f>
        <v>146000</v>
      </c>
      <c r="Y51" s="151"/>
      <c r="Z51" s="171">
        <f t="shared" si="6"/>
        <v>146000</v>
      </c>
      <c r="AB51" s="151"/>
      <c r="AC51" s="172"/>
      <c r="AD51" s="172"/>
      <c r="AE51" s="172"/>
      <c r="AF51" s="172"/>
      <c r="AG51" s="172"/>
      <c r="AH51" s="172"/>
      <c r="AI51" s="172"/>
      <c r="AJ51" s="174">
        <f>S51</f>
        <v>146000</v>
      </c>
      <c r="AK51" s="171"/>
    </row>
    <row r="52" spans="1:37" x14ac:dyDescent="0.3">
      <c r="A52" s="156"/>
      <c r="B52" s="157"/>
      <c r="C52" s="157"/>
      <c r="D52" s="157"/>
      <c r="E52" s="157"/>
      <c r="F52" s="158"/>
      <c r="G52" s="157"/>
      <c r="H52" s="157"/>
      <c r="I52" s="188"/>
      <c r="M52" s="157"/>
      <c r="N52" s="166"/>
      <c r="O52" s="173"/>
      <c r="P52" s="186"/>
      <c r="Q52" s="166"/>
      <c r="R52" s="6"/>
      <c r="S52" s="168"/>
      <c r="T52" s="150"/>
      <c r="Y52" s="151"/>
      <c r="Z52" s="152"/>
      <c r="AB52" s="151"/>
      <c r="AC52" s="172"/>
      <c r="AD52" s="172"/>
      <c r="AE52" s="172"/>
      <c r="AF52" s="172"/>
      <c r="AG52" s="172"/>
      <c r="AH52" s="172"/>
      <c r="AI52" s="172"/>
      <c r="AJ52" s="172"/>
      <c r="AK52" s="152"/>
    </row>
    <row r="53" spans="1:37" x14ac:dyDescent="0.3">
      <c r="A53" s="151"/>
      <c r="B53" s="157"/>
      <c r="C53" s="157"/>
      <c r="D53" s="157"/>
      <c r="E53" s="157"/>
      <c r="F53" s="158"/>
      <c r="G53" s="157"/>
      <c r="H53" s="157"/>
      <c r="I53" s="188"/>
      <c r="M53" s="157"/>
      <c r="N53" s="166"/>
      <c r="O53" s="173"/>
      <c r="P53" s="186"/>
      <c r="Q53" s="166"/>
      <c r="R53" s="6"/>
      <c r="S53" s="168"/>
      <c r="T53" s="150"/>
      <c r="Y53" s="151"/>
      <c r="Z53" s="152"/>
      <c r="AB53" s="151"/>
      <c r="AC53" s="172"/>
      <c r="AD53" s="172"/>
      <c r="AE53" s="172"/>
      <c r="AF53" s="172"/>
      <c r="AG53" s="172"/>
      <c r="AH53" s="172"/>
      <c r="AI53" s="172"/>
      <c r="AJ53" s="172"/>
      <c r="AK53" s="152"/>
    </row>
    <row r="54" spans="1:37" x14ac:dyDescent="0.3">
      <c r="A54" s="151"/>
      <c r="B54" s="157"/>
      <c r="C54" s="157"/>
      <c r="D54" s="157"/>
      <c r="E54" s="157"/>
      <c r="F54" s="158"/>
      <c r="G54" s="157"/>
      <c r="H54" s="157"/>
      <c r="I54" s="188"/>
      <c r="M54" s="157"/>
      <c r="N54" s="166"/>
      <c r="O54" s="173"/>
      <c r="P54" s="186"/>
      <c r="Q54" s="166"/>
      <c r="R54" s="6"/>
      <c r="S54" s="168"/>
      <c r="T54" s="150"/>
      <c r="Y54" s="151"/>
      <c r="Z54" s="152"/>
      <c r="AB54" s="151"/>
      <c r="AC54" s="172"/>
      <c r="AD54" s="172"/>
      <c r="AE54" s="172"/>
      <c r="AF54" s="172"/>
      <c r="AG54" s="172"/>
      <c r="AH54" s="172"/>
      <c r="AI54" s="172"/>
      <c r="AJ54" s="172"/>
      <c r="AK54" s="152"/>
    </row>
    <row r="55" spans="1:37" x14ac:dyDescent="0.3">
      <c r="A55" s="151"/>
      <c r="B55" s="157"/>
      <c r="C55" s="157"/>
      <c r="D55" s="157"/>
      <c r="E55" s="157"/>
      <c r="F55" s="158"/>
      <c r="G55" s="157"/>
      <c r="H55" s="157"/>
      <c r="I55" s="188"/>
      <c r="M55" s="157"/>
      <c r="N55" s="166"/>
      <c r="O55" s="173"/>
      <c r="P55" s="186"/>
      <c r="Q55" s="166"/>
      <c r="R55" s="6"/>
      <c r="S55" s="168"/>
      <c r="T55" s="150"/>
      <c r="Y55" s="151"/>
      <c r="Z55" s="152"/>
      <c r="AB55" s="151"/>
      <c r="AC55" s="172"/>
      <c r="AD55" s="172"/>
      <c r="AE55" s="172"/>
      <c r="AF55" s="172"/>
      <c r="AG55" s="172"/>
      <c r="AH55" s="172"/>
      <c r="AI55" s="172"/>
      <c r="AJ55" s="172"/>
      <c r="AK55" s="152"/>
    </row>
    <row r="56" spans="1:37" x14ac:dyDescent="0.3">
      <c r="A56" s="189" t="s">
        <v>516</v>
      </c>
      <c r="B56" s="190" t="s">
        <v>528</v>
      </c>
      <c r="C56" s="190"/>
      <c r="D56" s="190"/>
      <c r="E56" s="190"/>
      <c r="F56" s="191"/>
      <c r="G56" s="190"/>
      <c r="H56" s="190"/>
      <c r="I56" s="192"/>
      <c r="J56" s="193"/>
      <c r="K56" s="193"/>
      <c r="L56" s="193"/>
      <c r="M56" s="190"/>
      <c r="N56" s="194"/>
      <c r="O56" s="195"/>
      <c r="P56" s="186"/>
      <c r="Q56" s="166"/>
      <c r="R56" s="196"/>
      <c r="S56" s="168">
        <f>Q56*2</f>
        <v>0</v>
      </c>
      <c r="T56" s="150"/>
      <c r="W56" s="169">
        <f>S56</f>
        <v>0</v>
      </c>
      <c r="Y56" s="151"/>
      <c r="Z56" s="171"/>
      <c r="AB56" s="151"/>
      <c r="AC56" s="172"/>
      <c r="AD56" s="172"/>
      <c r="AE56" s="172"/>
      <c r="AF56" s="172"/>
      <c r="AG56" s="172"/>
      <c r="AH56" s="172"/>
      <c r="AI56" s="172"/>
      <c r="AJ56" s="172"/>
      <c r="AK56" s="152"/>
    </row>
    <row r="57" spans="1:37" x14ac:dyDescent="0.3">
      <c r="A57" s="197" t="s">
        <v>516</v>
      </c>
      <c r="B57" s="198" t="s">
        <v>529</v>
      </c>
      <c r="C57" s="198"/>
      <c r="D57" s="198" t="s">
        <v>530</v>
      </c>
      <c r="E57" s="198"/>
      <c r="F57" s="199"/>
      <c r="G57" s="198"/>
      <c r="H57" s="198"/>
      <c r="I57" s="200"/>
      <c r="J57" s="200"/>
      <c r="K57" s="200"/>
      <c r="L57" s="200"/>
      <c r="M57" s="198"/>
      <c r="N57" s="201"/>
      <c r="O57" s="202"/>
      <c r="P57" s="203"/>
      <c r="Q57" s="201">
        <v>69000</v>
      </c>
      <c r="R57" s="204">
        <f>Q57/Q59</f>
        <v>0.16985567099005761</v>
      </c>
      <c r="S57" s="205">
        <f>Q57*2</f>
        <v>138000</v>
      </c>
      <c r="T57" s="150"/>
      <c r="X57" s="169">
        <f>S57</f>
        <v>138000</v>
      </c>
      <c r="Y57" s="151"/>
      <c r="Z57" s="152"/>
      <c r="AB57" s="151"/>
      <c r="AC57" s="172"/>
      <c r="AD57" s="172"/>
      <c r="AE57" s="172"/>
      <c r="AF57" s="172"/>
      <c r="AG57" s="172"/>
      <c r="AH57" s="172"/>
      <c r="AI57" s="172"/>
      <c r="AJ57" s="172"/>
      <c r="AK57" s="152"/>
    </row>
    <row r="58" spans="1:37" x14ac:dyDescent="0.3">
      <c r="I58" s="115">
        <f>I59/M59</f>
        <v>0.6071428571428571</v>
      </c>
      <c r="J58" s="115"/>
      <c r="K58" s="115">
        <f>K59/M59</f>
        <v>0.39285714285714285</v>
      </c>
      <c r="S58" s="206"/>
      <c r="T58" s="207"/>
      <c r="U58" s="208"/>
      <c r="V58" s="208"/>
      <c r="W58" s="208"/>
      <c r="X58" s="208"/>
      <c r="Y58" s="209"/>
      <c r="Z58" s="210"/>
      <c r="AB58" s="209"/>
      <c r="AC58" s="211"/>
      <c r="AD58" s="211"/>
      <c r="AE58" s="211"/>
      <c r="AF58" s="211"/>
      <c r="AG58" s="211"/>
      <c r="AH58" s="211"/>
      <c r="AI58" s="211"/>
      <c r="AJ58" s="211"/>
      <c r="AK58" s="210"/>
    </row>
    <row r="59" spans="1:37" x14ac:dyDescent="0.3">
      <c r="A59" s="212" t="s">
        <v>531</v>
      </c>
      <c r="B59" s="213"/>
      <c r="C59" s="213"/>
      <c r="D59" s="213"/>
      <c r="E59" s="213"/>
      <c r="F59" s="214"/>
      <c r="G59" s="213"/>
      <c r="H59" s="213"/>
      <c r="I59" s="213">
        <f>I44+I43+I42+I41+I40+I39+I38+I37+I46+I36+I47+I48+I49+I50+I51</f>
        <v>51</v>
      </c>
      <c r="J59" s="213"/>
      <c r="K59" s="213">
        <f>K46+K36+K45</f>
        <v>33</v>
      </c>
      <c r="L59" s="213"/>
      <c r="M59" s="213">
        <f>SUM(I59:L59)</f>
        <v>84</v>
      </c>
      <c r="N59" s="215"/>
      <c r="O59" s="216"/>
      <c r="P59" s="215"/>
      <c r="Q59" s="217">
        <f>SUM(Q36:Q58)</f>
        <v>406227.23750000005</v>
      </c>
      <c r="R59" s="218">
        <f>SUM(R36:R57)</f>
        <v>0.99999999999999978</v>
      </c>
      <c r="S59" s="219">
        <f>SUM(S36:S58)</f>
        <v>812454.47500000009</v>
      </c>
      <c r="T59" s="220">
        <f t="shared" ref="T59:Z59" si="7">SUM(T36:T57)</f>
        <v>528454.47500000009</v>
      </c>
      <c r="U59" s="221">
        <f t="shared" si="7"/>
        <v>0</v>
      </c>
      <c r="V59" s="221">
        <f t="shared" si="7"/>
        <v>146000</v>
      </c>
      <c r="W59" s="221">
        <f t="shared" si="7"/>
        <v>0</v>
      </c>
      <c r="X59" s="221">
        <f t="shared" si="7"/>
        <v>138000</v>
      </c>
      <c r="Y59" s="222">
        <f t="shared" si="7"/>
        <v>382642</v>
      </c>
      <c r="Z59" s="223">
        <f t="shared" si="7"/>
        <v>256196.47500000001</v>
      </c>
      <c r="AA59" s="224"/>
      <c r="AB59" s="225">
        <f>SUM(AB35:AB58)</f>
        <v>4743.2</v>
      </c>
      <c r="AC59" s="226">
        <f t="shared" ref="AC59:AK59" si="8">SUM(AC35:AC58)</f>
        <v>13512.075000000001</v>
      </c>
      <c r="AD59" s="226">
        <f t="shared" si="8"/>
        <v>145350</v>
      </c>
      <c r="AE59" s="226">
        <f t="shared" si="8"/>
        <v>117841.5</v>
      </c>
      <c r="AF59" s="226">
        <f t="shared" si="8"/>
        <v>109779.2</v>
      </c>
      <c r="AG59" s="226">
        <f t="shared" si="8"/>
        <v>35616</v>
      </c>
      <c r="AH59" s="226">
        <f t="shared" si="8"/>
        <v>23760</v>
      </c>
      <c r="AI59" s="226">
        <f t="shared" si="8"/>
        <v>64040</v>
      </c>
      <c r="AJ59" s="226">
        <f t="shared" si="8"/>
        <v>159812.5</v>
      </c>
      <c r="AK59" s="227">
        <f t="shared" si="8"/>
        <v>0</v>
      </c>
    </row>
    <row r="60" spans="1:37" x14ac:dyDescent="0.3">
      <c r="A60" s="228" t="s">
        <v>532</v>
      </c>
      <c r="B60" s="229"/>
      <c r="C60" s="229"/>
      <c r="D60" s="229"/>
      <c r="E60" s="229"/>
      <c r="F60" s="230"/>
      <c r="G60" s="229"/>
      <c r="H60" s="229"/>
      <c r="I60" s="229">
        <f>I44+I43+I42+I41+I40+I39+I38+I37+I46+I36+I47+I48+I49+I50+I51</f>
        <v>51</v>
      </c>
      <c r="J60" s="229">
        <f>I44+I43+I42+I41+I40+I39+I38+I37+I47+I48+I49+I50+I51</f>
        <v>43</v>
      </c>
      <c r="K60" s="229">
        <f>K45+I44+I43+I42+I41+I39+I38+I37+K46+K36+I47+I48+I49+I50+I51</f>
        <v>51</v>
      </c>
      <c r="L60" s="229">
        <f>K45+I44+I43+I42+I41+I39+I38+I37+I47+I48+I49+I50+I51</f>
        <v>43</v>
      </c>
      <c r="M60" s="229">
        <f>SUM(I60:L60)</f>
        <v>188</v>
      </c>
      <c r="N60" s="231"/>
      <c r="O60" s="232"/>
      <c r="P60" s="231"/>
      <c r="Q60" s="231"/>
      <c r="R60" s="233"/>
      <c r="S60" s="234"/>
      <c r="T60" s="235">
        <f>T59/S59</f>
        <v>0.65044195245524372</v>
      </c>
      <c r="U60" s="236">
        <f>U59/S59</f>
        <v>0</v>
      </c>
      <c r="V60" s="236">
        <f>V59/S59</f>
        <v>0.17970237655469862</v>
      </c>
      <c r="W60" s="236">
        <f>W59/S59</f>
        <v>0</v>
      </c>
      <c r="X60" s="236">
        <f>X59/S59</f>
        <v>0.16985567099005761</v>
      </c>
      <c r="Y60" s="237">
        <f>Y59/S59</f>
        <v>0.47097038883317116</v>
      </c>
      <c r="Z60" s="238">
        <f>Z59/S59</f>
        <v>0.31533640700298926</v>
      </c>
      <c r="AA60" s="239">
        <f>Y61+Z61</f>
        <v>70</v>
      </c>
      <c r="AB60" s="240"/>
      <c r="AC60" s="241"/>
      <c r="AD60" s="241"/>
      <c r="AE60" s="241"/>
      <c r="AF60" s="241"/>
      <c r="AG60" s="241"/>
      <c r="AH60" s="241"/>
      <c r="AI60" s="241"/>
      <c r="AJ60" s="241"/>
      <c r="AK60" s="242"/>
    </row>
    <row r="61" spans="1:37" x14ac:dyDescent="0.3">
      <c r="A61" s="243" t="s">
        <v>533</v>
      </c>
      <c r="B61" s="193"/>
      <c r="C61" s="193"/>
      <c r="D61" s="193"/>
      <c r="E61" s="193"/>
      <c r="F61" s="244"/>
      <c r="G61" s="193"/>
      <c r="H61" s="193"/>
      <c r="I61" s="2182">
        <f>I60/$M$60</f>
        <v>0.27127659574468083</v>
      </c>
      <c r="J61" s="2182">
        <f t="shared" ref="J61:L61" si="9">J60/$M$60</f>
        <v>0.22872340425531915</v>
      </c>
      <c r="K61" s="2182">
        <f t="shared" si="9"/>
        <v>0.27127659574468083</v>
      </c>
      <c r="L61" s="2182">
        <f t="shared" si="9"/>
        <v>0.22872340425531915</v>
      </c>
      <c r="M61" s="193"/>
      <c r="N61" s="246"/>
      <c r="O61" s="196"/>
      <c r="P61" s="246"/>
      <c r="Q61" s="194">
        <f>T59/2</f>
        <v>264227.23750000005</v>
      </c>
      <c r="R61" s="247">
        <f>Q61/Q66</f>
        <v>0.65044195245524372</v>
      </c>
      <c r="X61" s="248"/>
      <c r="Y61" s="249">
        <f>I39+I40+I42+I43+K45+I49</f>
        <v>58</v>
      </c>
      <c r="Z61" s="250">
        <f>I36+K36+I37+I38+I41+I44+I47+I48+I50+I51</f>
        <v>12</v>
      </c>
      <c r="AA61" s="4" t="s">
        <v>534</v>
      </c>
    </row>
    <row r="62" spans="1:37" x14ac:dyDescent="0.3">
      <c r="A62" s="251" t="s">
        <v>11</v>
      </c>
      <c r="B62" s="252"/>
      <c r="C62" s="252"/>
      <c r="D62" s="252"/>
      <c r="E62" s="252"/>
      <c r="F62" s="253"/>
      <c r="G62" s="252"/>
      <c r="H62" s="252"/>
      <c r="I62" s="254"/>
      <c r="J62" s="254"/>
      <c r="K62" s="254"/>
      <c r="L62" s="254"/>
      <c r="M62" s="252"/>
      <c r="N62" s="255"/>
      <c r="O62" s="256"/>
      <c r="P62" s="255"/>
      <c r="Q62" s="257">
        <f>U59/2</f>
        <v>0</v>
      </c>
      <c r="R62" s="256">
        <f>Q62/Q66</f>
        <v>0</v>
      </c>
      <c r="S62" s="258">
        <f>Q59/M59</f>
        <v>4836.0385416666668</v>
      </c>
      <c r="T62" s="259" t="s">
        <v>535</v>
      </c>
      <c r="Y62" s="260">
        <f>Y61/M59</f>
        <v>0.69047619047619047</v>
      </c>
      <c r="Z62" s="261">
        <f>Z61/M59</f>
        <v>0.14285714285714285</v>
      </c>
      <c r="AK62" s="169"/>
    </row>
    <row r="63" spans="1:37" x14ac:dyDescent="0.3">
      <c r="A63" s="251" t="s">
        <v>536</v>
      </c>
      <c r="B63" s="252"/>
      <c r="C63" s="252"/>
      <c r="D63" s="252"/>
      <c r="E63" s="252"/>
      <c r="F63" s="253"/>
      <c r="G63" s="252"/>
      <c r="H63" s="252"/>
      <c r="I63" s="254"/>
      <c r="J63" s="254"/>
      <c r="K63" s="254"/>
      <c r="L63" s="254"/>
      <c r="M63" s="252"/>
      <c r="N63" s="255"/>
      <c r="O63" s="256"/>
      <c r="P63" s="255"/>
      <c r="Q63" s="257">
        <f>V59/2</f>
        <v>73000</v>
      </c>
      <c r="R63" s="262">
        <f>Q63/Q66</f>
        <v>0.17970237655469862</v>
      </c>
      <c r="U63" s="263"/>
      <c r="W63" s="99"/>
      <c r="Y63" s="2265" t="s">
        <v>537</v>
      </c>
      <c r="Z63" s="2265"/>
      <c r="AK63" s="263"/>
    </row>
    <row r="64" spans="1:37" x14ac:dyDescent="0.3">
      <c r="A64" s="251" t="s">
        <v>529</v>
      </c>
      <c r="B64" s="252"/>
      <c r="C64" s="252"/>
      <c r="D64" s="252"/>
      <c r="E64" s="252"/>
      <c r="F64" s="253"/>
      <c r="G64" s="252"/>
      <c r="H64" s="252"/>
      <c r="I64" s="254"/>
      <c r="J64" s="254"/>
      <c r="K64" s="254"/>
      <c r="L64" s="254"/>
      <c r="M64" s="252"/>
      <c r="N64" s="255"/>
      <c r="O64" s="256"/>
      <c r="P64" s="255"/>
      <c r="Q64" s="257">
        <f>X59/2</f>
        <v>69000</v>
      </c>
      <c r="R64" s="262">
        <f>Q64/Q66</f>
        <v>0.16985567099005761</v>
      </c>
      <c r="U64" s="263"/>
    </row>
    <row r="65" spans="1:37" x14ac:dyDescent="0.3">
      <c r="A65" s="251" t="s">
        <v>528</v>
      </c>
      <c r="B65" s="252"/>
      <c r="C65" s="252"/>
      <c r="D65" s="252"/>
      <c r="E65" s="252"/>
      <c r="F65" s="253"/>
      <c r="G65" s="252"/>
      <c r="H65" s="252"/>
      <c r="I65" s="254"/>
      <c r="J65" s="254"/>
      <c r="K65" s="254"/>
      <c r="L65" s="254"/>
      <c r="M65" s="252"/>
      <c r="N65" s="255"/>
      <c r="O65" s="256"/>
      <c r="P65" s="255"/>
      <c r="Q65" s="257">
        <f>W59/2</f>
        <v>0</v>
      </c>
      <c r="R65" s="262">
        <f>Q65/Q66</f>
        <v>0</v>
      </c>
    </row>
    <row r="66" spans="1:37" x14ac:dyDescent="0.3">
      <c r="A66" s="251"/>
      <c r="B66" s="252"/>
      <c r="C66" s="252"/>
      <c r="D66" s="252"/>
      <c r="E66" s="252"/>
      <c r="F66" s="253"/>
      <c r="G66" s="252"/>
      <c r="H66" s="252"/>
      <c r="I66" s="254"/>
      <c r="J66" s="254"/>
      <c r="K66" s="254"/>
      <c r="L66" s="254"/>
      <c r="M66" s="252"/>
      <c r="N66" s="255"/>
      <c r="O66" s="256"/>
      <c r="P66" s="255"/>
      <c r="Q66" s="264">
        <f>SUM(Q61:Q65)</f>
        <v>406227.23750000005</v>
      </c>
      <c r="R66" s="262">
        <f>SUM(R61:R65)</f>
        <v>1</v>
      </c>
    </row>
    <row r="70" spans="1:37" ht="18" x14ac:dyDescent="0.35">
      <c r="A70" s="118" t="s">
        <v>538</v>
      </c>
      <c r="R70" s="98"/>
    </row>
    <row r="72" spans="1:37" x14ac:dyDescent="0.3">
      <c r="A72" s="2221" t="s">
        <v>480</v>
      </c>
      <c r="B72" s="2222"/>
      <c r="C72" s="2222"/>
      <c r="D72" s="2222"/>
      <c r="E72" s="2222"/>
      <c r="F72" s="2222"/>
      <c r="G72" s="2222"/>
      <c r="H72" s="2222"/>
      <c r="I72" s="2222"/>
      <c r="J72" s="2222"/>
      <c r="K72" s="2222"/>
      <c r="L72" s="2222"/>
      <c r="M72" s="2222"/>
      <c r="N72" s="2222"/>
      <c r="O72" s="2222"/>
      <c r="P72" s="2222"/>
      <c r="Q72" s="2222"/>
      <c r="R72" s="2223"/>
      <c r="S72" s="2224" t="s">
        <v>481</v>
      </c>
      <c r="T72" s="2225"/>
      <c r="U72" s="2225"/>
      <c r="V72" s="2225"/>
      <c r="W72" s="2225"/>
      <c r="X72" s="2225"/>
      <c r="Y72" s="2225"/>
      <c r="Z72" s="2225"/>
      <c r="AA72" s="2225"/>
      <c r="AB72" s="2225"/>
      <c r="AC72" s="2225"/>
      <c r="AD72" s="2225"/>
      <c r="AE72" s="2225"/>
      <c r="AF72" s="2225"/>
      <c r="AG72" s="2225"/>
      <c r="AH72" s="2225"/>
      <c r="AI72" s="2225"/>
      <c r="AJ72" s="2225"/>
      <c r="AK72" s="2226"/>
    </row>
    <row r="73" spans="1:37" x14ac:dyDescent="0.3">
      <c r="A73" s="2284" t="s">
        <v>482</v>
      </c>
      <c r="B73" s="2286" t="s">
        <v>483</v>
      </c>
      <c r="C73" s="2286" t="s">
        <v>484</v>
      </c>
      <c r="D73" s="2286" t="s">
        <v>485</v>
      </c>
      <c r="E73" s="2286" t="s">
        <v>486</v>
      </c>
      <c r="F73" s="2288" t="s">
        <v>487</v>
      </c>
      <c r="G73" s="2286" t="s">
        <v>488</v>
      </c>
      <c r="H73" s="2286" t="s">
        <v>489</v>
      </c>
      <c r="I73" s="2266" t="s">
        <v>490</v>
      </c>
      <c r="J73" s="2266"/>
      <c r="K73" s="2266"/>
      <c r="L73" s="2266"/>
      <c r="M73" s="265" t="s">
        <v>491</v>
      </c>
      <c r="N73" s="266" t="s">
        <v>492</v>
      </c>
      <c r="O73" s="267" t="s">
        <v>493</v>
      </c>
      <c r="P73" s="266" t="s">
        <v>492</v>
      </c>
      <c r="Q73" s="266" t="s">
        <v>494</v>
      </c>
      <c r="R73" s="2267" t="s">
        <v>495</v>
      </c>
      <c r="S73" s="268" t="s">
        <v>496</v>
      </c>
      <c r="T73" s="2269" t="s">
        <v>497</v>
      </c>
      <c r="U73" s="2270"/>
      <c r="V73" s="2270"/>
      <c r="W73" s="2270"/>
      <c r="X73" s="2271"/>
      <c r="Y73" s="2275" t="s">
        <v>498</v>
      </c>
      <c r="Z73" s="2276"/>
      <c r="AB73" s="2275" t="s">
        <v>499</v>
      </c>
      <c r="AC73" s="2279"/>
      <c r="AD73" s="2279"/>
      <c r="AE73" s="2279"/>
      <c r="AF73" s="2279"/>
      <c r="AG73" s="2279"/>
      <c r="AH73" s="2279"/>
      <c r="AI73" s="2279"/>
      <c r="AJ73" s="2279"/>
      <c r="AK73" s="2276"/>
    </row>
    <row r="74" spans="1:37" x14ac:dyDescent="0.3">
      <c r="A74" s="2285"/>
      <c r="B74" s="2287"/>
      <c r="C74" s="2287"/>
      <c r="D74" s="2287"/>
      <c r="E74" s="2287"/>
      <c r="F74" s="2289"/>
      <c r="G74" s="2287"/>
      <c r="H74" s="2287"/>
      <c r="I74" s="269" t="s">
        <v>500</v>
      </c>
      <c r="J74" s="269" t="s">
        <v>501</v>
      </c>
      <c r="K74" s="269" t="s">
        <v>502</v>
      </c>
      <c r="L74" s="269" t="s">
        <v>503</v>
      </c>
      <c r="M74" s="270" t="s">
        <v>504</v>
      </c>
      <c r="N74" s="271" t="s">
        <v>505</v>
      </c>
      <c r="O74" s="272" t="s">
        <v>506</v>
      </c>
      <c r="P74" s="271" t="s">
        <v>507</v>
      </c>
      <c r="Q74" s="271" t="s">
        <v>507</v>
      </c>
      <c r="R74" s="2268"/>
      <c r="S74" s="273" t="s">
        <v>539</v>
      </c>
      <c r="T74" s="2272"/>
      <c r="U74" s="2273"/>
      <c r="V74" s="2273"/>
      <c r="W74" s="2273"/>
      <c r="X74" s="2274"/>
      <c r="Y74" s="2277"/>
      <c r="Z74" s="2278"/>
      <c r="AB74" s="2277"/>
      <c r="AC74" s="2280"/>
      <c r="AD74" s="2280"/>
      <c r="AE74" s="2280"/>
      <c r="AF74" s="2280"/>
      <c r="AG74" s="2280"/>
      <c r="AH74" s="2280"/>
      <c r="AI74" s="2280"/>
      <c r="AJ74" s="2280"/>
      <c r="AK74" s="2278"/>
    </row>
    <row r="75" spans="1:37" ht="18" x14ac:dyDescent="0.35">
      <c r="A75" s="2281" t="s">
        <v>540</v>
      </c>
      <c r="B75" s="2282"/>
      <c r="C75" s="2282"/>
      <c r="D75" s="2282"/>
      <c r="E75" s="2282"/>
      <c r="F75" s="2282"/>
      <c r="G75" s="2282"/>
      <c r="H75" s="2282"/>
      <c r="I75" s="2282"/>
      <c r="J75" s="2282"/>
      <c r="K75" s="2282"/>
      <c r="L75" s="2282"/>
      <c r="M75" s="2282"/>
      <c r="N75" s="2282"/>
      <c r="O75" s="2282"/>
      <c r="P75" s="2282"/>
      <c r="Q75" s="2282"/>
      <c r="R75" s="2282"/>
      <c r="S75" s="2283"/>
      <c r="T75" s="274" t="s">
        <v>510</v>
      </c>
      <c r="U75" s="275" t="s">
        <v>11</v>
      </c>
      <c r="V75" s="275" t="s">
        <v>511</v>
      </c>
      <c r="W75" s="275" t="s">
        <v>512</v>
      </c>
      <c r="X75" s="276" t="s">
        <v>513</v>
      </c>
      <c r="Y75" s="277" t="s">
        <v>514</v>
      </c>
      <c r="Z75" s="278" t="s">
        <v>515</v>
      </c>
      <c r="AB75" s="277" t="s">
        <v>1</v>
      </c>
      <c r="AC75" s="275" t="s">
        <v>12</v>
      </c>
      <c r="AD75" s="275" t="s">
        <v>13</v>
      </c>
      <c r="AE75" s="275" t="s">
        <v>14</v>
      </c>
      <c r="AF75" s="275" t="s">
        <v>15</v>
      </c>
      <c r="AG75" s="275" t="s">
        <v>16</v>
      </c>
      <c r="AH75" s="275" t="s">
        <v>17</v>
      </c>
      <c r="AI75" s="275" t="s">
        <v>18</v>
      </c>
      <c r="AJ75" s="133" t="s">
        <v>19</v>
      </c>
      <c r="AK75" s="136" t="s">
        <v>5</v>
      </c>
    </row>
    <row r="76" spans="1:37" x14ac:dyDescent="0.3">
      <c r="A76" s="172"/>
      <c r="B76" s="157"/>
      <c r="C76" s="157"/>
      <c r="D76" s="157"/>
      <c r="E76" s="157"/>
      <c r="F76" s="158"/>
      <c r="G76" s="157"/>
      <c r="H76" s="157"/>
      <c r="M76" s="157"/>
      <c r="N76" s="166"/>
      <c r="O76" s="173"/>
      <c r="P76" s="166"/>
      <c r="Q76" s="166"/>
      <c r="R76" s="167"/>
      <c r="S76" s="279"/>
      <c r="T76" s="150"/>
      <c r="X76" s="152"/>
      <c r="Y76" s="280"/>
      <c r="Z76" s="152"/>
      <c r="AB76" s="153"/>
      <c r="AC76" s="154"/>
      <c r="AD76" s="154"/>
      <c r="AE76" s="154"/>
      <c r="AF76" s="154"/>
      <c r="AG76" s="154"/>
      <c r="AH76" s="154"/>
      <c r="AI76" s="154"/>
      <c r="AJ76" s="154"/>
      <c r="AK76" s="155"/>
    </row>
    <row r="77" spans="1:37" x14ac:dyDescent="0.3">
      <c r="A77" s="157" t="s">
        <v>516</v>
      </c>
      <c r="B77" s="157" t="s">
        <v>20</v>
      </c>
      <c r="C77" s="157" t="s">
        <v>517</v>
      </c>
      <c r="D77" s="157" t="s">
        <v>21</v>
      </c>
      <c r="E77" s="157" t="s">
        <v>518</v>
      </c>
      <c r="F77" s="158" t="s">
        <v>519</v>
      </c>
      <c r="G77" s="157">
        <v>1</v>
      </c>
      <c r="H77" s="157" t="s">
        <v>22</v>
      </c>
      <c r="I77" s="159">
        <v>1</v>
      </c>
      <c r="J77" s="160"/>
      <c r="K77" s="161">
        <v>1</v>
      </c>
      <c r="L77" s="162"/>
      <c r="M77" s="163">
        <v>1</v>
      </c>
      <c r="N77" s="164">
        <v>5929</v>
      </c>
      <c r="O77" s="165">
        <v>0.6</v>
      </c>
      <c r="P77" s="166">
        <f>N77*(1-O77)</f>
        <v>2371.6</v>
      </c>
      <c r="Q77" s="166">
        <f t="shared" ref="Q77:Q92" si="10">P77*M77*G77</f>
        <v>2371.6</v>
      </c>
      <c r="R77" s="167">
        <f t="shared" ref="R77:R92" si="11">Q77/$Q$99</f>
        <v>5.8369092585930336E-3</v>
      </c>
      <c r="S77" s="281">
        <f t="shared" ref="S77:S92" si="12">Q77</f>
        <v>2371.6</v>
      </c>
      <c r="T77" s="150">
        <f t="shared" ref="T77:T90" si="13">S77</f>
        <v>2371.6</v>
      </c>
      <c r="U77" s="169"/>
      <c r="V77" s="169"/>
      <c r="W77" s="169"/>
      <c r="X77" s="171"/>
      <c r="Y77" s="282"/>
      <c r="Z77" s="171">
        <f>S77</f>
        <v>2371.6</v>
      </c>
      <c r="AB77" s="170">
        <f>S77</f>
        <v>2371.6</v>
      </c>
      <c r="AC77" s="172"/>
      <c r="AD77" s="172"/>
      <c r="AE77" s="172"/>
      <c r="AF77" s="172"/>
      <c r="AG77" s="172"/>
      <c r="AH77" s="172"/>
      <c r="AI77" s="172"/>
      <c r="AJ77" s="172"/>
      <c r="AK77" s="152"/>
    </row>
    <row r="78" spans="1:37" x14ac:dyDescent="0.3">
      <c r="A78" s="157" t="s">
        <v>516</v>
      </c>
      <c r="B78" s="157" t="s">
        <v>23</v>
      </c>
      <c r="C78" s="157" t="s">
        <v>517</v>
      </c>
      <c r="D78" s="157" t="s">
        <v>21</v>
      </c>
      <c r="E78" s="157" t="s">
        <v>518</v>
      </c>
      <c r="F78" s="158" t="s">
        <v>519</v>
      </c>
      <c r="G78" s="157">
        <v>2</v>
      </c>
      <c r="H78" s="157" t="s">
        <v>24</v>
      </c>
      <c r="I78" s="159">
        <v>2</v>
      </c>
      <c r="J78" s="161"/>
      <c r="K78" s="161"/>
      <c r="L78" s="2209"/>
      <c r="M78" s="163">
        <v>1</v>
      </c>
      <c r="N78" s="166">
        <v>27024.15</v>
      </c>
      <c r="O78" s="173">
        <v>0.75</v>
      </c>
      <c r="P78" s="166">
        <f>N78*(1-O78)</f>
        <v>6756.0375000000004</v>
      </c>
      <c r="Q78" s="166">
        <f t="shared" si="10"/>
        <v>13512.075000000001</v>
      </c>
      <c r="R78" s="167">
        <f t="shared" si="11"/>
        <v>3.3255505005187834E-2</v>
      </c>
      <c r="S78" s="281">
        <f t="shared" si="12"/>
        <v>13512.075000000001</v>
      </c>
      <c r="T78" s="150">
        <f t="shared" si="13"/>
        <v>13512.075000000001</v>
      </c>
      <c r="U78" s="169"/>
      <c r="X78" s="152"/>
      <c r="Y78" s="282"/>
      <c r="Z78" s="171">
        <f>S78</f>
        <v>13512.075000000001</v>
      </c>
      <c r="AB78" s="151"/>
      <c r="AC78" s="174">
        <f>S78</f>
        <v>13512.075000000001</v>
      </c>
      <c r="AD78" s="172"/>
      <c r="AE78" s="172"/>
      <c r="AF78" s="172"/>
      <c r="AG78" s="172"/>
      <c r="AH78" s="172"/>
      <c r="AI78" s="172"/>
      <c r="AJ78" s="172"/>
      <c r="AK78" s="152"/>
    </row>
    <row r="79" spans="1:37" x14ac:dyDescent="0.3">
      <c r="A79" s="157" t="s">
        <v>516</v>
      </c>
      <c r="B79" s="157" t="s">
        <v>25</v>
      </c>
      <c r="C79" s="157" t="s">
        <v>517</v>
      </c>
      <c r="D79" s="157" t="s">
        <v>21</v>
      </c>
      <c r="E79" s="157" t="s">
        <v>518</v>
      </c>
      <c r="F79" s="158" t="s">
        <v>519</v>
      </c>
      <c r="G79" s="157">
        <v>2</v>
      </c>
      <c r="H79" s="157" t="s">
        <v>24</v>
      </c>
      <c r="I79" s="159">
        <v>2</v>
      </c>
      <c r="J79" s="161"/>
      <c r="K79" s="161"/>
      <c r="L79" s="2209"/>
      <c r="M79" s="163">
        <v>1</v>
      </c>
      <c r="N79" s="166">
        <v>7000</v>
      </c>
      <c r="O79" s="173">
        <v>0.1</v>
      </c>
      <c r="P79" s="166">
        <f t="shared" ref="P79:P92" si="14">N79*(1-O79)</f>
        <v>6300</v>
      </c>
      <c r="Q79" s="166">
        <f t="shared" si="10"/>
        <v>12600</v>
      </c>
      <c r="R79" s="167">
        <f t="shared" si="11"/>
        <v>3.1010733959467122E-2</v>
      </c>
      <c r="S79" s="281">
        <f t="shared" si="12"/>
        <v>12600</v>
      </c>
      <c r="T79" s="150">
        <f t="shared" si="13"/>
        <v>12600</v>
      </c>
      <c r="U79" s="169"/>
      <c r="X79" s="152"/>
      <c r="Y79" s="282"/>
      <c r="Z79" s="171">
        <f>S79</f>
        <v>12600</v>
      </c>
      <c r="AB79" s="151"/>
      <c r="AC79" s="172"/>
      <c r="AD79" s="174">
        <f>S79</f>
        <v>12600</v>
      </c>
      <c r="AE79" s="172"/>
      <c r="AF79" s="172"/>
      <c r="AG79" s="172"/>
      <c r="AH79" s="172"/>
      <c r="AI79" s="172"/>
      <c r="AJ79" s="172"/>
      <c r="AK79" s="152"/>
    </row>
    <row r="80" spans="1:37" x14ac:dyDescent="0.3">
      <c r="A80" s="157" t="s">
        <v>516</v>
      </c>
      <c r="B80" s="157" t="s">
        <v>25</v>
      </c>
      <c r="C80" s="157" t="s">
        <v>517</v>
      </c>
      <c r="D80" s="157" t="s">
        <v>26</v>
      </c>
      <c r="E80" s="157" t="s">
        <v>520</v>
      </c>
      <c r="F80" s="158" t="s">
        <v>521</v>
      </c>
      <c r="G80" s="157">
        <v>1</v>
      </c>
      <c r="H80" s="157" t="s">
        <v>24</v>
      </c>
      <c r="I80" s="175">
        <v>1</v>
      </c>
      <c r="J80" s="176"/>
      <c r="K80" s="176"/>
      <c r="L80" s="177"/>
      <c r="M80" s="163">
        <v>1</v>
      </c>
      <c r="N80" s="166">
        <v>7500</v>
      </c>
      <c r="O80" s="173">
        <v>0.1</v>
      </c>
      <c r="P80" s="166">
        <f t="shared" si="14"/>
        <v>6750</v>
      </c>
      <c r="Q80" s="166">
        <f t="shared" si="10"/>
        <v>6750</v>
      </c>
      <c r="R80" s="178">
        <f t="shared" si="11"/>
        <v>1.6612893192571671E-2</v>
      </c>
      <c r="S80" s="281">
        <f t="shared" si="12"/>
        <v>6750</v>
      </c>
      <c r="T80" s="150">
        <f t="shared" si="13"/>
        <v>6750</v>
      </c>
      <c r="X80" s="152"/>
      <c r="Y80" s="282">
        <f>S80</f>
        <v>6750</v>
      </c>
      <c r="Z80" s="171"/>
      <c r="AB80" s="151"/>
      <c r="AC80" s="172"/>
      <c r="AD80" s="174">
        <f>S80</f>
        <v>6750</v>
      </c>
      <c r="AE80" s="172"/>
      <c r="AF80" s="172"/>
      <c r="AG80" s="172"/>
      <c r="AH80" s="172"/>
      <c r="AI80" s="172"/>
      <c r="AJ80" s="172"/>
      <c r="AK80" s="152"/>
    </row>
    <row r="81" spans="1:37" x14ac:dyDescent="0.3">
      <c r="A81" s="157" t="s">
        <v>516</v>
      </c>
      <c r="B81" s="157" t="s">
        <v>25</v>
      </c>
      <c r="C81" s="157" t="s">
        <v>517</v>
      </c>
      <c r="D81" s="157" t="s">
        <v>27</v>
      </c>
      <c r="E81" s="157" t="s">
        <v>520</v>
      </c>
      <c r="F81" s="158" t="s">
        <v>522</v>
      </c>
      <c r="G81" s="157">
        <v>30</v>
      </c>
      <c r="H81" s="157" t="s">
        <v>24</v>
      </c>
      <c r="I81" s="175">
        <v>30</v>
      </c>
      <c r="J81" s="176"/>
      <c r="K81" s="179"/>
      <c r="L81" s="180"/>
      <c r="M81" s="163">
        <v>1</v>
      </c>
      <c r="N81" s="166">
        <v>2650</v>
      </c>
      <c r="O81" s="173">
        <v>0.1</v>
      </c>
      <c r="P81" s="166">
        <f t="shared" si="14"/>
        <v>2385</v>
      </c>
      <c r="Q81" s="166">
        <f t="shared" si="10"/>
        <v>71550</v>
      </c>
      <c r="R81" s="178">
        <f t="shared" si="11"/>
        <v>0.17609666784125971</v>
      </c>
      <c r="S81" s="281">
        <f t="shared" si="12"/>
        <v>71550</v>
      </c>
      <c r="T81" s="150">
        <f t="shared" si="13"/>
        <v>71550</v>
      </c>
      <c r="V81" s="169"/>
      <c r="X81" s="152"/>
      <c r="Y81" s="283">
        <f>S81</f>
        <v>71550</v>
      </c>
      <c r="Z81" s="171"/>
      <c r="AB81" s="151"/>
      <c r="AC81" s="172"/>
      <c r="AD81" s="174">
        <f>S81</f>
        <v>71550</v>
      </c>
      <c r="AE81" s="172"/>
      <c r="AF81" s="172"/>
      <c r="AG81" s="172"/>
      <c r="AH81" s="172"/>
      <c r="AI81" s="172"/>
      <c r="AJ81" s="172"/>
      <c r="AK81" s="152"/>
    </row>
    <row r="82" spans="1:37" x14ac:dyDescent="0.3">
      <c r="A82" s="157" t="s">
        <v>516</v>
      </c>
      <c r="B82" s="157" t="s">
        <v>28</v>
      </c>
      <c r="C82" s="157" t="s">
        <v>517</v>
      </c>
      <c r="D82" s="157" t="s">
        <v>21</v>
      </c>
      <c r="E82" s="157" t="s">
        <v>518</v>
      </c>
      <c r="F82" s="158" t="s">
        <v>519</v>
      </c>
      <c r="G82" s="157">
        <v>1</v>
      </c>
      <c r="H82" s="157" t="s">
        <v>24</v>
      </c>
      <c r="I82" s="159">
        <v>1</v>
      </c>
      <c r="J82" s="161"/>
      <c r="K82" s="161"/>
      <c r="L82" s="2209"/>
      <c r="M82" s="163">
        <v>1</v>
      </c>
      <c r="N82" s="166">
        <v>5593</v>
      </c>
      <c r="O82" s="173">
        <v>0.25</v>
      </c>
      <c r="P82" s="166">
        <f t="shared" si="14"/>
        <v>4194.75</v>
      </c>
      <c r="Q82" s="166">
        <f t="shared" si="10"/>
        <v>4194.75</v>
      </c>
      <c r="R82" s="167">
        <f t="shared" si="11"/>
        <v>1.0323990180672597E-2</v>
      </c>
      <c r="S82" s="281">
        <f t="shared" si="12"/>
        <v>4194.75</v>
      </c>
      <c r="T82" s="150">
        <f t="shared" si="13"/>
        <v>4194.75</v>
      </c>
      <c r="X82" s="152"/>
      <c r="Y82" s="282"/>
      <c r="Z82" s="171">
        <f>S82</f>
        <v>4194.75</v>
      </c>
      <c r="AB82" s="151"/>
      <c r="AC82" s="172"/>
      <c r="AD82" s="172"/>
      <c r="AE82" s="174">
        <f>S82</f>
        <v>4194.75</v>
      </c>
      <c r="AF82" s="172"/>
      <c r="AG82" s="172"/>
      <c r="AH82" s="172"/>
      <c r="AI82" s="172"/>
      <c r="AJ82" s="172"/>
      <c r="AK82" s="152"/>
    </row>
    <row r="83" spans="1:37" x14ac:dyDescent="0.3">
      <c r="A83" s="157" t="s">
        <v>516</v>
      </c>
      <c r="B83" s="157" t="s">
        <v>28</v>
      </c>
      <c r="C83" s="157" t="s">
        <v>517</v>
      </c>
      <c r="D83" s="157" t="s">
        <v>26</v>
      </c>
      <c r="E83" s="157" t="s">
        <v>520</v>
      </c>
      <c r="F83" s="158" t="s">
        <v>521</v>
      </c>
      <c r="G83" s="157">
        <v>2</v>
      </c>
      <c r="H83" s="157" t="s">
        <v>24</v>
      </c>
      <c r="I83" s="182">
        <v>2</v>
      </c>
      <c r="J83" s="183"/>
      <c r="K83" s="183"/>
      <c r="L83" s="2239"/>
      <c r="M83" s="163">
        <v>1</v>
      </c>
      <c r="N83" s="166">
        <f>(10000+6680)/2</f>
        <v>8340</v>
      </c>
      <c r="O83" s="173">
        <v>0.3</v>
      </c>
      <c r="P83" s="166">
        <f t="shared" si="14"/>
        <v>5838</v>
      </c>
      <c r="Q83" s="166">
        <f t="shared" si="10"/>
        <v>11676</v>
      </c>
      <c r="R83" s="178">
        <f t="shared" si="11"/>
        <v>2.8736613469106199E-2</v>
      </c>
      <c r="S83" s="281">
        <f t="shared" si="12"/>
        <v>11676</v>
      </c>
      <c r="T83" s="150">
        <f t="shared" si="13"/>
        <v>11676</v>
      </c>
      <c r="X83" s="152"/>
      <c r="Y83" s="282">
        <f>S83</f>
        <v>11676</v>
      </c>
      <c r="Z83" s="171"/>
      <c r="AB83" s="151"/>
      <c r="AC83" s="172"/>
      <c r="AD83" s="172"/>
      <c r="AE83" s="174">
        <f t="shared" ref="AE83" si="15">S83</f>
        <v>11676</v>
      </c>
      <c r="AF83" s="172"/>
      <c r="AG83" s="172"/>
      <c r="AH83" s="172"/>
      <c r="AI83" s="172"/>
      <c r="AJ83" s="172"/>
      <c r="AK83" s="152"/>
    </row>
    <row r="84" spans="1:37" x14ac:dyDescent="0.3">
      <c r="A84" s="157" t="s">
        <v>516</v>
      </c>
      <c r="B84" s="157" t="s">
        <v>30</v>
      </c>
      <c r="C84" s="157" t="s">
        <v>517</v>
      </c>
      <c r="D84" s="157" t="s">
        <v>21</v>
      </c>
      <c r="E84" s="157" t="s">
        <v>518</v>
      </c>
      <c r="F84" s="158" t="s">
        <v>519</v>
      </c>
      <c r="G84" s="157">
        <v>1</v>
      </c>
      <c r="H84" s="157" t="s">
        <v>24</v>
      </c>
      <c r="I84" s="159">
        <v>1</v>
      </c>
      <c r="J84" s="161"/>
      <c r="K84" s="161"/>
      <c r="L84" s="2209"/>
      <c r="M84" s="157">
        <v>1</v>
      </c>
      <c r="N84" s="166">
        <v>2362</v>
      </c>
      <c r="O84" s="173">
        <v>0.2</v>
      </c>
      <c r="P84" s="166">
        <f t="shared" si="14"/>
        <v>1889.6000000000001</v>
      </c>
      <c r="Q84" s="166">
        <f t="shared" si="10"/>
        <v>1889.6000000000001</v>
      </c>
      <c r="R84" s="167">
        <f t="shared" si="11"/>
        <v>4.6506256261753236E-3</v>
      </c>
      <c r="S84" s="281">
        <f t="shared" si="12"/>
        <v>1889.6000000000001</v>
      </c>
      <c r="T84" s="150">
        <f t="shared" si="13"/>
        <v>1889.6000000000001</v>
      </c>
      <c r="X84" s="152"/>
      <c r="Y84" s="280"/>
      <c r="Z84" s="171">
        <f>S84</f>
        <v>1889.6000000000001</v>
      </c>
      <c r="AB84" s="151"/>
      <c r="AC84" s="172"/>
      <c r="AD84" s="172"/>
      <c r="AE84" s="174"/>
      <c r="AF84" s="174">
        <f>S84</f>
        <v>1889.6000000000001</v>
      </c>
      <c r="AG84" s="172"/>
      <c r="AH84" s="172"/>
      <c r="AI84" s="172"/>
      <c r="AJ84" s="172"/>
      <c r="AK84" s="152"/>
    </row>
    <row r="85" spans="1:37" x14ac:dyDescent="0.3">
      <c r="A85" s="157" t="s">
        <v>516</v>
      </c>
      <c r="B85" s="157" t="s">
        <v>30</v>
      </c>
      <c r="C85" s="157" t="s">
        <v>517</v>
      </c>
      <c r="D85" s="157" t="s">
        <v>27</v>
      </c>
      <c r="E85" s="157" t="s">
        <v>524</v>
      </c>
      <c r="F85" s="158" t="s">
        <v>522</v>
      </c>
      <c r="G85" s="157">
        <v>30</v>
      </c>
      <c r="H85" s="157" t="s">
        <v>24</v>
      </c>
      <c r="I85" s="185"/>
      <c r="J85" s="160"/>
      <c r="K85" s="176">
        <v>30</v>
      </c>
      <c r="L85" s="177"/>
      <c r="M85" s="157">
        <v>1</v>
      </c>
      <c r="N85" s="166">
        <v>2650</v>
      </c>
      <c r="O85" s="173">
        <v>0.2</v>
      </c>
      <c r="P85" s="186">
        <f t="shared" si="14"/>
        <v>2120</v>
      </c>
      <c r="Q85" s="166">
        <f t="shared" si="10"/>
        <v>63600</v>
      </c>
      <c r="R85" s="178">
        <f t="shared" si="11"/>
        <v>0.15653037141445308</v>
      </c>
      <c r="S85" s="281">
        <f t="shared" si="12"/>
        <v>63600</v>
      </c>
      <c r="T85" s="150">
        <f t="shared" si="13"/>
        <v>63600</v>
      </c>
      <c r="X85" s="152"/>
      <c r="Y85" s="282">
        <f>S85</f>
        <v>63600</v>
      </c>
      <c r="Z85" s="152"/>
      <c r="AB85" s="151"/>
      <c r="AC85" s="172"/>
      <c r="AD85" s="172"/>
      <c r="AE85" s="172"/>
      <c r="AF85" s="174">
        <f>S85</f>
        <v>63600</v>
      </c>
      <c r="AG85" s="172"/>
      <c r="AH85" s="172"/>
      <c r="AI85" s="172"/>
      <c r="AJ85" s="172"/>
      <c r="AK85" s="152"/>
    </row>
    <row r="86" spans="1:37" x14ac:dyDescent="0.3">
      <c r="A86" s="157" t="s">
        <v>516</v>
      </c>
      <c r="B86" s="157" t="s">
        <v>31</v>
      </c>
      <c r="C86" s="157" t="s">
        <v>525</v>
      </c>
      <c r="D86" s="157" t="s">
        <v>32</v>
      </c>
      <c r="E86" s="157" t="s">
        <v>526</v>
      </c>
      <c r="F86" s="158" t="s">
        <v>527</v>
      </c>
      <c r="G86" s="157">
        <v>7</v>
      </c>
      <c r="H86" s="157" t="s">
        <v>33</v>
      </c>
      <c r="I86" s="284">
        <v>7</v>
      </c>
      <c r="J86" s="285">
        <v>7</v>
      </c>
      <c r="K86" s="285">
        <v>7</v>
      </c>
      <c r="L86" s="161">
        <v>7</v>
      </c>
      <c r="M86" s="157">
        <v>4</v>
      </c>
      <c r="N86" s="166">
        <f>265*8</f>
        <v>2120</v>
      </c>
      <c r="O86" s="173">
        <v>0.4</v>
      </c>
      <c r="P86" s="186">
        <f t="shared" si="14"/>
        <v>1272</v>
      </c>
      <c r="Q86" s="166">
        <f t="shared" si="10"/>
        <v>35616</v>
      </c>
      <c r="R86" s="187">
        <f t="shared" si="11"/>
        <v>8.7657007992093736E-2</v>
      </c>
      <c r="S86" s="281">
        <f t="shared" si="12"/>
        <v>35616</v>
      </c>
      <c r="T86" s="150">
        <f t="shared" si="13"/>
        <v>35616</v>
      </c>
      <c r="X86" s="152"/>
      <c r="Y86" s="283"/>
      <c r="Z86" s="152"/>
      <c r="AB86" s="151"/>
      <c r="AC86" s="172"/>
      <c r="AD86" s="172"/>
      <c r="AE86" s="172"/>
      <c r="AF86" s="174"/>
      <c r="AG86" s="174">
        <f>S86</f>
        <v>35616</v>
      </c>
      <c r="AH86" s="172"/>
      <c r="AI86" s="172"/>
      <c r="AJ86" s="172"/>
      <c r="AK86" s="152"/>
    </row>
    <row r="87" spans="1:37" x14ac:dyDescent="0.3">
      <c r="A87" s="157" t="s">
        <v>516</v>
      </c>
      <c r="B87" s="157" t="s">
        <v>34</v>
      </c>
      <c r="C87" s="157" t="s">
        <v>517</v>
      </c>
      <c r="D87" s="157" t="s">
        <v>21</v>
      </c>
      <c r="E87" s="157" t="s">
        <v>518</v>
      </c>
      <c r="F87" s="158" t="s">
        <v>519</v>
      </c>
      <c r="G87" s="157">
        <v>2</v>
      </c>
      <c r="H87" s="157" t="s">
        <v>24</v>
      </c>
      <c r="I87" s="159">
        <v>2</v>
      </c>
      <c r="J87" s="161"/>
      <c r="K87" s="161"/>
      <c r="L87" s="2209"/>
      <c r="M87" s="157">
        <v>1</v>
      </c>
      <c r="N87" s="166">
        <v>7920</v>
      </c>
      <c r="O87" s="173">
        <v>0.25</v>
      </c>
      <c r="P87" s="186">
        <f t="shared" si="14"/>
        <v>5940</v>
      </c>
      <c r="Q87" s="166">
        <f t="shared" si="10"/>
        <v>11880</v>
      </c>
      <c r="R87" s="167">
        <f t="shared" si="11"/>
        <v>2.9238692018926142E-2</v>
      </c>
      <c r="S87" s="281">
        <f t="shared" si="12"/>
        <v>11880</v>
      </c>
      <c r="T87" s="150">
        <f t="shared" si="13"/>
        <v>11880</v>
      </c>
      <c r="X87" s="152"/>
      <c r="Y87" s="280"/>
      <c r="Z87" s="171">
        <f t="shared" ref="Z87:Z88" si="16">S87</f>
        <v>11880</v>
      </c>
      <c r="AB87" s="151"/>
      <c r="AC87" s="172"/>
      <c r="AD87" s="172"/>
      <c r="AE87" s="172"/>
      <c r="AF87" s="172"/>
      <c r="AG87" s="174"/>
      <c r="AH87" s="174">
        <f>S87</f>
        <v>11880</v>
      </c>
      <c r="AI87" s="172"/>
      <c r="AJ87" s="172"/>
      <c r="AK87" s="152"/>
    </row>
    <row r="88" spans="1:37" x14ac:dyDescent="0.3">
      <c r="A88" s="157" t="s">
        <v>516</v>
      </c>
      <c r="B88" s="157" t="s">
        <v>35</v>
      </c>
      <c r="C88" s="157" t="s">
        <v>517</v>
      </c>
      <c r="D88" s="157" t="s">
        <v>21</v>
      </c>
      <c r="E88" s="157" t="s">
        <v>518</v>
      </c>
      <c r="F88" s="158" t="s">
        <v>519</v>
      </c>
      <c r="G88" s="157">
        <v>3</v>
      </c>
      <c r="H88" s="157" t="s">
        <v>24</v>
      </c>
      <c r="I88" s="159">
        <v>3</v>
      </c>
      <c r="J88" s="161"/>
      <c r="K88" s="161"/>
      <c r="L88" s="2209"/>
      <c r="M88" s="157">
        <v>1</v>
      </c>
      <c r="N88" s="166">
        <v>18500</v>
      </c>
      <c r="O88" s="173">
        <v>0.6</v>
      </c>
      <c r="P88" s="186">
        <f t="shared" si="14"/>
        <v>7400</v>
      </c>
      <c r="Q88" s="166">
        <f t="shared" si="10"/>
        <v>22200</v>
      </c>
      <c r="R88" s="167">
        <f t="shared" si="11"/>
        <v>5.4637959833346836E-2</v>
      </c>
      <c r="S88" s="281">
        <f t="shared" si="12"/>
        <v>22200</v>
      </c>
      <c r="T88" s="150">
        <f t="shared" si="13"/>
        <v>22200</v>
      </c>
      <c r="X88" s="152"/>
      <c r="Y88" s="280"/>
      <c r="Z88" s="171">
        <f t="shared" si="16"/>
        <v>22200</v>
      </c>
      <c r="AB88" s="151"/>
      <c r="AC88" s="172"/>
      <c r="AD88" s="172"/>
      <c r="AE88" s="172"/>
      <c r="AF88" s="172"/>
      <c r="AG88" s="172"/>
      <c r="AH88" s="174"/>
      <c r="AI88" s="174">
        <f>S88</f>
        <v>22200</v>
      </c>
      <c r="AJ88" s="172"/>
      <c r="AK88" s="152"/>
    </row>
    <row r="89" spans="1:37" x14ac:dyDescent="0.3">
      <c r="A89" s="157" t="s">
        <v>516</v>
      </c>
      <c r="B89" s="157" t="s">
        <v>35</v>
      </c>
      <c r="C89" s="157" t="s">
        <v>517</v>
      </c>
      <c r="D89" s="157" t="s">
        <v>26</v>
      </c>
      <c r="E89" s="157" t="s">
        <v>520</v>
      </c>
      <c r="F89" s="158" t="s">
        <v>521</v>
      </c>
      <c r="G89" s="157">
        <v>2</v>
      </c>
      <c r="H89" s="157" t="s">
        <v>24</v>
      </c>
      <c r="I89" s="159">
        <v>2</v>
      </c>
      <c r="J89" s="161"/>
      <c r="K89" s="161"/>
      <c r="L89" s="2209"/>
      <c r="M89" s="157">
        <v>1</v>
      </c>
      <c r="N89" s="166">
        <v>20500</v>
      </c>
      <c r="O89" s="173">
        <v>0.57999999999999996</v>
      </c>
      <c r="P89" s="186">
        <f t="shared" si="14"/>
        <v>8610</v>
      </c>
      <c r="Q89" s="166">
        <f t="shared" si="10"/>
        <v>17220</v>
      </c>
      <c r="R89" s="178">
        <f t="shared" si="11"/>
        <v>4.2381336411271731E-2</v>
      </c>
      <c r="S89" s="281">
        <f t="shared" si="12"/>
        <v>17220</v>
      </c>
      <c r="T89" s="150">
        <f t="shared" si="13"/>
        <v>17220</v>
      </c>
      <c r="X89" s="152"/>
      <c r="Y89" s="282">
        <f>S89</f>
        <v>17220</v>
      </c>
      <c r="Z89" s="152"/>
      <c r="AB89" s="151"/>
      <c r="AC89" s="172"/>
      <c r="AD89" s="172"/>
      <c r="AE89" s="172"/>
      <c r="AF89" s="172"/>
      <c r="AG89" s="172"/>
      <c r="AH89" s="172"/>
      <c r="AI89" s="174">
        <f>S89</f>
        <v>17220</v>
      </c>
      <c r="AJ89" s="172"/>
      <c r="AK89" s="152"/>
    </row>
    <row r="90" spans="1:37" x14ac:dyDescent="0.3">
      <c r="A90" s="157" t="s">
        <v>516</v>
      </c>
      <c r="B90" s="157" t="s">
        <v>36</v>
      </c>
      <c r="C90" s="157" t="s">
        <v>517</v>
      </c>
      <c r="D90" s="157" t="s">
        <v>21</v>
      </c>
      <c r="E90" s="157" t="s">
        <v>518</v>
      </c>
      <c r="F90" s="158" t="s">
        <v>519</v>
      </c>
      <c r="G90" s="157">
        <v>2</v>
      </c>
      <c r="H90" s="157" t="s">
        <v>24</v>
      </c>
      <c r="I90" s="159">
        <v>2</v>
      </c>
      <c r="J90" s="161"/>
      <c r="K90" s="161"/>
      <c r="L90" s="2209"/>
      <c r="M90" s="157">
        <v>1</v>
      </c>
      <c r="N90" s="166">
        <v>8125</v>
      </c>
      <c r="O90" s="173">
        <v>0.15</v>
      </c>
      <c r="P90" s="186">
        <f t="shared" si="14"/>
        <v>6906.25</v>
      </c>
      <c r="Q90" s="166">
        <f t="shared" si="10"/>
        <v>13812.5</v>
      </c>
      <c r="R90" s="167">
        <f t="shared" si="11"/>
        <v>3.3994901810725363E-2</v>
      </c>
      <c r="S90" s="281">
        <f t="shared" si="12"/>
        <v>13812.5</v>
      </c>
      <c r="T90" s="150">
        <f t="shared" si="13"/>
        <v>13812.5</v>
      </c>
      <c r="X90" s="152"/>
      <c r="Y90" s="280"/>
      <c r="Z90" s="171">
        <f t="shared" ref="Z90" si="17">S90</f>
        <v>13812.5</v>
      </c>
      <c r="AB90" s="151"/>
      <c r="AC90" s="172"/>
      <c r="AD90" s="172"/>
      <c r="AE90" s="172"/>
      <c r="AF90" s="172"/>
      <c r="AG90" s="172"/>
      <c r="AH90" s="172"/>
      <c r="AI90" s="174"/>
      <c r="AJ90" s="174">
        <f>S90</f>
        <v>13812.5</v>
      </c>
      <c r="AK90" s="171"/>
    </row>
    <row r="91" spans="1:37" x14ac:dyDescent="0.3">
      <c r="A91" s="157" t="s">
        <v>516</v>
      </c>
      <c r="B91" s="157" t="s">
        <v>36</v>
      </c>
      <c r="C91" s="157"/>
      <c r="D91" s="157" t="s">
        <v>39</v>
      </c>
      <c r="E91" s="157" t="s">
        <v>520</v>
      </c>
      <c r="F91" s="158" t="s">
        <v>541</v>
      </c>
      <c r="G91" s="157">
        <v>4</v>
      </c>
      <c r="H91" s="157" t="s">
        <v>40</v>
      </c>
      <c r="I91" s="284">
        <v>4</v>
      </c>
      <c r="J91" s="285">
        <v>4</v>
      </c>
      <c r="K91" s="285">
        <v>4</v>
      </c>
      <c r="L91" s="161">
        <v>4</v>
      </c>
      <c r="M91" s="157">
        <v>4</v>
      </c>
      <c r="N91" s="166">
        <v>1944</v>
      </c>
      <c r="O91" s="173">
        <v>0.15</v>
      </c>
      <c r="P91" s="186">
        <f t="shared" si="14"/>
        <v>1652.3999999999999</v>
      </c>
      <c r="Q91" s="166">
        <f t="shared" si="10"/>
        <v>26438.399999999998</v>
      </c>
      <c r="R91" s="178">
        <f t="shared" si="11"/>
        <v>6.5069380056664725E-2</v>
      </c>
      <c r="S91" s="281">
        <f t="shared" si="12"/>
        <v>26438.399999999998</v>
      </c>
      <c r="T91" s="150"/>
      <c r="V91" s="169">
        <f>S91</f>
        <v>26438.399999999998</v>
      </c>
      <c r="X91" s="152"/>
      <c r="Y91" s="282">
        <f>S91</f>
        <v>26438.399999999998</v>
      </c>
      <c r="Z91" s="152"/>
      <c r="AB91" s="151"/>
      <c r="AC91" s="172"/>
      <c r="AD91" s="172"/>
      <c r="AE91" s="172"/>
      <c r="AF91" s="172"/>
      <c r="AG91" s="172"/>
      <c r="AH91" s="172"/>
      <c r="AI91" s="172"/>
      <c r="AJ91" s="174">
        <f>S91</f>
        <v>26438.399999999998</v>
      </c>
      <c r="AK91" s="171"/>
    </row>
    <row r="92" spans="1:37" x14ac:dyDescent="0.3">
      <c r="A92" s="157" t="s">
        <v>516</v>
      </c>
      <c r="B92" s="157" t="s">
        <v>41</v>
      </c>
      <c r="C92" s="157" t="s">
        <v>525</v>
      </c>
      <c r="D92" s="157" t="s">
        <v>42</v>
      </c>
      <c r="E92" s="157" t="s">
        <v>520</v>
      </c>
      <c r="F92" s="158" t="s">
        <v>542</v>
      </c>
      <c r="G92" s="157">
        <v>20</v>
      </c>
      <c r="H92" s="157" t="s">
        <v>24</v>
      </c>
      <c r="I92" s="159">
        <v>20</v>
      </c>
      <c r="J92" s="161"/>
      <c r="K92" s="161"/>
      <c r="L92" s="2209"/>
      <c r="M92" s="157">
        <v>1</v>
      </c>
      <c r="N92" s="166">
        <v>1600</v>
      </c>
      <c r="O92" s="173">
        <v>0.5</v>
      </c>
      <c r="P92" s="186">
        <f t="shared" si="14"/>
        <v>800</v>
      </c>
      <c r="Q92" s="166">
        <f t="shared" si="10"/>
        <v>16000</v>
      </c>
      <c r="R92" s="6">
        <f t="shared" si="11"/>
        <v>3.9378709789799522E-2</v>
      </c>
      <c r="S92" s="281">
        <f t="shared" si="12"/>
        <v>16000</v>
      </c>
      <c r="T92" s="150"/>
      <c r="V92" s="169">
        <f>S92</f>
        <v>16000</v>
      </c>
      <c r="X92" s="152"/>
      <c r="Y92" s="280"/>
      <c r="Z92" s="152"/>
      <c r="AB92" s="151"/>
      <c r="AC92" s="172"/>
      <c r="AD92" s="172"/>
      <c r="AE92" s="172"/>
      <c r="AF92" s="172"/>
      <c r="AG92" s="172"/>
      <c r="AH92" s="172"/>
      <c r="AI92" s="172"/>
      <c r="AJ92" s="174">
        <f>S92</f>
        <v>16000</v>
      </c>
      <c r="AK92" s="171">
        <f>S92</f>
        <v>16000</v>
      </c>
    </row>
    <row r="93" spans="1:37" x14ac:dyDescent="0.3">
      <c r="A93" s="172"/>
      <c r="B93" s="157"/>
      <c r="C93" s="157"/>
      <c r="D93" s="157"/>
      <c r="E93" s="157"/>
      <c r="F93" s="158"/>
      <c r="G93" s="157"/>
      <c r="H93" s="157"/>
      <c r="I93" s="188"/>
      <c r="L93" s="286"/>
      <c r="M93" s="157"/>
      <c r="N93" s="166"/>
      <c r="O93" s="173"/>
      <c r="P93" s="186"/>
      <c r="Q93" s="166"/>
      <c r="R93" s="6"/>
      <c r="S93" s="281"/>
      <c r="T93" s="150"/>
      <c r="X93" s="152"/>
      <c r="Y93" s="280"/>
      <c r="Z93" s="152"/>
      <c r="AB93" s="151"/>
      <c r="AC93" s="172"/>
      <c r="AD93" s="172"/>
      <c r="AE93" s="172"/>
      <c r="AF93" s="172"/>
      <c r="AG93" s="172"/>
      <c r="AH93" s="172"/>
      <c r="AI93" s="172"/>
      <c r="AJ93" s="172"/>
      <c r="AK93" s="152"/>
    </row>
    <row r="94" spans="1:37" x14ac:dyDescent="0.3">
      <c r="A94" s="172"/>
      <c r="B94" s="157"/>
      <c r="C94" s="157"/>
      <c r="D94" s="157"/>
      <c r="E94" s="157"/>
      <c r="F94" s="158"/>
      <c r="G94" s="157"/>
      <c r="H94" s="157"/>
      <c r="I94" s="188"/>
      <c r="L94" s="286"/>
      <c r="M94" s="157"/>
      <c r="N94" s="166"/>
      <c r="O94" s="173"/>
      <c r="P94" s="186"/>
      <c r="Q94" s="166"/>
      <c r="R94" s="6"/>
      <c r="S94" s="281"/>
      <c r="T94" s="150"/>
      <c r="X94" s="152"/>
      <c r="Y94" s="280"/>
      <c r="Z94" s="152"/>
      <c r="AB94" s="151"/>
      <c r="AC94" s="172"/>
      <c r="AD94" s="172"/>
      <c r="AE94" s="172"/>
      <c r="AF94" s="172"/>
      <c r="AG94" s="172"/>
      <c r="AH94" s="172"/>
      <c r="AI94" s="172"/>
      <c r="AJ94" s="172"/>
      <c r="AK94" s="152"/>
    </row>
    <row r="95" spans="1:37" x14ac:dyDescent="0.3">
      <c r="A95" s="172"/>
      <c r="B95" s="157"/>
      <c r="C95" s="190"/>
      <c r="D95" s="190"/>
      <c r="E95" s="190"/>
      <c r="F95" s="191"/>
      <c r="G95" s="190"/>
      <c r="H95" s="190"/>
      <c r="I95" s="243"/>
      <c r="J95" s="245"/>
      <c r="K95" s="245"/>
      <c r="L95" s="287"/>
      <c r="M95" s="190"/>
      <c r="N95" s="194"/>
      <c r="O95" s="195"/>
      <c r="P95" s="288"/>
      <c r="Q95" s="194"/>
      <c r="R95" s="6"/>
      <c r="S95" s="281"/>
      <c r="T95" s="150"/>
      <c r="X95" s="152"/>
      <c r="Y95" s="280"/>
      <c r="Z95" s="152"/>
      <c r="AB95" s="151"/>
      <c r="AC95" s="172"/>
      <c r="AD95" s="172"/>
      <c r="AE95" s="172"/>
      <c r="AF95" s="172"/>
      <c r="AG95" s="172"/>
      <c r="AH95" s="172"/>
      <c r="AI95" s="172"/>
      <c r="AJ95" s="172"/>
      <c r="AK95" s="152"/>
    </row>
    <row r="96" spans="1:37" x14ac:dyDescent="0.3">
      <c r="A96" s="108" t="s">
        <v>516</v>
      </c>
      <c r="B96" s="108" t="s">
        <v>528</v>
      </c>
      <c r="C96" s="192"/>
      <c r="D96" s="193"/>
      <c r="E96" s="193"/>
      <c r="F96" s="244"/>
      <c r="G96" s="193"/>
      <c r="H96" s="193"/>
      <c r="I96" s="252"/>
      <c r="J96" s="252"/>
      <c r="K96" s="252"/>
      <c r="L96" s="252"/>
      <c r="M96" s="193"/>
      <c r="N96" s="246"/>
      <c r="O96" s="196"/>
      <c r="P96" s="186"/>
      <c r="Q96" s="166">
        <f>P96*M96*G96</f>
        <v>0</v>
      </c>
      <c r="R96" s="256">
        <f>Q96/Q99</f>
        <v>0</v>
      </c>
      <c r="S96" s="281">
        <f>Q96</f>
        <v>0</v>
      </c>
      <c r="T96" s="150"/>
      <c r="W96" s="169">
        <f>S96</f>
        <v>0</v>
      </c>
      <c r="X96" s="152"/>
      <c r="Y96" s="280"/>
      <c r="Z96" s="171">
        <f>W96</f>
        <v>0</v>
      </c>
      <c r="AB96" s="151"/>
      <c r="AC96" s="172"/>
      <c r="AD96" s="172"/>
      <c r="AE96" s="172"/>
      <c r="AF96" s="172"/>
      <c r="AG96" s="172"/>
      <c r="AH96" s="172"/>
      <c r="AI96" s="172"/>
      <c r="AJ96" s="172"/>
      <c r="AK96" s="152"/>
    </row>
    <row r="97" spans="1:37" x14ac:dyDescent="0.3">
      <c r="A97" s="108" t="s">
        <v>516</v>
      </c>
      <c r="B97" s="108" t="s">
        <v>529</v>
      </c>
      <c r="C97" s="289"/>
      <c r="D97" s="252" t="s">
        <v>530</v>
      </c>
      <c r="E97" s="252"/>
      <c r="F97" s="253"/>
      <c r="G97" s="252"/>
      <c r="H97" s="252"/>
      <c r="I97" s="254"/>
      <c r="J97" s="254"/>
      <c r="K97" s="254"/>
      <c r="L97" s="254"/>
      <c r="M97" s="252"/>
      <c r="N97" s="255"/>
      <c r="O97" s="256"/>
      <c r="P97" s="290"/>
      <c r="Q97" s="257">
        <v>75000</v>
      </c>
      <c r="R97" s="291">
        <f>Q97/Q99</f>
        <v>0.18458770213968526</v>
      </c>
      <c r="S97" s="281">
        <f>Q97</f>
        <v>75000</v>
      </c>
      <c r="T97" s="150"/>
      <c r="X97" s="171">
        <f>S97</f>
        <v>75000</v>
      </c>
      <c r="Y97" s="280"/>
      <c r="Z97" s="152"/>
      <c r="AB97" s="151"/>
      <c r="AC97" s="172"/>
      <c r="AD97" s="172"/>
      <c r="AE97" s="172"/>
      <c r="AF97" s="172"/>
      <c r="AG97" s="172"/>
      <c r="AH97" s="172"/>
      <c r="AI97" s="172"/>
      <c r="AJ97" s="172"/>
      <c r="AK97" s="152"/>
    </row>
    <row r="98" spans="1:37" x14ac:dyDescent="0.3">
      <c r="I98" s="115">
        <f>I99/M99</f>
        <v>0.55555555555555558</v>
      </c>
      <c r="J98" s="115">
        <f>J99/M99</f>
        <v>7.6388888888888895E-2</v>
      </c>
      <c r="K98" s="115">
        <f>K99/M99</f>
        <v>0.29166666666666669</v>
      </c>
      <c r="L98" s="115">
        <f>L99/M99</f>
        <v>7.6388888888888895E-2</v>
      </c>
      <c r="S98" s="279"/>
      <c r="T98" s="150"/>
      <c r="X98" s="152"/>
      <c r="Y98" s="280"/>
      <c r="Z98" s="152"/>
      <c r="AB98" s="209"/>
      <c r="AC98" s="211"/>
      <c r="AD98" s="211"/>
      <c r="AE98" s="211"/>
      <c r="AF98" s="211"/>
      <c r="AG98" s="211"/>
      <c r="AH98" s="211"/>
      <c r="AI98" s="211"/>
      <c r="AJ98" s="211"/>
      <c r="AK98" s="210"/>
    </row>
    <row r="99" spans="1:37" x14ac:dyDescent="0.3">
      <c r="A99" s="212" t="s">
        <v>531</v>
      </c>
      <c r="B99" s="213"/>
      <c r="C99" s="213"/>
      <c r="D99" s="213"/>
      <c r="E99" s="213"/>
      <c r="F99" s="214"/>
      <c r="G99" s="213"/>
      <c r="H99" s="213"/>
      <c r="I99" s="213">
        <f>I87+I86+I84+I83+I82+I81+I80+I79+I78+I77+I88+I90+I89+I91+I92</f>
        <v>80</v>
      </c>
      <c r="J99" s="213">
        <f>J86+J91</f>
        <v>11</v>
      </c>
      <c r="K99" s="213">
        <f>K86+K77+K85+K91</f>
        <v>42</v>
      </c>
      <c r="L99" s="213">
        <f>L86+L91</f>
        <v>11</v>
      </c>
      <c r="M99" s="213">
        <f>SUM(I99:L99)</f>
        <v>144</v>
      </c>
      <c r="N99" s="215"/>
      <c r="O99" s="216"/>
      <c r="P99" s="215"/>
      <c r="Q99" s="217">
        <f>SUM(Q76:Q98)</f>
        <v>406310.92500000005</v>
      </c>
      <c r="R99" s="216">
        <f>SUM(R76:R97)</f>
        <v>0.99999999999999989</v>
      </c>
      <c r="S99" s="292">
        <f>SUM(S76:S98)</f>
        <v>406310.92500000005</v>
      </c>
      <c r="T99" s="293">
        <f t="shared" ref="T99:Z99" si="18">SUM(T76:T97)</f>
        <v>288872.52500000002</v>
      </c>
      <c r="U99" s="294">
        <f t="shared" si="18"/>
        <v>0</v>
      </c>
      <c r="V99" s="294">
        <f t="shared" si="18"/>
        <v>42438.399999999994</v>
      </c>
      <c r="W99" s="294">
        <f t="shared" si="18"/>
        <v>0</v>
      </c>
      <c r="X99" s="295">
        <f t="shared" si="18"/>
        <v>75000</v>
      </c>
      <c r="Y99" s="296">
        <f t="shared" si="18"/>
        <v>197234.4</v>
      </c>
      <c r="Z99" s="295">
        <f t="shared" si="18"/>
        <v>82460.524999999994</v>
      </c>
      <c r="AA99" s="224"/>
      <c r="AB99" s="225">
        <f t="shared" ref="AB99:AK99" si="19">SUM(AB76:AB98)</f>
        <v>2371.6</v>
      </c>
      <c r="AC99" s="226">
        <f t="shared" si="19"/>
        <v>13512.075000000001</v>
      </c>
      <c r="AD99" s="226">
        <f t="shared" si="19"/>
        <v>90900</v>
      </c>
      <c r="AE99" s="226">
        <f t="shared" si="19"/>
        <v>15870.75</v>
      </c>
      <c r="AF99" s="226">
        <f t="shared" si="19"/>
        <v>65489.599999999999</v>
      </c>
      <c r="AG99" s="226">
        <f t="shared" si="19"/>
        <v>35616</v>
      </c>
      <c r="AH99" s="226">
        <f t="shared" si="19"/>
        <v>11880</v>
      </c>
      <c r="AI99" s="226">
        <f t="shared" si="19"/>
        <v>39420</v>
      </c>
      <c r="AJ99" s="226">
        <f t="shared" si="19"/>
        <v>56250.899999999994</v>
      </c>
      <c r="AK99" s="227">
        <f t="shared" si="19"/>
        <v>16000</v>
      </c>
    </row>
    <row r="100" spans="1:37" x14ac:dyDescent="0.3">
      <c r="A100" s="228" t="s">
        <v>532</v>
      </c>
      <c r="B100" s="229"/>
      <c r="C100" s="229"/>
      <c r="D100" s="229"/>
      <c r="E100" s="229"/>
      <c r="F100" s="230"/>
      <c r="G100" s="229"/>
      <c r="H100" s="229"/>
      <c r="I100" s="229">
        <f>I84+I83+I81+I80+I79+I78+I86+I77+I87+I82+I88+I89+I90+I91+I92</f>
        <v>80</v>
      </c>
      <c r="J100" s="229">
        <f>I87+J86+I84+I83+I82+I81+I80+I79+I78+I88+I89+I90+I91+J91+I92</f>
        <v>83</v>
      </c>
      <c r="K100" s="229">
        <f>I87+K86+K85+I84+I83+I82+I80+I79+I78+K77+I88+I89+I90++K91+I92</f>
        <v>80</v>
      </c>
      <c r="L100" s="229">
        <f>I87+L86+K85+I84+I83+I82+I80+I79+I78+I88+I89+I90+L91+I92</f>
        <v>79</v>
      </c>
      <c r="M100" s="229">
        <f>SUM(I100:L100)</f>
        <v>322</v>
      </c>
      <c r="N100" s="231"/>
      <c r="O100" s="232"/>
      <c r="P100" s="231"/>
      <c r="Q100" s="231"/>
      <c r="R100" s="232"/>
      <c r="S100" s="234"/>
      <c r="T100" s="235">
        <f>T99/S99</f>
        <v>0.71096420801385041</v>
      </c>
      <c r="U100" s="236">
        <f>U99/S99</f>
        <v>0</v>
      </c>
      <c r="V100" s="236">
        <f>V99/S99</f>
        <v>0.10444808984646423</v>
      </c>
      <c r="W100" s="236">
        <f>W99/S99</f>
        <v>0</v>
      </c>
      <c r="X100" s="297">
        <f>X99/S99</f>
        <v>0.18458770213968526</v>
      </c>
      <c r="Y100" s="298">
        <f>Y99/S99</f>
        <v>0.48542726238532713</v>
      </c>
      <c r="Z100" s="297">
        <f>Z99/S99</f>
        <v>0.20294931769309424</v>
      </c>
      <c r="AA100" s="239">
        <f>Y101+Z101</f>
        <v>116</v>
      </c>
      <c r="AB100" s="240"/>
      <c r="AC100" s="241"/>
      <c r="AD100" s="241"/>
      <c r="AE100" s="241"/>
      <c r="AF100" s="241"/>
      <c r="AG100" s="241"/>
      <c r="AH100" s="241"/>
      <c r="AI100" s="241"/>
      <c r="AJ100" s="241"/>
      <c r="AK100" s="242"/>
    </row>
    <row r="101" spans="1:37" x14ac:dyDescent="0.3">
      <c r="A101" s="243" t="s">
        <v>533</v>
      </c>
      <c r="B101" s="193"/>
      <c r="C101" s="193"/>
      <c r="D101" s="193"/>
      <c r="E101" s="193"/>
      <c r="F101" s="244"/>
      <c r="G101" s="193"/>
      <c r="H101" s="193"/>
      <c r="I101" s="2182">
        <f>I100/M100</f>
        <v>0.2484472049689441</v>
      </c>
      <c r="J101" s="2182">
        <f>J100/M100</f>
        <v>0.25776397515527949</v>
      </c>
      <c r="K101" s="2182">
        <f>K100/M100</f>
        <v>0.2484472049689441</v>
      </c>
      <c r="L101" s="2182">
        <f>L100/M100</f>
        <v>0.24534161490683229</v>
      </c>
      <c r="M101" s="193"/>
      <c r="N101" s="246"/>
      <c r="O101" s="196"/>
      <c r="P101" s="246"/>
      <c r="Q101" s="194">
        <f>T99</f>
        <v>288872.52500000002</v>
      </c>
      <c r="R101" s="247">
        <f>Q101/Q106</f>
        <v>0.71096420801385041</v>
      </c>
      <c r="X101" s="248"/>
      <c r="Y101" s="299">
        <f>I80+I81+I83+K85+I89+I91+J91+K91+L91</f>
        <v>81</v>
      </c>
      <c r="Z101" s="299">
        <f>I77+K77+I78+I79+I82+I84+I87+I88+I90+I92</f>
        <v>35</v>
      </c>
      <c r="AA101" s="4" t="s">
        <v>534</v>
      </c>
    </row>
    <row r="102" spans="1:37" x14ac:dyDescent="0.3">
      <c r="A102" s="251" t="s">
        <v>11</v>
      </c>
      <c r="B102" s="252"/>
      <c r="C102" s="252"/>
      <c r="D102" s="252"/>
      <c r="E102" s="252"/>
      <c r="F102" s="253"/>
      <c r="G102" s="252"/>
      <c r="H102" s="252"/>
      <c r="I102" s="254"/>
      <c r="J102" s="254"/>
      <c r="K102" s="254"/>
      <c r="L102" s="254"/>
      <c r="M102" s="252"/>
      <c r="N102" s="255"/>
      <c r="O102" s="256"/>
      <c r="P102" s="255"/>
      <c r="Q102" s="257">
        <f>U99</f>
        <v>0</v>
      </c>
      <c r="R102" s="256">
        <f>Q102/Q106</f>
        <v>0</v>
      </c>
      <c r="S102" s="300">
        <f>Q99/M99</f>
        <v>2821.6036458333338</v>
      </c>
      <c r="T102" s="301" t="s">
        <v>535</v>
      </c>
      <c r="Y102" s="302">
        <f>Y101/M99</f>
        <v>0.5625</v>
      </c>
      <c r="Z102" s="302">
        <f>Z101/M99</f>
        <v>0.24305555555555555</v>
      </c>
      <c r="AK102" s="303"/>
    </row>
    <row r="103" spans="1:37" x14ac:dyDescent="0.3">
      <c r="A103" s="251" t="s">
        <v>536</v>
      </c>
      <c r="B103" s="252"/>
      <c r="C103" s="252"/>
      <c r="D103" s="252"/>
      <c r="E103" s="252"/>
      <c r="F103" s="253"/>
      <c r="G103" s="252"/>
      <c r="H103" s="252"/>
      <c r="I103" s="254"/>
      <c r="J103" s="254"/>
      <c r="K103" s="254"/>
      <c r="L103" s="254"/>
      <c r="M103" s="252"/>
      <c r="N103" s="255"/>
      <c r="O103" s="256"/>
      <c r="P103" s="255"/>
      <c r="Q103" s="257">
        <f>V99</f>
        <v>42438.399999999994</v>
      </c>
      <c r="R103" s="262">
        <f>Q103/Q106</f>
        <v>0.10444808984646423</v>
      </c>
      <c r="U103" s="263"/>
      <c r="W103" s="99"/>
      <c r="Y103" s="2265" t="s">
        <v>537</v>
      </c>
      <c r="Z103" s="2265"/>
      <c r="AK103" s="303"/>
    </row>
    <row r="104" spans="1:37" x14ac:dyDescent="0.3">
      <c r="A104" s="251" t="s">
        <v>529</v>
      </c>
      <c r="B104" s="252"/>
      <c r="C104" s="252"/>
      <c r="D104" s="252"/>
      <c r="E104" s="252"/>
      <c r="F104" s="253"/>
      <c r="G104" s="252"/>
      <c r="H104" s="252"/>
      <c r="I104" s="254"/>
      <c r="J104" s="254"/>
      <c r="K104" s="254"/>
      <c r="L104" s="254"/>
      <c r="M104" s="252"/>
      <c r="N104" s="255"/>
      <c r="O104" s="256"/>
      <c r="P104" s="255"/>
      <c r="Q104" s="257">
        <f>X99</f>
        <v>75000</v>
      </c>
      <c r="R104" s="262">
        <f>Q104/Q106</f>
        <v>0.18458770213968526</v>
      </c>
      <c r="U104" s="263"/>
      <c r="AK104" s="303"/>
    </row>
    <row r="105" spans="1:37" x14ac:dyDescent="0.3">
      <c r="A105" s="251" t="s">
        <v>528</v>
      </c>
      <c r="B105" s="252"/>
      <c r="C105" s="252"/>
      <c r="D105" s="252"/>
      <c r="E105" s="252"/>
      <c r="F105" s="253"/>
      <c r="G105" s="252"/>
      <c r="H105" s="252"/>
      <c r="I105" s="254"/>
      <c r="J105" s="254"/>
      <c r="K105" s="254"/>
      <c r="L105" s="254"/>
      <c r="M105" s="252"/>
      <c r="N105" s="255"/>
      <c r="O105" s="256"/>
      <c r="P105" s="255"/>
      <c r="Q105" s="257">
        <f>W99</f>
        <v>0</v>
      </c>
      <c r="R105" s="262">
        <f>Q105/Q106</f>
        <v>0</v>
      </c>
    </row>
    <row r="106" spans="1:37" x14ac:dyDescent="0.3">
      <c r="A106" s="251"/>
      <c r="B106" s="252"/>
      <c r="C106" s="252"/>
      <c r="D106" s="252"/>
      <c r="E106" s="252"/>
      <c r="F106" s="253"/>
      <c r="G106" s="252"/>
      <c r="H106" s="252"/>
      <c r="I106" s="254"/>
      <c r="J106" s="254"/>
      <c r="K106" s="254"/>
      <c r="L106" s="254"/>
      <c r="M106" s="252"/>
      <c r="N106" s="255"/>
      <c r="O106" s="256"/>
      <c r="P106" s="255"/>
      <c r="Q106" s="264">
        <f>SUM(Q101:Q105)</f>
        <v>406310.92500000005</v>
      </c>
      <c r="R106" s="262">
        <f>SUM(R101:R105)</f>
        <v>0.99999999999999989</v>
      </c>
    </row>
    <row r="107" spans="1:37" x14ac:dyDescent="0.3">
      <c r="B107" s="2"/>
    </row>
    <row r="108" spans="1:37" x14ac:dyDescent="0.3">
      <c r="B108" s="2"/>
    </row>
    <row r="109" spans="1:37" x14ac:dyDescent="0.3">
      <c r="B109" s="2"/>
    </row>
    <row r="110" spans="1:37" x14ac:dyDescent="0.3">
      <c r="B110" s="2"/>
    </row>
    <row r="112" spans="1:37" x14ac:dyDescent="0.3">
      <c r="B112" s="2"/>
    </row>
    <row r="113" spans="1:37" x14ac:dyDescent="0.3">
      <c r="B113" s="2"/>
      <c r="E113" s="1" t="s">
        <v>543</v>
      </c>
      <c r="F113" s="2" t="s">
        <v>544</v>
      </c>
      <c r="G113" s="1" t="s">
        <v>545</v>
      </c>
      <c r="H113" s="1"/>
      <c r="I113" s="304">
        <v>0.74</v>
      </c>
      <c r="J113" s="304"/>
    </row>
    <row r="114" spans="1:37" x14ac:dyDescent="0.3">
      <c r="B114" s="2"/>
      <c r="E114" s="1" t="s">
        <v>473</v>
      </c>
      <c r="F114" s="2" t="s">
        <v>546</v>
      </c>
      <c r="G114" s="1" t="s">
        <v>473</v>
      </c>
      <c r="H114" s="1"/>
      <c r="I114" s="1">
        <v>42</v>
      </c>
      <c r="J114" s="1"/>
    </row>
    <row r="115" spans="1:37" x14ac:dyDescent="0.3">
      <c r="B115" s="2"/>
      <c r="E115" s="1" t="s">
        <v>475</v>
      </c>
      <c r="F115" s="2" t="s">
        <v>547</v>
      </c>
      <c r="G115" s="1" t="s">
        <v>475</v>
      </c>
      <c r="H115" s="1"/>
      <c r="I115" s="95">
        <v>3154</v>
      </c>
      <c r="J115" s="95"/>
    </row>
    <row r="116" spans="1:37" x14ac:dyDescent="0.3">
      <c r="B116" s="2"/>
      <c r="E116" s="1" t="s">
        <v>477</v>
      </c>
      <c r="F116" s="2" t="s">
        <v>548</v>
      </c>
      <c r="G116" s="1" t="s">
        <v>477</v>
      </c>
      <c r="H116" s="1"/>
      <c r="I116" s="95">
        <v>18445834</v>
      </c>
      <c r="J116" s="95"/>
    </row>
    <row r="117" spans="1:37" x14ac:dyDescent="0.3">
      <c r="B117" s="2"/>
    </row>
    <row r="118" spans="1:37" ht="18" x14ac:dyDescent="0.35">
      <c r="A118" s="118" t="s">
        <v>549</v>
      </c>
      <c r="R118" s="98"/>
    </row>
    <row r="120" spans="1:37" x14ac:dyDescent="0.3">
      <c r="A120" s="2221" t="s">
        <v>480</v>
      </c>
      <c r="B120" s="2222"/>
      <c r="C120" s="2222"/>
      <c r="D120" s="2222"/>
      <c r="E120" s="2222"/>
      <c r="F120" s="2222"/>
      <c r="G120" s="2222"/>
      <c r="H120" s="2222"/>
      <c r="I120" s="2222"/>
      <c r="J120" s="2222"/>
      <c r="K120" s="2222"/>
      <c r="L120" s="2222"/>
      <c r="M120" s="2222"/>
      <c r="N120" s="2222"/>
      <c r="O120" s="2222"/>
      <c r="P120" s="2222"/>
      <c r="Q120" s="2222"/>
      <c r="R120" s="2223"/>
      <c r="S120" s="2224" t="s">
        <v>481</v>
      </c>
      <c r="T120" s="2225"/>
      <c r="U120" s="2225"/>
      <c r="V120" s="2225"/>
      <c r="W120" s="2225"/>
      <c r="X120" s="2225"/>
      <c r="Y120" s="2225"/>
      <c r="Z120" s="2225"/>
      <c r="AA120" s="2225"/>
      <c r="AB120" s="2225"/>
      <c r="AC120" s="2225"/>
      <c r="AD120" s="2225"/>
      <c r="AE120" s="2225"/>
      <c r="AF120" s="2225"/>
      <c r="AG120" s="2225"/>
      <c r="AH120" s="2225"/>
      <c r="AI120" s="2225"/>
      <c r="AJ120" s="2225"/>
      <c r="AK120" s="2226"/>
    </row>
    <row r="121" spans="1:37" x14ac:dyDescent="0.3">
      <c r="A121" s="2256" t="s">
        <v>482</v>
      </c>
      <c r="B121" s="2258" t="s">
        <v>483</v>
      </c>
      <c r="C121" s="2258" t="s">
        <v>484</v>
      </c>
      <c r="D121" s="2258" t="s">
        <v>485</v>
      </c>
      <c r="E121" s="2258" t="s">
        <v>486</v>
      </c>
      <c r="F121" s="2260" t="s">
        <v>487</v>
      </c>
      <c r="G121" s="2258" t="s">
        <v>488</v>
      </c>
      <c r="H121" s="2258" t="s">
        <v>489</v>
      </c>
      <c r="I121" s="2240" t="s">
        <v>490</v>
      </c>
      <c r="J121" s="2240"/>
      <c r="K121" s="2240"/>
      <c r="L121" s="2240"/>
      <c r="M121" s="305" t="s">
        <v>491</v>
      </c>
      <c r="N121" s="306" t="s">
        <v>492</v>
      </c>
      <c r="O121" s="307" t="s">
        <v>493</v>
      </c>
      <c r="P121" s="306" t="s">
        <v>492</v>
      </c>
      <c r="Q121" s="306" t="s">
        <v>494</v>
      </c>
      <c r="R121" s="308" t="s">
        <v>495</v>
      </c>
      <c r="S121" s="309" t="s">
        <v>496</v>
      </c>
      <c r="T121" s="2241" t="s">
        <v>497</v>
      </c>
      <c r="U121" s="2242"/>
      <c r="V121" s="2242"/>
      <c r="W121" s="2242"/>
      <c r="X121" s="2242"/>
      <c r="Y121" s="2247" t="s">
        <v>498</v>
      </c>
      <c r="Z121" s="2248"/>
      <c r="AB121" s="2247" t="s">
        <v>499</v>
      </c>
      <c r="AC121" s="2251"/>
      <c r="AD121" s="2251"/>
      <c r="AE121" s="2251"/>
      <c r="AF121" s="2251"/>
      <c r="AG121" s="2251"/>
      <c r="AH121" s="2251"/>
      <c r="AI121" s="2251"/>
      <c r="AJ121" s="2251"/>
      <c r="AK121" s="2248"/>
    </row>
    <row r="122" spans="1:37" x14ac:dyDescent="0.3">
      <c r="A122" s="2257"/>
      <c r="B122" s="2259"/>
      <c r="C122" s="2259"/>
      <c r="D122" s="2259"/>
      <c r="E122" s="2259"/>
      <c r="F122" s="2261"/>
      <c r="G122" s="2259"/>
      <c r="H122" s="2259"/>
      <c r="I122" s="310" t="s">
        <v>500</v>
      </c>
      <c r="J122" s="310" t="s">
        <v>501</v>
      </c>
      <c r="K122" s="310" t="s">
        <v>502</v>
      </c>
      <c r="L122" s="310" t="s">
        <v>503</v>
      </c>
      <c r="M122" s="311" t="s">
        <v>504</v>
      </c>
      <c r="N122" s="312" t="s">
        <v>505</v>
      </c>
      <c r="O122" s="313" t="s">
        <v>506</v>
      </c>
      <c r="P122" s="312" t="s">
        <v>507</v>
      </c>
      <c r="Q122" s="312" t="s">
        <v>507</v>
      </c>
      <c r="R122" s="314"/>
      <c r="S122" s="315" t="s">
        <v>508</v>
      </c>
      <c r="T122" s="2244"/>
      <c r="U122" s="2245"/>
      <c r="V122" s="2245"/>
      <c r="W122" s="2245"/>
      <c r="X122" s="2245"/>
      <c r="Y122" s="2249"/>
      <c r="Z122" s="2250"/>
      <c r="AB122" s="2249"/>
      <c r="AC122" s="2252"/>
      <c r="AD122" s="2252"/>
      <c r="AE122" s="2252"/>
      <c r="AF122" s="2252"/>
      <c r="AG122" s="2252"/>
      <c r="AH122" s="2252"/>
      <c r="AI122" s="2252"/>
      <c r="AJ122" s="2252"/>
      <c r="AK122" s="2250"/>
    </row>
    <row r="123" spans="1:37" ht="18" x14ac:dyDescent="0.35">
      <c r="A123" s="2262" t="s">
        <v>550</v>
      </c>
      <c r="B123" s="2263"/>
      <c r="C123" s="2263"/>
      <c r="D123" s="2263"/>
      <c r="E123" s="2263"/>
      <c r="F123" s="2263"/>
      <c r="G123" s="2263"/>
      <c r="H123" s="2263"/>
      <c r="I123" s="2263"/>
      <c r="J123" s="2263"/>
      <c r="K123" s="2263"/>
      <c r="L123" s="2263"/>
      <c r="M123" s="2263"/>
      <c r="N123" s="2263"/>
      <c r="O123" s="2263"/>
      <c r="P123" s="2263"/>
      <c r="Q123" s="2263"/>
      <c r="R123" s="2264"/>
      <c r="S123" s="316"/>
      <c r="T123" s="274" t="s">
        <v>510</v>
      </c>
      <c r="U123" s="275" t="s">
        <v>11</v>
      </c>
      <c r="V123" s="275" t="s">
        <v>511</v>
      </c>
      <c r="W123" s="275" t="s">
        <v>512</v>
      </c>
      <c r="X123" s="317" t="s">
        <v>513</v>
      </c>
      <c r="Y123" s="277" t="s">
        <v>514</v>
      </c>
      <c r="Z123" s="278" t="s">
        <v>515</v>
      </c>
      <c r="AB123" s="277" t="s">
        <v>1</v>
      </c>
      <c r="AC123" s="275" t="s">
        <v>12</v>
      </c>
      <c r="AD123" s="275" t="s">
        <v>13</v>
      </c>
      <c r="AE123" s="275" t="s">
        <v>14</v>
      </c>
      <c r="AF123" s="275" t="s">
        <v>15</v>
      </c>
      <c r="AG123" s="275" t="s">
        <v>16</v>
      </c>
      <c r="AH123" s="275" t="s">
        <v>17</v>
      </c>
      <c r="AI123" s="275" t="s">
        <v>18</v>
      </c>
      <c r="AJ123" s="133" t="s">
        <v>19</v>
      </c>
      <c r="AK123" s="136" t="s">
        <v>5</v>
      </c>
    </row>
    <row r="124" spans="1:37" x14ac:dyDescent="0.3">
      <c r="A124" s="151"/>
      <c r="B124" s="157"/>
      <c r="C124" s="157"/>
      <c r="D124" s="157"/>
      <c r="E124" s="157"/>
      <c r="F124" s="158"/>
      <c r="G124" s="157"/>
      <c r="H124" s="157"/>
      <c r="I124" s="188"/>
      <c r="L124" s="286"/>
      <c r="M124" s="163"/>
      <c r="N124" s="166"/>
      <c r="O124" s="173"/>
      <c r="P124" s="166"/>
      <c r="Q124" s="166"/>
      <c r="R124" s="318"/>
      <c r="S124" s="149"/>
      <c r="T124" s="319"/>
      <c r="Y124" s="280"/>
      <c r="Z124" s="152"/>
      <c r="AB124" s="153"/>
      <c r="AC124" s="154"/>
      <c r="AD124" s="154"/>
      <c r="AE124" s="154"/>
      <c r="AF124" s="154"/>
      <c r="AG124" s="154"/>
      <c r="AH124" s="154"/>
      <c r="AI124" s="154"/>
      <c r="AJ124" s="154"/>
      <c r="AK124" s="155"/>
    </row>
    <row r="125" spans="1:37" x14ac:dyDescent="0.3">
      <c r="A125" s="156" t="s">
        <v>516</v>
      </c>
      <c r="B125" s="157" t="s">
        <v>23</v>
      </c>
      <c r="C125" s="157" t="s">
        <v>517</v>
      </c>
      <c r="D125" s="157" t="s">
        <v>21</v>
      </c>
      <c r="E125" s="157" t="s">
        <v>518</v>
      </c>
      <c r="F125" s="158" t="s">
        <v>521</v>
      </c>
      <c r="G125" s="157">
        <v>1</v>
      </c>
      <c r="H125" s="157" t="s">
        <v>24</v>
      </c>
      <c r="I125" s="159">
        <v>1</v>
      </c>
      <c r="J125" s="161"/>
      <c r="K125" s="161"/>
      <c r="L125" s="2209"/>
      <c r="M125" s="163">
        <v>1</v>
      </c>
      <c r="N125" s="166">
        <v>27024.15</v>
      </c>
      <c r="O125" s="173">
        <v>0.75</v>
      </c>
      <c r="P125" s="166">
        <f>N125*(1-O125)</f>
        <v>6756.0375000000004</v>
      </c>
      <c r="Q125" s="166">
        <f t="shared" ref="Q125:Q139" si="20">P125*M125*G125</f>
        <v>6756.0375000000004</v>
      </c>
      <c r="R125" s="318">
        <f t="shared" ref="R125:R139" si="21">Q125/$Q$147</f>
        <v>2.0520184238704366E-2</v>
      </c>
      <c r="S125" s="168">
        <f t="shared" ref="S125:S139" si="22">Q125*3</f>
        <v>20268.112500000003</v>
      </c>
      <c r="T125" s="7">
        <f t="shared" ref="T125:T138" si="23">S125</f>
        <v>20268.112500000003</v>
      </c>
      <c r="U125" s="169"/>
      <c r="Y125" s="282"/>
      <c r="Z125" s="171">
        <f>S125</f>
        <v>20268.112500000003</v>
      </c>
      <c r="AB125" s="170"/>
      <c r="AC125" s="174">
        <f>S125</f>
        <v>20268.112500000003</v>
      </c>
      <c r="AD125" s="172"/>
      <c r="AE125" s="172"/>
      <c r="AF125" s="172"/>
      <c r="AG125" s="172"/>
      <c r="AH125" s="172"/>
      <c r="AI125" s="172"/>
      <c r="AJ125" s="172"/>
      <c r="AK125" s="152"/>
    </row>
    <row r="126" spans="1:37" x14ac:dyDescent="0.3">
      <c r="A126" s="156" t="s">
        <v>516</v>
      </c>
      <c r="B126" s="157" t="s">
        <v>25</v>
      </c>
      <c r="C126" s="157" t="s">
        <v>517</v>
      </c>
      <c r="D126" s="157" t="s">
        <v>21</v>
      </c>
      <c r="E126" s="157" t="s">
        <v>518</v>
      </c>
      <c r="F126" s="158" t="s">
        <v>521</v>
      </c>
      <c r="G126" s="157">
        <v>1</v>
      </c>
      <c r="H126" s="157" t="s">
        <v>24</v>
      </c>
      <c r="I126" s="159">
        <v>1</v>
      </c>
      <c r="J126" s="161"/>
      <c r="K126" s="161"/>
      <c r="L126" s="2209"/>
      <c r="M126" s="163">
        <v>1</v>
      </c>
      <c r="N126" s="166">
        <v>7000</v>
      </c>
      <c r="O126" s="173">
        <v>0.1</v>
      </c>
      <c r="P126" s="166">
        <f t="shared" ref="P126:P139" si="24">N126*(1-O126)</f>
        <v>6300</v>
      </c>
      <c r="Q126" s="166">
        <f t="shared" si="20"/>
        <v>6300</v>
      </c>
      <c r="R126" s="318">
        <f t="shared" si="21"/>
        <v>1.9135056710954831E-2</v>
      </c>
      <c r="S126" s="168">
        <f t="shared" si="22"/>
        <v>18900</v>
      </c>
      <c r="T126" s="7">
        <f t="shared" si="23"/>
        <v>18900</v>
      </c>
      <c r="U126" s="169"/>
      <c r="Y126" s="282"/>
      <c r="Z126" s="171">
        <f>S126</f>
        <v>18900</v>
      </c>
      <c r="AB126" s="151"/>
      <c r="AC126" s="174"/>
      <c r="AD126" s="174">
        <f>S126</f>
        <v>18900</v>
      </c>
      <c r="AE126" s="172"/>
      <c r="AF126" s="172"/>
      <c r="AG126" s="172"/>
      <c r="AH126" s="172"/>
      <c r="AI126" s="172"/>
      <c r="AJ126" s="172"/>
      <c r="AK126" s="152"/>
    </row>
    <row r="127" spans="1:37" x14ac:dyDescent="0.3">
      <c r="A127" s="156" t="s">
        <v>516</v>
      </c>
      <c r="B127" s="157" t="s">
        <v>25</v>
      </c>
      <c r="C127" s="157" t="s">
        <v>517</v>
      </c>
      <c r="D127" s="157" t="s">
        <v>26</v>
      </c>
      <c r="E127" s="157" t="s">
        <v>520</v>
      </c>
      <c r="F127" s="158" t="s">
        <v>551</v>
      </c>
      <c r="G127" s="157">
        <v>1</v>
      </c>
      <c r="H127" s="157" t="s">
        <v>24</v>
      </c>
      <c r="I127" s="175">
        <v>1</v>
      </c>
      <c r="J127" s="176"/>
      <c r="K127" s="176"/>
      <c r="L127" s="177"/>
      <c r="M127" s="163">
        <v>1</v>
      </c>
      <c r="N127" s="166">
        <v>7500</v>
      </c>
      <c r="O127" s="173">
        <v>0.1</v>
      </c>
      <c r="P127" s="166">
        <f t="shared" si="24"/>
        <v>6750</v>
      </c>
      <c r="Q127" s="166">
        <f t="shared" si="20"/>
        <v>6750</v>
      </c>
      <c r="R127" s="320">
        <f t="shared" si="21"/>
        <v>2.0501846476023034E-2</v>
      </c>
      <c r="S127" s="168">
        <f t="shared" si="22"/>
        <v>20250</v>
      </c>
      <c r="T127" s="7">
        <f t="shared" si="23"/>
        <v>20250</v>
      </c>
      <c r="Y127" s="282">
        <f>S127</f>
        <v>20250</v>
      </c>
      <c r="Z127" s="171"/>
      <c r="AB127" s="151"/>
      <c r="AC127" s="172"/>
      <c r="AD127" s="174">
        <f>S127</f>
        <v>20250</v>
      </c>
      <c r="AE127" s="172"/>
      <c r="AF127" s="172"/>
      <c r="AG127" s="172"/>
      <c r="AH127" s="172"/>
      <c r="AI127" s="172"/>
      <c r="AJ127" s="172"/>
      <c r="AK127" s="152"/>
    </row>
    <row r="128" spans="1:37" x14ac:dyDescent="0.3">
      <c r="A128" s="156" t="s">
        <v>516</v>
      </c>
      <c r="B128" s="157" t="s">
        <v>25</v>
      </c>
      <c r="C128" s="157" t="s">
        <v>517</v>
      </c>
      <c r="D128" s="157" t="s">
        <v>27</v>
      </c>
      <c r="E128" s="157" t="s">
        <v>520</v>
      </c>
      <c r="F128" s="158" t="s">
        <v>552</v>
      </c>
      <c r="G128" s="157">
        <v>18</v>
      </c>
      <c r="H128" s="157" t="s">
        <v>24</v>
      </c>
      <c r="I128" s="175">
        <v>18</v>
      </c>
      <c r="J128" s="176"/>
      <c r="K128" s="179"/>
      <c r="L128" s="180"/>
      <c r="M128" s="163">
        <v>1</v>
      </c>
      <c r="N128" s="166">
        <v>2650</v>
      </c>
      <c r="O128" s="173">
        <v>0.1</v>
      </c>
      <c r="P128" s="166">
        <f t="shared" si="24"/>
        <v>2385</v>
      </c>
      <c r="Q128" s="166">
        <f t="shared" si="20"/>
        <v>42930</v>
      </c>
      <c r="R128" s="320">
        <f t="shared" si="21"/>
        <v>0.13039174358750649</v>
      </c>
      <c r="S128" s="168">
        <f t="shared" si="22"/>
        <v>128790</v>
      </c>
      <c r="T128" s="7">
        <f t="shared" si="23"/>
        <v>128790</v>
      </c>
      <c r="V128" s="169"/>
      <c r="Y128" s="283">
        <f>S128</f>
        <v>128790</v>
      </c>
      <c r="Z128" s="171"/>
      <c r="AB128" s="151"/>
      <c r="AC128" s="172"/>
      <c r="AD128" s="174">
        <f>S128</f>
        <v>128790</v>
      </c>
      <c r="AE128" s="172"/>
      <c r="AF128" s="172"/>
      <c r="AG128" s="172"/>
      <c r="AH128" s="172"/>
      <c r="AI128" s="172"/>
      <c r="AJ128" s="172"/>
      <c r="AK128" s="152"/>
    </row>
    <row r="129" spans="1:37" x14ac:dyDescent="0.3">
      <c r="A129" s="156" t="s">
        <v>516</v>
      </c>
      <c r="B129" s="157" t="s">
        <v>28</v>
      </c>
      <c r="C129" s="157" t="s">
        <v>517</v>
      </c>
      <c r="D129" s="157" t="s">
        <v>21</v>
      </c>
      <c r="E129" s="157" t="s">
        <v>518</v>
      </c>
      <c r="F129" s="158" t="s">
        <v>521</v>
      </c>
      <c r="G129" s="157">
        <v>1</v>
      </c>
      <c r="H129" s="157" t="s">
        <v>24</v>
      </c>
      <c r="I129" s="159">
        <v>1</v>
      </c>
      <c r="J129" s="161"/>
      <c r="K129" s="161"/>
      <c r="L129" s="2209"/>
      <c r="M129" s="163">
        <v>1</v>
      </c>
      <c r="N129" s="166">
        <v>5593</v>
      </c>
      <c r="O129" s="173">
        <v>0.25</v>
      </c>
      <c r="P129" s="166">
        <f t="shared" si="24"/>
        <v>4194.75</v>
      </c>
      <c r="Q129" s="166">
        <f t="shared" si="20"/>
        <v>4194.75</v>
      </c>
      <c r="R129" s="318">
        <f t="shared" si="21"/>
        <v>1.2740758593377425E-2</v>
      </c>
      <c r="S129" s="168">
        <f t="shared" si="22"/>
        <v>12584.25</v>
      </c>
      <c r="T129" s="7">
        <f t="shared" si="23"/>
        <v>12584.25</v>
      </c>
      <c r="Y129" s="282"/>
      <c r="Z129" s="171">
        <f>S129</f>
        <v>12584.25</v>
      </c>
      <c r="AB129" s="151"/>
      <c r="AC129" s="172"/>
      <c r="AD129" s="174"/>
      <c r="AE129" s="174">
        <f>S129</f>
        <v>12584.25</v>
      </c>
      <c r="AF129" s="172"/>
      <c r="AG129" s="172"/>
      <c r="AH129" s="172"/>
      <c r="AI129" s="172"/>
      <c r="AJ129" s="172"/>
      <c r="AK129" s="152"/>
    </row>
    <row r="130" spans="1:37" x14ac:dyDescent="0.3">
      <c r="A130" s="156" t="s">
        <v>516</v>
      </c>
      <c r="B130" s="157" t="s">
        <v>28</v>
      </c>
      <c r="C130" s="157" t="s">
        <v>517</v>
      </c>
      <c r="D130" s="157" t="s">
        <v>26</v>
      </c>
      <c r="E130" s="157" t="s">
        <v>520</v>
      </c>
      <c r="F130" s="158" t="s">
        <v>551</v>
      </c>
      <c r="G130" s="157">
        <v>2</v>
      </c>
      <c r="H130" s="157" t="s">
        <v>24</v>
      </c>
      <c r="I130" s="182">
        <v>2</v>
      </c>
      <c r="J130" s="183"/>
      <c r="K130" s="183"/>
      <c r="L130" s="2239"/>
      <c r="M130" s="163">
        <v>1</v>
      </c>
      <c r="N130" s="166">
        <f>(10000+6680)/2</f>
        <v>8340</v>
      </c>
      <c r="O130" s="173">
        <v>0.3</v>
      </c>
      <c r="P130" s="166">
        <f t="shared" si="24"/>
        <v>5838</v>
      </c>
      <c r="Q130" s="166">
        <f t="shared" si="20"/>
        <v>11676</v>
      </c>
      <c r="R130" s="320">
        <f t="shared" si="21"/>
        <v>3.5463638437636287E-2</v>
      </c>
      <c r="S130" s="168">
        <f t="shared" si="22"/>
        <v>35028</v>
      </c>
      <c r="T130" s="7">
        <f t="shared" si="23"/>
        <v>35028</v>
      </c>
      <c r="Y130" s="282">
        <f>S130</f>
        <v>35028</v>
      </c>
      <c r="Z130" s="171"/>
      <c r="AB130" s="151"/>
      <c r="AC130" s="172"/>
      <c r="AD130" s="172"/>
      <c r="AE130" s="174">
        <f>S130</f>
        <v>35028</v>
      </c>
      <c r="AF130" s="172"/>
      <c r="AG130" s="172"/>
      <c r="AH130" s="172"/>
      <c r="AI130" s="172"/>
      <c r="AJ130" s="172"/>
      <c r="AK130" s="152"/>
    </row>
    <row r="131" spans="1:37" x14ac:dyDescent="0.3">
      <c r="A131" s="156" t="s">
        <v>516</v>
      </c>
      <c r="B131" s="157" t="s">
        <v>28</v>
      </c>
      <c r="C131" s="157" t="s">
        <v>517</v>
      </c>
      <c r="D131" s="157" t="s">
        <v>29</v>
      </c>
      <c r="E131" s="157" t="s">
        <v>520</v>
      </c>
      <c r="F131" s="158" t="s">
        <v>43</v>
      </c>
      <c r="G131" s="157">
        <v>3</v>
      </c>
      <c r="H131" s="157" t="s">
        <v>24</v>
      </c>
      <c r="I131" s="175">
        <v>3</v>
      </c>
      <c r="J131" s="176"/>
      <c r="K131" s="176"/>
      <c r="L131" s="177"/>
      <c r="M131" s="163">
        <v>1</v>
      </c>
      <c r="N131" s="166">
        <f>(13400+28000+16000)/3</f>
        <v>19133.333333333332</v>
      </c>
      <c r="O131" s="173">
        <v>0.25</v>
      </c>
      <c r="P131" s="166">
        <f t="shared" si="24"/>
        <v>14350</v>
      </c>
      <c r="Q131" s="166">
        <f t="shared" si="20"/>
        <v>43050</v>
      </c>
      <c r="R131" s="320">
        <f t="shared" si="21"/>
        <v>0.13075622085819133</v>
      </c>
      <c r="S131" s="168">
        <f t="shared" si="22"/>
        <v>129150</v>
      </c>
      <c r="T131" s="7">
        <f t="shared" si="23"/>
        <v>129150</v>
      </c>
      <c r="Y131" s="282">
        <f>S131</f>
        <v>129150</v>
      </c>
      <c r="Z131" s="171"/>
      <c r="AB131" s="151"/>
      <c r="AC131" s="172"/>
      <c r="AD131" s="172"/>
      <c r="AE131" s="174">
        <f t="shared" ref="AE131" si="25">S131</f>
        <v>129150</v>
      </c>
      <c r="AF131" s="172"/>
      <c r="AG131" s="172"/>
      <c r="AH131" s="172"/>
      <c r="AI131" s="172"/>
      <c r="AJ131" s="172"/>
      <c r="AK131" s="152"/>
    </row>
    <row r="132" spans="1:37" x14ac:dyDescent="0.3">
      <c r="A132" s="156" t="s">
        <v>516</v>
      </c>
      <c r="B132" s="157" t="s">
        <v>30</v>
      </c>
      <c r="C132" s="157" t="s">
        <v>517</v>
      </c>
      <c r="D132" s="157" t="s">
        <v>21</v>
      </c>
      <c r="E132" s="157" t="s">
        <v>518</v>
      </c>
      <c r="F132" s="158" t="s">
        <v>521</v>
      </c>
      <c r="G132" s="157">
        <v>1</v>
      </c>
      <c r="H132" s="157" t="s">
        <v>24</v>
      </c>
      <c r="I132" s="159">
        <v>1</v>
      </c>
      <c r="J132" s="161"/>
      <c r="K132" s="161"/>
      <c r="L132" s="2209"/>
      <c r="M132" s="157">
        <v>1</v>
      </c>
      <c r="N132" s="166">
        <v>2362</v>
      </c>
      <c r="O132" s="173">
        <v>0.2</v>
      </c>
      <c r="P132" s="166">
        <f t="shared" si="24"/>
        <v>1889.6000000000001</v>
      </c>
      <c r="Q132" s="166">
        <f t="shared" si="20"/>
        <v>1889.6000000000001</v>
      </c>
      <c r="R132" s="318">
        <f t="shared" si="21"/>
        <v>5.7393020890508335E-3</v>
      </c>
      <c r="S132" s="168">
        <f t="shared" si="22"/>
        <v>5668.8</v>
      </c>
      <c r="T132" s="7">
        <f t="shared" si="23"/>
        <v>5668.8</v>
      </c>
      <c r="Y132" s="280"/>
      <c r="Z132" s="171">
        <f>S132</f>
        <v>5668.8</v>
      </c>
      <c r="AB132" s="151"/>
      <c r="AC132" s="172"/>
      <c r="AD132" s="172"/>
      <c r="AE132" s="174"/>
      <c r="AF132" s="174">
        <f>S132</f>
        <v>5668.8</v>
      </c>
      <c r="AG132" s="172"/>
      <c r="AH132" s="172"/>
      <c r="AI132" s="172"/>
      <c r="AJ132" s="172"/>
      <c r="AK132" s="152"/>
    </row>
    <row r="133" spans="1:37" x14ac:dyDescent="0.3">
      <c r="A133" s="156" t="s">
        <v>516</v>
      </c>
      <c r="B133" s="157" t="s">
        <v>30</v>
      </c>
      <c r="C133" s="157" t="s">
        <v>517</v>
      </c>
      <c r="D133" s="157" t="s">
        <v>27</v>
      </c>
      <c r="E133" s="157" t="s">
        <v>524</v>
      </c>
      <c r="F133" s="158" t="s">
        <v>552</v>
      </c>
      <c r="G133" s="157">
        <v>18</v>
      </c>
      <c r="H133" s="157" t="s">
        <v>24</v>
      </c>
      <c r="I133" s="185"/>
      <c r="J133" s="160"/>
      <c r="K133" s="176">
        <v>18</v>
      </c>
      <c r="L133" s="177"/>
      <c r="M133" s="157">
        <v>1</v>
      </c>
      <c r="N133" s="166">
        <v>2650</v>
      </c>
      <c r="O133" s="173">
        <v>0.2</v>
      </c>
      <c r="P133" s="186">
        <f t="shared" si="24"/>
        <v>2120</v>
      </c>
      <c r="Q133" s="166">
        <f t="shared" si="20"/>
        <v>38160</v>
      </c>
      <c r="R133" s="320">
        <f t="shared" si="21"/>
        <v>0.11590377207778355</v>
      </c>
      <c r="S133" s="168">
        <f t="shared" si="22"/>
        <v>114480</v>
      </c>
      <c r="T133" s="7">
        <f t="shared" si="23"/>
        <v>114480</v>
      </c>
      <c r="Y133" s="282">
        <f>S133</f>
        <v>114480</v>
      </c>
      <c r="Z133" s="152"/>
      <c r="AB133" s="151"/>
      <c r="AC133" s="172"/>
      <c r="AD133" s="172"/>
      <c r="AE133" s="172"/>
      <c r="AF133" s="174">
        <f>S133</f>
        <v>114480</v>
      </c>
      <c r="AG133" s="172"/>
      <c r="AH133" s="172"/>
      <c r="AI133" s="172"/>
      <c r="AJ133" s="172"/>
      <c r="AK133" s="152"/>
    </row>
    <row r="134" spans="1:37" x14ac:dyDescent="0.3">
      <c r="A134" s="156" t="s">
        <v>516</v>
      </c>
      <c r="B134" s="157" t="s">
        <v>31</v>
      </c>
      <c r="C134" s="157" t="s">
        <v>525</v>
      </c>
      <c r="D134" s="157" t="s">
        <v>32</v>
      </c>
      <c r="E134" s="157" t="s">
        <v>526</v>
      </c>
      <c r="F134" s="158" t="s">
        <v>553</v>
      </c>
      <c r="G134" s="157">
        <v>4</v>
      </c>
      <c r="H134" s="157" t="s">
        <v>33</v>
      </c>
      <c r="I134" s="159">
        <v>5</v>
      </c>
      <c r="K134" s="161">
        <v>5</v>
      </c>
      <c r="L134" s="162"/>
      <c r="M134" s="157">
        <v>2</v>
      </c>
      <c r="N134" s="166">
        <f>265*8</f>
        <v>2120</v>
      </c>
      <c r="O134" s="173">
        <v>0.4</v>
      </c>
      <c r="P134" s="186">
        <f t="shared" si="24"/>
        <v>1272</v>
      </c>
      <c r="Q134" s="166">
        <f t="shared" si="20"/>
        <v>10176</v>
      </c>
      <c r="R134" s="321">
        <f t="shared" si="21"/>
        <v>3.0907672554075612E-2</v>
      </c>
      <c r="S134" s="168">
        <f t="shared" si="22"/>
        <v>30528</v>
      </c>
      <c r="T134" s="7">
        <f t="shared" si="23"/>
        <v>30528</v>
      </c>
      <c r="Y134" s="283"/>
      <c r="Z134" s="152"/>
      <c r="AB134" s="151"/>
      <c r="AC134" s="172"/>
      <c r="AD134" s="172"/>
      <c r="AE134" s="172"/>
      <c r="AF134" s="174"/>
      <c r="AG134" s="174">
        <f>S134</f>
        <v>30528</v>
      </c>
      <c r="AH134" s="172"/>
      <c r="AI134" s="172"/>
      <c r="AJ134" s="172"/>
      <c r="AK134" s="152"/>
    </row>
    <row r="135" spans="1:37" x14ac:dyDescent="0.3">
      <c r="A135" s="156" t="s">
        <v>516</v>
      </c>
      <c r="B135" s="157" t="s">
        <v>34</v>
      </c>
      <c r="C135" s="157" t="s">
        <v>517</v>
      </c>
      <c r="D135" s="157" t="s">
        <v>21</v>
      </c>
      <c r="E135" s="157" t="s">
        <v>518</v>
      </c>
      <c r="F135" s="158" t="s">
        <v>521</v>
      </c>
      <c r="G135" s="157">
        <v>1</v>
      </c>
      <c r="H135" s="157" t="s">
        <v>24</v>
      </c>
      <c r="I135" s="159">
        <v>1</v>
      </c>
      <c r="J135" s="161"/>
      <c r="K135" s="161"/>
      <c r="L135" s="2209"/>
      <c r="M135" s="157">
        <v>1</v>
      </c>
      <c r="N135" s="166">
        <v>7920</v>
      </c>
      <c r="O135" s="173">
        <v>0.25</v>
      </c>
      <c r="P135" s="186">
        <f t="shared" si="24"/>
        <v>5940</v>
      </c>
      <c r="Q135" s="166">
        <f t="shared" si="20"/>
        <v>5940</v>
      </c>
      <c r="R135" s="318">
        <f t="shared" si="21"/>
        <v>1.8041624898900269E-2</v>
      </c>
      <c r="S135" s="168">
        <f t="shared" si="22"/>
        <v>17820</v>
      </c>
      <c r="T135" s="7">
        <f t="shared" si="23"/>
        <v>17820</v>
      </c>
      <c r="Y135" s="280"/>
      <c r="Z135" s="171">
        <f t="shared" ref="Z135:Z136" si="26">S135</f>
        <v>17820</v>
      </c>
      <c r="AB135" s="151"/>
      <c r="AC135" s="172"/>
      <c r="AD135" s="172"/>
      <c r="AE135" s="172"/>
      <c r="AF135" s="172"/>
      <c r="AG135" s="174"/>
      <c r="AH135" s="174">
        <f>S135</f>
        <v>17820</v>
      </c>
      <c r="AI135" s="172"/>
      <c r="AJ135" s="172"/>
      <c r="AK135" s="152"/>
    </row>
    <row r="136" spans="1:37" x14ac:dyDescent="0.3">
      <c r="A136" s="156" t="s">
        <v>516</v>
      </c>
      <c r="B136" s="157" t="s">
        <v>35</v>
      </c>
      <c r="C136" s="157" t="s">
        <v>517</v>
      </c>
      <c r="D136" s="157" t="s">
        <v>21</v>
      </c>
      <c r="E136" s="157" t="s">
        <v>518</v>
      </c>
      <c r="F136" s="158" t="s">
        <v>521</v>
      </c>
      <c r="G136" s="157">
        <v>1</v>
      </c>
      <c r="H136" s="157" t="s">
        <v>24</v>
      </c>
      <c r="I136" s="159">
        <v>1</v>
      </c>
      <c r="J136" s="161"/>
      <c r="K136" s="161"/>
      <c r="L136" s="2209"/>
      <c r="M136" s="157">
        <v>1</v>
      </c>
      <c r="N136" s="166">
        <v>18500</v>
      </c>
      <c r="O136" s="173">
        <v>0.6</v>
      </c>
      <c r="P136" s="186">
        <f t="shared" si="24"/>
        <v>7400</v>
      </c>
      <c r="Q136" s="166">
        <f t="shared" si="20"/>
        <v>7400</v>
      </c>
      <c r="R136" s="318">
        <f t="shared" si="21"/>
        <v>2.2476098358899323E-2</v>
      </c>
      <c r="S136" s="168">
        <f t="shared" si="22"/>
        <v>22200</v>
      </c>
      <c r="T136" s="7">
        <f t="shared" si="23"/>
        <v>22200</v>
      </c>
      <c r="Y136" s="280"/>
      <c r="Z136" s="171">
        <f t="shared" si="26"/>
        <v>22200</v>
      </c>
      <c r="AB136" s="151"/>
      <c r="AC136" s="172"/>
      <c r="AD136" s="172"/>
      <c r="AE136" s="172"/>
      <c r="AF136" s="172"/>
      <c r="AG136" s="172"/>
      <c r="AH136" s="174"/>
      <c r="AI136" s="174">
        <f>S136</f>
        <v>22200</v>
      </c>
      <c r="AJ136" s="172"/>
      <c r="AK136" s="152"/>
    </row>
    <row r="137" spans="1:37" x14ac:dyDescent="0.3">
      <c r="A137" s="156" t="s">
        <v>516</v>
      </c>
      <c r="B137" s="157" t="s">
        <v>35</v>
      </c>
      <c r="C137" s="157" t="s">
        <v>517</v>
      </c>
      <c r="D137" s="157" t="s">
        <v>26</v>
      </c>
      <c r="E137" s="157" t="s">
        <v>520</v>
      </c>
      <c r="F137" s="158" t="s">
        <v>551</v>
      </c>
      <c r="G137" s="157">
        <v>1</v>
      </c>
      <c r="H137" s="157" t="s">
        <v>24</v>
      </c>
      <c r="I137" s="159">
        <v>1</v>
      </c>
      <c r="J137" s="161"/>
      <c r="K137" s="161"/>
      <c r="L137" s="2209"/>
      <c r="M137" s="157">
        <v>1</v>
      </c>
      <c r="N137" s="166">
        <v>20500</v>
      </c>
      <c r="O137" s="173">
        <v>0.57999999999999996</v>
      </c>
      <c r="P137" s="186">
        <f t="shared" si="24"/>
        <v>8610</v>
      </c>
      <c r="Q137" s="166">
        <f t="shared" si="20"/>
        <v>8610</v>
      </c>
      <c r="R137" s="320">
        <f t="shared" si="21"/>
        <v>2.615124417163827E-2</v>
      </c>
      <c r="S137" s="168">
        <f t="shared" si="22"/>
        <v>25830</v>
      </c>
      <c r="T137" s="7">
        <f t="shared" si="23"/>
        <v>25830</v>
      </c>
      <c r="Y137" s="282">
        <f>S137</f>
        <v>25830</v>
      </c>
      <c r="Z137" s="152"/>
      <c r="AB137" s="151"/>
      <c r="AC137" s="172"/>
      <c r="AD137" s="172"/>
      <c r="AE137" s="172"/>
      <c r="AF137" s="172"/>
      <c r="AG137" s="172"/>
      <c r="AH137" s="172"/>
      <c r="AI137" s="174">
        <f>S137</f>
        <v>25830</v>
      </c>
      <c r="AJ137" s="172"/>
      <c r="AK137" s="152"/>
    </row>
    <row r="138" spans="1:37" x14ac:dyDescent="0.3">
      <c r="A138" s="156" t="s">
        <v>516</v>
      </c>
      <c r="B138" s="157" t="s">
        <v>36</v>
      </c>
      <c r="C138" s="157" t="s">
        <v>517</v>
      </c>
      <c r="D138" s="157" t="s">
        <v>21</v>
      </c>
      <c r="E138" s="157" t="s">
        <v>518</v>
      </c>
      <c r="F138" s="158" t="s">
        <v>521</v>
      </c>
      <c r="G138" s="157">
        <v>1</v>
      </c>
      <c r="H138" s="157" t="s">
        <v>24</v>
      </c>
      <c r="I138" s="159">
        <v>1</v>
      </c>
      <c r="J138" s="161"/>
      <c r="K138" s="161"/>
      <c r="L138" s="2209"/>
      <c r="M138" s="157">
        <v>1</v>
      </c>
      <c r="N138" s="166">
        <v>8125</v>
      </c>
      <c r="O138" s="173">
        <v>0.15</v>
      </c>
      <c r="P138" s="186">
        <f t="shared" si="24"/>
        <v>6906.25</v>
      </c>
      <c r="Q138" s="166">
        <f t="shared" si="20"/>
        <v>6906.25</v>
      </c>
      <c r="R138" s="318">
        <f t="shared" si="21"/>
        <v>2.0976426255560603E-2</v>
      </c>
      <c r="S138" s="168">
        <f t="shared" si="22"/>
        <v>20718.75</v>
      </c>
      <c r="T138" s="7">
        <f t="shared" si="23"/>
        <v>20718.75</v>
      </c>
      <c r="Y138" s="280"/>
      <c r="Z138" s="171">
        <f t="shared" ref="Z138:Z139" si="27">S138</f>
        <v>20718.75</v>
      </c>
      <c r="AB138" s="151"/>
      <c r="AC138" s="172"/>
      <c r="AD138" s="172"/>
      <c r="AE138" s="172"/>
      <c r="AF138" s="172"/>
      <c r="AG138" s="172"/>
      <c r="AH138" s="172"/>
      <c r="AI138" s="174"/>
      <c r="AJ138" s="174">
        <f>S138</f>
        <v>20718.75</v>
      </c>
      <c r="AK138" s="171"/>
    </row>
    <row r="139" spans="1:37" x14ac:dyDescent="0.3">
      <c r="A139" s="156" t="s">
        <v>516</v>
      </c>
      <c r="B139" s="157" t="s">
        <v>36</v>
      </c>
      <c r="C139" s="157"/>
      <c r="D139" s="157" t="s">
        <v>37</v>
      </c>
      <c r="E139" s="157" t="s">
        <v>520</v>
      </c>
      <c r="F139" s="158" t="s">
        <v>38</v>
      </c>
      <c r="G139" s="157">
        <v>1</v>
      </c>
      <c r="H139" s="157" t="s">
        <v>24</v>
      </c>
      <c r="I139" s="159">
        <v>1</v>
      </c>
      <c r="J139" s="161"/>
      <c r="K139" s="161"/>
      <c r="L139" s="2209"/>
      <c r="M139" s="157">
        <v>1</v>
      </c>
      <c r="N139" s="166">
        <v>73000</v>
      </c>
      <c r="O139" s="173">
        <v>0</v>
      </c>
      <c r="P139" s="186">
        <f t="shared" si="24"/>
        <v>73000</v>
      </c>
      <c r="Q139" s="166">
        <f t="shared" si="20"/>
        <v>73000</v>
      </c>
      <c r="R139" s="318">
        <f t="shared" si="21"/>
        <v>0.2217236729999528</v>
      </c>
      <c r="S139" s="168">
        <f t="shared" si="22"/>
        <v>219000</v>
      </c>
      <c r="T139" s="7"/>
      <c r="V139" s="169">
        <f>S139</f>
        <v>219000</v>
      </c>
      <c r="Y139" s="280"/>
      <c r="Z139" s="171">
        <f t="shared" si="27"/>
        <v>219000</v>
      </c>
      <c r="AB139" s="151"/>
      <c r="AC139" s="172"/>
      <c r="AD139" s="172"/>
      <c r="AE139" s="172"/>
      <c r="AF139" s="172"/>
      <c r="AG139" s="172"/>
      <c r="AH139" s="172"/>
      <c r="AI139" s="172"/>
      <c r="AJ139" s="174">
        <f>S139</f>
        <v>219000</v>
      </c>
      <c r="AK139" s="171"/>
    </row>
    <row r="140" spans="1:37" x14ac:dyDescent="0.3">
      <c r="A140" s="156"/>
      <c r="B140" s="157"/>
      <c r="C140" s="157"/>
      <c r="D140" s="157"/>
      <c r="E140" s="157"/>
      <c r="F140" s="158"/>
      <c r="G140" s="157"/>
      <c r="H140" s="157"/>
      <c r="I140" s="188"/>
      <c r="M140" s="157"/>
      <c r="N140" s="166"/>
      <c r="O140" s="173"/>
      <c r="P140" s="186"/>
      <c r="Q140" s="166"/>
      <c r="R140" s="322"/>
      <c r="S140" s="168"/>
      <c r="T140" s="7"/>
      <c r="Y140" s="280"/>
      <c r="Z140" s="152"/>
      <c r="AB140" s="151"/>
      <c r="AC140" s="172"/>
      <c r="AD140" s="172"/>
      <c r="AE140" s="172"/>
      <c r="AF140" s="172"/>
      <c r="AG140" s="172"/>
      <c r="AH140" s="172"/>
      <c r="AI140" s="172"/>
      <c r="AJ140" s="174">
        <f>S140</f>
        <v>0</v>
      </c>
      <c r="AK140" s="171">
        <f>S140</f>
        <v>0</v>
      </c>
    </row>
    <row r="141" spans="1:37" x14ac:dyDescent="0.3">
      <c r="A141" s="151"/>
      <c r="B141" s="157"/>
      <c r="C141" s="157"/>
      <c r="D141" s="157"/>
      <c r="E141" s="157"/>
      <c r="F141" s="158"/>
      <c r="G141" s="157"/>
      <c r="H141" s="157"/>
      <c r="I141" s="188"/>
      <c r="M141" s="157"/>
      <c r="N141" s="166"/>
      <c r="O141" s="173"/>
      <c r="P141" s="186"/>
      <c r="Q141" s="166"/>
      <c r="R141" s="322"/>
      <c r="S141" s="168"/>
      <c r="T141" s="7"/>
      <c r="Y141" s="280"/>
      <c r="Z141" s="152"/>
      <c r="AB141" s="151"/>
      <c r="AC141" s="172"/>
      <c r="AD141" s="172"/>
      <c r="AE141" s="172"/>
      <c r="AF141" s="172"/>
      <c r="AG141" s="172"/>
      <c r="AH141" s="172"/>
      <c r="AI141" s="172"/>
      <c r="AJ141" s="172"/>
      <c r="AK141" s="152"/>
    </row>
    <row r="142" spans="1:37" x14ac:dyDescent="0.3">
      <c r="A142" s="151"/>
      <c r="B142" s="157"/>
      <c r="C142" s="157"/>
      <c r="D142" s="157"/>
      <c r="E142" s="157"/>
      <c r="F142" s="158"/>
      <c r="G142" s="157"/>
      <c r="H142" s="157"/>
      <c r="I142" s="188"/>
      <c r="M142" s="157"/>
      <c r="N142" s="166"/>
      <c r="O142" s="173"/>
      <c r="P142" s="186"/>
      <c r="Q142" s="166"/>
      <c r="R142" s="322"/>
      <c r="S142" s="168"/>
      <c r="T142" s="7"/>
      <c r="Y142" s="280"/>
      <c r="Z142" s="152"/>
      <c r="AB142" s="151"/>
      <c r="AC142" s="172"/>
      <c r="AD142" s="172"/>
      <c r="AE142" s="172"/>
      <c r="AF142" s="172"/>
      <c r="AG142" s="172"/>
      <c r="AH142" s="172"/>
      <c r="AI142" s="172"/>
      <c r="AJ142" s="172"/>
      <c r="AK142" s="152"/>
    </row>
    <row r="143" spans="1:37" x14ac:dyDescent="0.3">
      <c r="A143" s="151"/>
      <c r="B143" s="157"/>
      <c r="C143" s="157"/>
      <c r="D143" s="157"/>
      <c r="E143" s="157"/>
      <c r="F143" s="158"/>
      <c r="G143" s="157"/>
      <c r="H143" s="157"/>
      <c r="I143" s="188"/>
      <c r="M143" s="157"/>
      <c r="N143" s="166"/>
      <c r="O143" s="173"/>
      <c r="P143" s="186"/>
      <c r="Q143" s="166"/>
      <c r="R143" s="322"/>
      <c r="S143" s="168"/>
      <c r="T143" s="7"/>
      <c r="Y143" s="280"/>
      <c r="Z143" s="152"/>
      <c r="AB143" s="151"/>
      <c r="AC143" s="172"/>
      <c r="AD143" s="172"/>
      <c r="AE143" s="172"/>
      <c r="AF143" s="172"/>
      <c r="AG143" s="172"/>
      <c r="AH143" s="172"/>
      <c r="AI143" s="172"/>
      <c r="AJ143" s="172"/>
      <c r="AK143" s="152"/>
    </row>
    <row r="144" spans="1:37" x14ac:dyDescent="0.3">
      <c r="A144" s="189" t="s">
        <v>516</v>
      </c>
      <c r="B144" s="190" t="s">
        <v>528</v>
      </c>
      <c r="C144" s="190"/>
      <c r="D144" s="190"/>
      <c r="E144" s="190"/>
      <c r="F144" s="191"/>
      <c r="G144" s="190"/>
      <c r="H144" s="190"/>
      <c r="I144" s="192"/>
      <c r="J144" s="193"/>
      <c r="K144" s="193"/>
      <c r="L144" s="193"/>
      <c r="M144" s="190"/>
      <c r="N144" s="194"/>
      <c r="O144" s="195"/>
      <c r="P144" s="186"/>
      <c r="Q144" s="166"/>
      <c r="R144" s="323">
        <f>Q144/Q147</f>
        <v>0</v>
      </c>
      <c r="S144" s="168"/>
      <c r="T144" s="7"/>
      <c r="W144" s="169">
        <f>S144</f>
        <v>0</v>
      </c>
      <c r="Y144" s="280"/>
      <c r="Z144" s="171"/>
      <c r="AB144" s="151"/>
      <c r="AC144" s="172"/>
      <c r="AD144" s="172"/>
      <c r="AE144" s="172"/>
      <c r="AF144" s="172"/>
      <c r="AG144" s="172"/>
      <c r="AH144" s="172"/>
      <c r="AI144" s="172"/>
      <c r="AJ144" s="172"/>
      <c r="AK144" s="152"/>
    </row>
    <row r="145" spans="1:37" x14ac:dyDescent="0.3">
      <c r="A145" s="197" t="s">
        <v>516</v>
      </c>
      <c r="B145" s="198" t="s">
        <v>529</v>
      </c>
      <c r="C145" s="198"/>
      <c r="D145" s="198" t="s">
        <v>530</v>
      </c>
      <c r="E145" s="198"/>
      <c r="F145" s="199"/>
      <c r="G145" s="198"/>
      <c r="H145" s="198"/>
      <c r="I145" s="200"/>
      <c r="J145" s="200"/>
      <c r="K145" s="200"/>
      <c r="L145" s="200"/>
      <c r="M145" s="198"/>
      <c r="N145" s="201"/>
      <c r="O145" s="202"/>
      <c r="P145" s="203"/>
      <c r="Q145" s="201">
        <v>55500</v>
      </c>
      <c r="R145" s="324">
        <f>Q145/Q147</f>
        <v>0.16857073769174494</v>
      </c>
      <c r="S145" s="168">
        <f>Q145*3</f>
        <v>166500</v>
      </c>
      <c r="T145" s="7"/>
      <c r="X145" s="169">
        <f>S145</f>
        <v>166500</v>
      </c>
      <c r="Y145" s="280"/>
      <c r="Z145" s="152"/>
      <c r="AB145" s="151"/>
      <c r="AC145" s="172"/>
      <c r="AD145" s="172"/>
      <c r="AE145" s="172"/>
      <c r="AF145" s="172"/>
      <c r="AG145" s="172"/>
      <c r="AH145" s="172"/>
      <c r="AI145" s="172"/>
      <c r="AJ145" s="172"/>
      <c r="AK145" s="152"/>
    </row>
    <row r="146" spans="1:37" x14ac:dyDescent="0.3">
      <c r="I146" s="115">
        <f>I147/M147</f>
        <v>0.62295081967213117</v>
      </c>
      <c r="J146" s="115"/>
      <c r="K146" s="115">
        <f>K147/M147</f>
        <v>0.37704918032786883</v>
      </c>
      <c r="L146" s="115"/>
      <c r="S146" s="325"/>
      <c r="T146" s="7"/>
      <c r="Y146" s="280"/>
      <c r="Z146" s="152"/>
      <c r="AB146" s="209"/>
      <c r="AC146" s="211"/>
      <c r="AD146" s="211"/>
      <c r="AE146" s="211"/>
      <c r="AF146" s="211"/>
      <c r="AG146" s="211"/>
      <c r="AH146" s="211"/>
      <c r="AI146" s="211"/>
      <c r="AJ146" s="211"/>
      <c r="AK146" s="210"/>
    </row>
    <row r="147" spans="1:37" x14ac:dyDescent="0.3">
      <c r="A147" s="326" t="s">
        <v>531</v>
      </c>
      <c r="B147" s="327"/>
      <c r="C147" s="327"/>
      <c r="D147" s="327"/>
      <c r="E147" s="327"/>
      <c r="F147" s="328"/>
      <c r="G147" s="327"/>
      <c r="H147" s="327"/>
      <c r="I147" s="327">
        <f>I132+I131+I130+I129+I128+I127+I126+I125+I134+I135+I136+I137+I138+I139</f>
        <v>38</v>
      </c>
      <c r="J147" s="327"/>
      <c r="K147" s="327">
        <f>K134+K133</f>
        <v>23</v>
      </c>
      <c r="L147" s="327"/>
      <c r="M147" s="327">
        <f>SUM(I147:L147)</f>
        <v>61</v>
      </c>
      <c r="N147" s="329"/>
      <c r="O147" s="330"/>
      <c r="P147" s="329"/>
      <c r="Q147" s="331">
        <f>SUM(Q125:Q146)</f>
        <v>329238.63750000001</v>
      </c>
      <c r="R147" s="332">
        <f>SUM(R125:R145)</f>
        <v>0.99999999999999978</v>
      </c>
      <c r="S147" s="333">
        <f>SUM(S125:S146)</f>
        <v>987715.91249999998</v>
      </c>
      <c r="T147" s="334">
        <f t="shared" ref="T147:Z147" si="28">SUM(T125:T145)</f>
        <v>602215.91249999998</v>
      </c>
      <c r="U147" s="335">
        <f t="shared" si="28"/>
        <v>0</v>
      </c>
      <c r="V147" s="335">
        <f t="shared" si="28"/>
        <v>219000</v>
      </c>
      <c r="W147" s="335">
        <f t="shared" si="28"/>
        <v>0</v>
      </c>
      <c r="X147" s="335">
        <f t="shared" si="28"/>
        <v>166500</v>
      </c>
      <c r="Y147" s="336">
        <f t="shared" si="28"/>
        <v>453528</v>
      </c>
      <c r="Z147" s="337">
        <f t="shared" si="28"/>
        <v>337159.91249999998</v>
      </c>
      <c r="AA147" s="338"/>
      <c r="AB147" s="339">
        <f t="shared" ref="AB147:AK147" si="29">SUM(AB124:AB146)</f>
        <v>0</v>
      </c>
      <c r="AC147" s="340">
        <f t="shared" si="29"/>
        <v>20268.112500000003</v>
      </c>
      <c r="AD147" s="340">
        <f t="shared" si="29"/>
        <v>167940</v>
      </c>
      <c r="AE147" s="340">
        <f t="shared" si="29"/>
        <v>176762.25</v>
      </c>
      <c r="AF147" s="340">
        <f t="shared" si="29"/>
        <v>120148.8</v>
      </c>
      <c r="AG147" s="340">
        <f t="shared" si="29"/>
        <v>30528</v>
      </c>
      <c r="AH147" s="340">
        <f t="shared" si="29"/>
        <v>17820</v>
      </c>
      <c r="AI147" s="340">
        <f t="shared" si="29"/>
        <v>48030</v>
      </c>
      <c r="AJ147" s="340">
        <f t="shared" si="29"/>
        <v>239718.75</v>
      </c>
      <c r="AK147" s="341">
        <f t="shared" si="29"/>
        <v>0</v>
      </c>
    </row>
    <row r="148" spans="1:37" x14ac:dyDescent="0.3">
      <c r="A148" s="342" t="s">
        <v>532</v>
      </c>
      <c r="B148" s="343"/>
      <c r="C148" s="343"/>
      <c r="D148" s="343"/>
      <c r="E148" s="343"/>
      <c r="F148" s="344"/>
      <c r="G148" s="343"/>
      <c r="H148" s="343"/>
      <c r="I148" s="343">
        <f>I132+I131+I130+I129+I128+I127+I126+I125+I134+I135+I136+I137+I138+I139</f>
        <v>38</v>
      </c>
      <c r="J148" s="343">
        <f>I132+I131+I130+I129+I128+I127+I126+I125+I135+I136+I137+I138+I139</f>
        <v>33</v>
      </c>
      <c r="K148" s="343">
        <f>K133+I132+I131+I130+I129+I127+I126+I125+K134+I135+I136+I137+I138+I139</f>
        <v>38</v>
      </c>
      <c r="L148" s="343">
        <f>K133+I132+I131+I130+I129+I127+I126+I125+I135+I136+I137+I138+I139</f>
        <v>33</v>
      </c>
      <c r="M148" s="343">
        <f>SUM(I148:L148)</f>
        <v>142</v>
      </c>
      <c r="N148" s="345"/>
      <c r="O148" s="346"/>
      <c r="P148" s="345"/>
      <c r="Q148" s="345"/>
      <c r="R148" s="347"/>
      <c r="S148" s="348"/>
      <c r="T148" s="349">
        <f>T147/S147</f>
        <v>0.60970558930830221</v>
      </c>
      <c r="U148" s="350">
        <f>U147/S147</f>
        <v>0</v>
      </c>
      <c r="V148" s="350">
        <f>V147/S147</f>
        <v>0.22172367299995283</v>
      </c>
      <c r="W148" s="350">
        <f>W147/S147</f>
        <v>0</v>
      </c>
      <c r="X148" s="350">
        <f>X147/S147</f>
        <v>0.16857073769174494</v>
      </c>
      <c r="Y148" s="351">
        <f>Y147/S147</f>
        <v>0.459168465608779</v>
      </c>
      <c r="Z148" s="352">
        <f>Z147/S147</f>
        <v>0.34135312414540042</v>
      </c>
      <c r="AA148" s="353">
        <f>Y149+Z149</f>
        <v>51</v>
      </c>
      <c r="AB148" s="354"/>
      <c r="AC148" s="355"/>
      <c r="AD148" s="355"/>
      <c r="AE148" s="355"/>
      <c r="AF148" s="355"/>
      <c r="AG148" s="355"/>
      <c r="AH148" s="355"/>
      <c r="AI148" s="355"/>
      <c r="AJ148" s="355"/>
      <c r="AK148" s="356"/>
    </row>
    <row r="149" spans="1:37" x14ac:dyDescent="0.3">
      <c r="A149" s="243" t="s">
        <v>533</v>
      </c>
      <c r="B149" s="193"/>
      <c r="C149" s="193"/>
      <c r="D149" s="193"/>
      <c r="E149" s="193"/>
      <c r="F149" s="244"/>
      <c r="G149" s="193"/>
      <c r="H149" s="193"/>
      <c r="I149" s="2182">
        <f>I148/M148</f>
        <v>0.26760563380281688</v>
      </c>
      <c r="J149" s="2182">
        <f>J148/M148</f>
        <v>0.23239436619718309</v>
      </c>
      <c r="K149" s="2182">
        <f>K148/M148</f>
        <v>0.26760563380281688</v>
      </c>
      <c r="L149" s="2182">
        <f>L148/M148</f>
        <v>0.23239436619718309</v>
      </c>
      <c r="M149" s="193"/>
      <c r="N149" s="246"/>
      <c r="O149" s="196"/>
      <c r="P149" s="246"/>
      <c r="Q149" s="194">
        <f>T147/3</f>
        <v>200738.63749999998</v>
      </c>
      <c r="R149" s="247">
        <f>Q149/Q154</f>
        <v>0.60970558930830232</v>
      </c>
      <c r="X149" s="248"/>
      <c r="Y149" s="357">
        <f>I127+I128+I130+I131+K133+I137</f>
        <v>43</v>
      </c>
      <c r="Z149" s="358">
        <f>+I125+I126+I129+I132+I135+I136+I138+I139</f>
        <v>8</v>
      </c>
      <c r="AA149" s="4" t="s">
        <v>534</v>
      </c>
    </row>
    <row r="150" spans="1:37" x14ac:dyDescent="0.3">
      <c r="A150" s="251" t="s">
        <v>11</v>
      </c>
      <c r="B150" s="252"/>
      <c r="C150" s="252"/>
      <c r="D150" s="252"/>
      <c r="E150" s="252"/>
      <c r="F150" s="253"/>
      <c r="G150" s="252"/>
      <c r="H150" s="252"/>
      <c r="I150" s="254"/>
      <c r="J150" s="254"/>
      <c r="K150" s="254"/>
      <c r="L150" s="254"/>
      <c r="M150" s="252"/>
      <c r="N150" s="255"/>
      <c r="O150" s="256"/>
      <c r="P150" s="255"/>
      <c r="Q150" s="257">
        <f>U147/3</f>
        <v>0</v>
      </c>
      <c r="R150" s="256">
        <f>Q150/Q154</f>
        <v>0</v>
      </c>
      <c r="S150" s="359">
        <f>Q147/M147</f>
        <v>5397.3547131147543</v>
      </c>
      <c r="T150" s="360" t="s">
        <v>535</v>
      </c>
      <c r="Y150" s="173">
        <f>Y149/M147</f>
        <v>0.70491803278688525</v>
      </c>
      <c r="Z150" s="361">
        <f>Z149/M147</f>
        <v>0.13114754098360656</v>
      </c>
      <c r="AK150" s="99"/>
    </row>
    <row r="151" spans="1:37" x14ac:dyDescent="0.3">
      <c r="A151" s="251" t="s">
        <v>536</v>
      </c>
      <c r="B151" s="252"/>
      <c r="C151" s="252"/>
      <c r="D151" s="252"/>
      <c r="E151" s="252"/>
      <c r="F151" s="253"/>
      <c r="G151" s="252"/>
      <c r="H151" s="252"/>
      <c r="I151" s="254"/>
      <c r="J151" s="254"/>
      <c r="K151" s="254"/>
      <c r="L151" s="254"/>
      <c r="M151" s="252"/>
      <c r="N151" s="255"/>
      <c r="O151" s="256"/>
      <c r="P151" s="255"/>
      <c r="Q151" s="257">
        <f>V147/3</f>
        <v>73000</v>
      </c>
      <c r="R151" s="262">
        <f>Q151/Q154</f>
        <v>0.22172367299995283</v>
      </c>
      <c r="U151" s="263"/>
      <c r="W151" s="99"/>
      <c r="Y151" s="2210" t="s">
        <v>537</v>
      </c>
      <c r="Z151" s="2210"/>
      <c r="AK151" s="99"/>
    </row>
    <row r="152" spans="1:37" x14ac:dyDescent="0.3">
      <c r="A152" s="251" t="s">
        <v>529</v>
      </c>
      <c r="B152" s="252"/>
      <c r="C152" s="252"/>
      <c r="D152" s="252"/>
      <c r="E152" s="252"/>
      <c r="F152" s="253"/>
      <c r="G152" s="252"/>
      <c r="H152" s="252"/>
      <c r="I152" s="254"/>
      <c r="J152" s="254"/>
      <c r="K152" s="254"/>
      <c r="L152" s="254"/>
      <c r="M152" s="252"/>
      <c r="N152" s="255"/>
      <c r="O152" s="256"/>
      <c r="P152" s="255"/>
      <c r="Q152" s="257">
        <f>X147/3</f>
        <v>55500</v>
      </c>
      <c r="R152" s="262">
        <f>Q152/Q154</f>
        <v>0.16857073769174497</v>
      </c>
      <c r="U152" s="263"/>
    </row>
    <row r="153" spans="1:37" x14ac:dyDescent="0.3">
      <c r="A153" s="251" t="s">
        <v>528</v>
      </c>
      <c r="B153" s="252"/>
      <c r="C153" s="252"/>
      <c r="D153" s="252"/>
      <c r="E153" s="252"/>
      <c r="F153" s="253"/>
      <c r="G153" s="252"/>
      <c r="H153" s="252"/>
      <c r="I153" s="254"/>
      <c r="J153" s="254"/>
      <c r="K153" s="254"/>
      <c r="L153" s="254"/>
      <c r="M153" s="252"/>
      <c r="N153" s="255"/>
      <c r="O153" s="256"/>
      <c r="P153" s="255"/>
      <c r="Q153" s="257">
        <f>W147/3</f>
        <v>0</v>
      </c>
      <c r="R153" s="262">
        <f>Q153/Q154</f>
        <v>0</v>
      </c>
    </row>
    <row r="154" spans="1:37" x14ac:dyDescent="0.3">
      <c r="A154" s="251"/>
      <c r="B154" s="252"/>
      <c r="C154" s="252"/>
      <c r="D154" s="252"/>
      <c r="E154" s="252"/>
      <c r="F154" s="253"/>
      <c r="G154" s="252"/>
      <c r="H154" s="252"/>
      <c r="I154" s="254"/>
      <c r="J154" s="254"/>
      <c r="K154" s="254"/>
      <c r="L154" s="254"/>
      <c r="M154" s="252"/>
      <c r="N154" s="255"/>
      <c r="O154" s="256"/>
      <c r="P154" s="255"/>
      <c r="Q154" s="264">
        <f>SUM(Q149:Q153)</f>
        <v>329238.63749999995</v>
      </c>
      <c r="R154" s="262">
        <f>SUM(R149:R153)</f>
        <v>1</v>
      </c>
    </row>
    <row r="155" spans="1:37" x14ac:dyDescent="0.3">
      <c r="A155" s="188"/>
      <c r="N155" s="5"/>
      <c r="O155" s="6"/>
      <c r="P155" s="5"/>
      <c r="Q155" s="7"/>
      <c r="R155" s="8"/>
      <c r="S155" s="5"/>
    </row>
    <row r="156" spans="1:37" x14ac:dyDescent="0.3">
      <c r="A156" s="188"/>
      <c r="N156" s="5"/>
      <c r="O156" s="6"/>
      <c r="P156" s="5"/>
      <c r="Q156" s="7"/>
      <c r="R156" s="8"/>
      <c r="S156" s="5"/>
    </row>
    <row r="157" spans="1:37" x14ac:dyDescent="0.3">
      <c r="A157" s="188"/>
      <c r="N157" s="5"/>
      <c r="O157" s="6"/>
      <c r="P157" s="5"/>
      <c r="Q157" s="7"/>
      <c r="R157" s="8"/>
      <c r="S157" s="5"/>
    </row>
    <row r="158" spans="1:37" x14ac:dyDescent="0.3">
      <c r="A158" s="188"/>
      <c r="N158" s="5"/>
      <c r="O158" s="6"/>
      <c r="P158" s="5"/>
      <c r="Q158" s="7"/>
      <c r="R158" s="8"/>
      <c r="S158" s="5"/>
    </row>
    <row r="159" spans="1:37" x14ac:dyDescent="0.3">
      <c r="A159" s="188"/>
      <c r="N159" s="5"/>
      <c r="O159" s="6"/>
      <c r="P159" s="5"/>
      <c r="Q159" s="7"/>
      <c r="R159" s="8"/>
      <c r="S159" s="5"/>
    </row>
    <row r="160" spans="1:37" x14ac:dyDescent="0.3">
      <c r="A160" s="188"/>
      <c r="N160" s="5"/>
      <c r="O160" s="6"/>
      <c r="P160" s="5"/>
      <c r="Q160" s="7"/>
      <c r="R160" s="8"/>
      <c r="S160" s="5"/>
    </row>
    <row r="161" spans="1:37" ht="18" x14ac:dyDescent="0.35">
      <c r="A161" s="118" t="s">
        <v>554</v>
      </c>
      <c r="N161" s="5"/>
      <c r="O161" s="6"/>
      <c r="P161" s="5"/>
      <c r="Q161" s="7"/>
      <c r="R161" s="8"/>
      <c r="S161" s="5"/>
    </row>
    <row r="162" spans="1:37" x14ac:dyDescent="0.3">
      <c r="A162" s="188"/>
      <c r="N162" s="5"/>
      <c r="O162" s="6"/>
      <c r="P162" s="5"/>
      <c r="Q162" s="7"/>
      <c r="R162" s="6"/>
      <c r="S162" s="5"/>
    </row>
    <row r="163" spans="1:37" x14ac:dyDescent="0.3">
      <c r="A163" s="2221" t="s">
        <v>480</v>
      </c>
      <c r="B163" s="2222"/>
      <c r="C163" s="2222"/>
      <c r="D163" s="2222"/>
      <c r="E163" s="2222"/>
      <c r="F163" s="2222"/>
      <c r="G163" s="2222"/>
      <c r="H163" s="2222"/>
      <c r="I163" s="2222"/>
      <c r="J163" s="2222"/>
      <c r="K163" s="2222"/>
      <c r="L163" s="2222"/>
      <c r="M163" s="2222"/>
      <c r="N163" s="2222"/>
      <c r="O163" s="2222"/>
      <c r="P163" s="2222"/>
      <c r="Q163" s="2222"/>
      <c r="R163" s="2223"/>
      <c r="S163" s="2224" t="s">
        <v>481</v>
      </c>
      <c r="T163" s="2225"/>
      <c r="U163" s="2225"/>
      <c r="V163" s="2225"/>
      <c r="W163" s="2225"/>
      <c r="X163" s="2225"/>
      <c r="Y163" s="2225"/>
      <c r="Z163" s="2225"/>
      <c r="AA163" s="2225"/>
      <c r="AB163" s="2225"/>
      <c r="AC163" s="2225"/>
      <c r="AD163" s="2225"/>
      <c r="AE163" s="2225"/>
      <c r="AF163" s="2225"/>
      <c r="AG163" s="2225"/>
      <c r="AH163" s="2225"/>
      <c r="AI163" s="2225"/>
      <c r="AJ163" s="2225"/>
      <c r="AK163" s="2226"/>
    </row>
    <row r="164" spans="1:37" x14ac:dyDescent="0.3">
      <c r="A164" s="2256" t="s">
        <v>482</v>
      </c>
      <c r="B164" s="2258" t="s">
        <v>483</v>
      </c>
      <c r="C164" s="2258" t="s">
        <v>484</v>
      </c>
      <c r="D164" s="2258" t="s">
        <v>555</v>
      </c>
      <c r="E164" s="2258" t="s">
        <v>556</v>
      </c>
      <c r="F164" s="2260" t="s">
        <v>487</v>
      </c>
      <c r="G164" s="2258" t="s">
        <v>557</v>
      </c>
      <c r="H164" s="2258" t="s">
        <v>489</v>
      </c>
      <c r="I164" s="2240" t="s">
        <v>490</v>
      </c>
      <c r="J164" s="2240"/>
      <c r="K164" s="2240"/>
      <c r="L164" s="2240"/>
      <c r="M164" s="305" t="s">
        <v>491</v>
      </c>
      <c r="N164" s="306" t="s">
        <v>558</v>
      </c>
      <c r="O164" s="307" t="s">
        <v>493</v>
      </c>
      <c r="P164" s="306" t="s">
        <v>558</v>
      </c>
      <c r="Q164" s="306" t="s">
        <v>559</v>
      </c>
      <c r="R164" s="308" t="s">
        <v>495</v>
      </c>
      <c r="S164" s="309" t="s">
        <v>496</v>
      </c>
      <c r="T164" s="2241" t="s">
        <v>497</v>
      </c>
      <c r="U164" s="2242"/>
      <c r="V164" s="2242"/>
      <c r="W164" s="2242"/>
      <c r="X164" s="2243"/>
      <c r="Y164" s="2247" t="s">
        <v>498</v>
      </c>
      <c r="Z164" s="2248"/>
      <c r="AB164" s="2247" t="s">
        <v>499</v>
      </c>
      <c r="AC164" s="2251"/>
      <c r="AD164" s="2251"/>
      <c r="AE164" s="2251"/>
      <c r="AF164" s="2251"/>
      <c r="AG164" s="2251"/>
      <c r="AH164" s="2251"/>
      <c r="AI164" s="2251"/>
      <c r="AJ164" s="2251"/>
      <c r="AK164" s="2248"/>
    </row>
    <row r="165" spans="1:37" x14ac:dyDescent="0.3">
      <c r="A165" s="2257"/>
      <c r="B165" s="2259"/>
      <c r="C165" s="2259"/>
      <c r="D165" s="2259"/>
      <c r="E165" s="2259"/>
      <c r="F165" s="2261"/>
      <c r="G165" s="2259"/>
      <c r="H165" s="2259"/>
      <c r="I165" s="310" t="s">
        <v>500</v>
      </c>
      <c r="J165" s="310" t="s">
        <v>501</v>
      </c>
      <c r="K165" s="310" t="s">
        <v>502</v>
      </c>
      <c r="L165" s="310" t="s">
        <v>503</v>
      </c>
      <c r="M165" s="311" t="s">
        <v>504</v>
      </c>
      <c r="N165" s="312" t="s">
        <v>505</v>
      </c>
      <c r="O165" s="313" t="s">
        <v>506</v>
      </c>
      <c r="P165" s="312" t="s">
        <v>507</v>
      </c>
      <c r="Q165" s="312" t="s">
        <v>560</v>
      </c>
      <c r="R165" s="314"/>
      <c r="S165" s="315" t="s">
        <v>508</v>
      </c>
      <c r="T165" s="2244"/>
      <c r="U165" s="2245"/>
      <c r="V165" s="2245"/>
      <c r="W165" s="2245"/>
      <c r="X165" s="2246"/>
      <c r="Y165" s="2249"/>
      <c r="Z165" s="2250"/>
      <c r="AB165" s="2249"/>
      <c r="AC165" s="2252"/>
      <c r="AD165" s="2252"/>
      <c r="AE165" s="2252"/>
      <c r="AF165" s="2252"/>
      <c r="AG165" s="2252"/>
      <c r="AH165" s="2252"/>
      <c r="AI165" s="2252"/>
      <c r="AJ165" s="2252"/>
      <c r="AK165" s="2250"/>
    </row>
    <row r="166" spans="1:37" ht="18" x14ac:dyDescent="0.35">
      <c r="A166" s="2253" t="s">
        <v>561</v>
      </c>
      <c r="B166" s="2254"/>
      <c r="C166" s="2254"/>
      <c r="D166" s="2254"/>
      <c r="E166" s="2254"/>
      <c r="F166" s="2254"/>
      <c r="G166" s="2254"/>
      <c r="H166" s="2254"/>
      <c r="I166" s="2254"/>
      <c r="J166" s="2254"/>
      <c r="K166" s="2254"/>
      <c r="L166" s="2254"/>
      <c r="M166" s="2254"/>
      <c r="N166" s="2254"/>
      <c r="O166" s="2254"/>
      <c r="P166" s="2254"/>
      <c r="Q166" s="2254"/>
      <c r="R166" s="2255"/>
      <c r="S166" s="362"/>
      <c r="T166" s="363" t="s">
        <v>510</v>
      </c>
      <c r="U166" s="275" t="s">
        <v>11</v>
      </c>
      <c r="V166" s="275" t="s">
        <v>511</v>
      </c>
      <c r="W166" s="275" t="s">
        <v>512</v>
      </c>
      <c r="X166" s="276" t="s">
        <v>513</v>
      </c>
      <c r="Y166" s="277" t="s">
        <v>514</v>
      </c>
      <c r="Z166" s="276" t="s">
        <v>515</v>
      </c>
      <c r="AB166" s="277" t="s">
        <v>1</v>
      </c>
      <c r="AC166" s="275" t="s">
        <v>12</v>
      </c>
      <c r="AD166" s="275" t="s">
        <v>13</v>
      </c>
      <c r="AE166" s="275" t="s">
        <v>14</v>
      </c>
      <c r="AF166" s="275" t="s">
        <v>15</v>
      </c>
      <c r="AG166" s="275" t="s">
        <v>16</v>
      </c>
      <c r="AH166" s="275" t="s">
        <v>17</v>
      </c>
      <c r="AI166" s="275" t="s">
        <v>18</v>
      </c>
      <c r="AJ166" s="133" t="s">
        <v>19</v>
      </c>
      <c r="AK166" s="136" t="s">
        <v>5</v>
      </c>
    </row>
    <row r="167" spans="1:37" x14ac:dyDescent="0.3">
      <c r="A167" s="151"/>
      <c r="B167" s="157"/>
      <c r="C167" s="157"/>
      <c r="D167" s="157"/>
      <c r="E167" s="157"/>
      <c r="F167" s="158"/>
      <c r="G167" s="157"/>
      <c r="H167" s="157"/>
      <c r="M167" s="157"/>
      <c r="N167" s="166"/>
      <c r="O167" s="173"/>
      <c r="P167" s="166"/>
      <c r="Q167" s="166"/>
      <c r="R167" s="364"/>
      <c r="S167" s="149"/>
      <c r="T167" s="150"/>
      <c r="X167" s="152"/>
      <c r="Y167" s="280"/>
      <c r="Z167" s="152"/>
      <c r="AB167" s="153"/>
      <c r="AC167" s="154"/>
      <c r="AD167" s="154"/>
      <c r="AE167" s="154"/>
      <c r="AF167" s="154"/>
      <c r="AG167" s="154"/>
      <c r="AH167" s="154"/>
      <c r="AI167" s="154"/>
      <c r="AJ167" s="154"/>
      <c r="AK167" s="155"/>
    </row>
    <row r="168" spans="1:37" x14ac:dyDescent="0.3">
      <c r="A168" s="156" t="s">
        <v>516</v>
      </c>
      <c r="B168" s="157" t="s">
        <v>23</v>
      </c>
      <c r="C168" s="157" t="s">
        <v>517</v>
      </c>
      <c r="D168" s="157" t="s">
        <v>21</v>
      </c>
      <c r="E168" s="157" t="s">
        <v>518</v>
      </c>
      <c r="F168" s="158" t="s">
        <v>519</v>
      </c>
      <c r="G168" s="157">
        <v>1</v>
      </c>
      <c r="H168" s="157" t="s">
        <v>24</v>
      </c>
      <c r="I168" s="159">
        <v>1</v>
      </c>
      <c r="J168" s="161"/>
      <c r="K168" s="161"/>
      <c r="L168" s="2209"/>
      <c r="M168" s="163">
        <v>1</v>
      </c>
      <c r="N168" s="166">
        <v>27024.15</v>
      </c>
      <c r="O168" s="173">
        <v>0.75</v>
      </c>
      <c r="P168" s="166">
        <f>N168*(1-O168)</f>
        <v>6756.0375000000004</v>
      </c>
      <c r="Q168" s="166">
        <f t="shared" ref="Q168:Q182" si="30">P168*M168*G168</f>
        <v>6756.0375000000004</v>
      </c>
      <c r="R168" s="318">
        <f t="shared" ref="R168:R182" si="31">Q168/$Q$189</f>
        <v>2.0505700517439027E-2</v>
      </c>
      <c r="S168" s="168">
        <f t="shared" ref="S168:S182" si="32">Q168</f>
        <v>6756.0375000000004</v>
      </c>
      <c r="T168" s="150">
        <f t="shared" ref="T168:T180" si="33">S168</f>
        <v>6756.0375000000004</v>
      </c>
      <c r="U168" s="169"/>
      <c r="X168" s="152"/>
      <c r="Y168" s="282"/>
      <c r="Z168" s="171">
        <f>S168</f>
        <v>6756.0375000000004</v>
      </c>
      <c r="AB168" s="170"/>
      <c r="AC168" s="174">
        <f>S168</f>
        <v>6756.0375000000004</v>
      </c>
      <c r="AD168" s="172"/>
      <c r="AE168" s="172"/>
      <c r="AF168" s="172"/>
      <c r="AG168" s="172"/>
      <c r="AH168" s="172"/>
      <c r="AI168" s="172"/>
      <c r="AJ168" s="172"/>
      <c r="AK168" s="152"/>
    </row>
    <row r="169" spans="1:37" x14ac:dyDescent="0.3">
      <c r="A169" s="156" t="s">
        <v>516</v>
      </c>
      <c r="B169" s="157" t="s">
        <v>25</v>
      </c>
      <c r="C169" s="157" t="s">
        <v>517</v>
      </c>
      <c r="D169" s="157" t="s">
        <v>21</v>
      </c>
      <c r="E169" s="157" t="s">
        <v>518</v>
      </c>
      <c r="F169" s="158" t="s">
        <v>519</v>
      </c>
      <c r="G169" s="157">
        <v>1</v>
      </c>
      <c r="H169" s="157" t="s">
        <v>24</v>
      </c>
      <c r="I169" s="159">
        <v>1</v>
      </c>
      <c r="J169" s="161"/>
      <c r="K169" s="161"/>
      <c r="L169" s="2209"/>
      <c r="M169" s="163">
        <v>1</v>
      </c>
      <c r="N169" s="166">
        <v>7000</v>
      </c>
      <c r="O169" s="173">
        <v>0.1</v>
      </c>
      <c r="P169" s="166">
        <f t="shared" ref="P169:P182" si="34">N169*(1-O169)</f>
        <v>6300</v>
      </c>
      <c r="Q169" s="166">
        <f t="shared" si="30"/>
        <v>6300</v>
      </c>
      <c r="R169" s="318">
        <f t="shared" si="31"/>
        <v>1.9121550651527004E-2</v>
      </c>
      <c r="S169" s="168">
        <f t="shared" si="32"/>
        <v>6300</v>
      </c>
      <c r="T169" s="150">
        <f t="shared" si="33"/>
        <v>6300</v>
      </c>
      <c r="U169" s="169"/>
      <c r="X169" s="152"/>
      <c r="Y169" s="282"/>
      <c r="Z169" s="171">
        <f>S169</f>
        <v>6300</v>
      </c>
      <c r="AB169" s="151"/>
      <c r="AC169" s="174"/>
      <c r="AD169" s="174">
        <f>S169</f>
        <v>6300</v>
      </c>
      <c r="AE169" s="172"/>
      <c r="AF169" s="172"/>
      <c r="AG169" s="172"/>
      <c r="AH169" s="172"/>
      <c r="AI169" s="172"/>
      <c r="AJ169" s="172"/>
      <c r="AK169" s="152"/>
    </row>
    <row r="170" spans="1:37" x14ac:dyDescent="0.3">
      <c r="A170" s="156" t="s">
        <v>516</v>
      </c>
      <c r="B170" s="157" t="s">
        <v>25</v>
      </c>
      <c r="C170" s="157" t="s">
        <v>517</v>
      </c>
      <c r="D170" s="157" t="s">
        <v>26</v>
      </c>
      <c r="E170" s="157" t="s">
        <v>520</v>
      </c>
      <c r="F170" s="158" t="s">
        <v>521</v>
      </c>
      <c r="G170" s="157">
        <v>1</v>
      </c>
      <c r="H170" s="157" t="s">
        <v>24</v>
      </c>
      <c r="I170" s="175">
        <v>1</v>
      </c>
      <c r="J170" s="176"/>
      <c r="K170" s="176"/>
      <c r="L170" s="177"/>
      <c r="M170" s="163">
        <v>1</v>
      </c>
      <c r="N170" s="166">
        <v>7500</v>
      </c>
      <c r="O170" s="173">
        <v>0.1</v>
      </c>
      <c r="P170" s="166">
        <f t="shared" si="34"/>
        <v>6750</v>
      </c>
      <c r="Q170" s="166">
        <f t="shared" si="30"/>
        <v>6750</v>
      </c>
      <c r="R170" s="320">
        <f t="shared" si="31"/>
        <v>2.0487375698064646E-2</v>
      </c>
      <c r="S170" s="168">
        <f t="shared" si="32"/>
        <v>6750</v>
      </c>
      <c r="T170" s="150">
        <f t="shared" si="33"/>
        <v>6750</v>
      </c>
      <c r="X170" s="152"/>
      <c r="Y170" s="282">
        <f>S170</f>
        <v>6750</v>
      </c>
      <c r="Z170" s="171"/>
      <c r="AB170" s="151"/>
      <c r="AC170" s="172"/>
      <c r="AD170" s="174">
        <f>S170</f>
        <v>6750</v>
      </c>
      <c r="AE170" s="172"/>
      <c r="AF170" s="172"/>
      <c r="AG170" s="172"/>
      <c r="AH170" s="172"/>
      <c r="AI170" s="172"/>
      <c r="AJ170" s="172"/>
      <c r="AK170" s="152"/>
    </row>
    <row r="171" spans="1:37" x14ac:dyDescent="0.3">
      <c r="A171" s="156" t="s">
        <v>516</v>
      </c>
      <c r="B171" s="157" t="s">
        <v>25</v>
      </c>
      <c r="C171" s="157" t="s">
        <v>517</v>
      </c>
      <c r="D171" s="157" t="s">
        <v>27</v>
      </c>
      <c r="E171" s="157" t="s">
        <v>520</v>
      </c>
      <c r="F171" s="158" t="s">
        <v>522</v>
      </c>
      <c r="G171" s="157">
        <v>25</v>
      </c>
      <c r="H171" s="157" t="s">
        <v>24</v>
      </c>
      <c r="I171" s="175">
        <v>25</v>
      </c>
      <c r="J171" s="176"/>
      <c r="K171" s="179"/>
      <c r="L171" s="180"/>
      <c r="M171" s="163">
        <v>1</v>
      </c>
      <c r="N171" s="166">
        <v>2650</v>
      </c>
      <c r="O171" s="173">
        <v>0.1</v>
      </c>
      <c r="P171" s="166">
        <f t="shared" si="34"/>
        <v>2385</v>
      </c>
      <c r="Q171" s="166">
        <f t="shared" si="30"/>
        <v>59625</v>
      </c>
      <c r="R171" s="320">
        <f t="shared" si="31"/>
        <v>0.18097181866623768</v>
      </c>
      <c r="S171" s="168">
        <f t="shared" si="32"/>
        <v>59625</v>
      </c>
      <c r="T171" s="150">
        <f t="shared" si="33"/>
        <v>59625</v>
      </c>
      <c r="V171" s="169"/>
      <c r="X171" s="152"/>
      <c r="Y171" s="283">
        <f>S171</f>
        <v>59625</v>
      </c>
      <c r="Z171" s="171"/>
      <c r="AB171" s="151"/>
      <c r="AC171" s="172"/>
      <c r="AD171" s="174">
        <f>S171</f>
        <v>59625</v>
      </c>
      <c r="AE171" s="172"/>
      <c r="AF171" s="172"/>
      <c r="AG171" s="172"/>
      <c r="AH171" s="172"/>
      <c r="AI171" s="172"/>
      <c r="AJ171" s="172"/>
      <c r="AK171" s="152"/>
    </row>
    <row r="172" spans="1:37" x14ac:dyDescent="0.3">
      <c r="A172" s="156" t="s">
        <v>516</v>
      </c>
      <c r="B172" s="157" t="s">
        <v>28</v>
      </c>
      <c r="C172" s="157" t="s">
        <v>517</v>
      </c>
      <c r="D172" s="157" t="s">
        <v>21</v>
      </c>
      <c r="E172" s="157" t="s">
        <v>518</v>
      </c>
      <c r="F172" s="158" t="s">
        <v>519</v>
      </c>
      <c r="G172" s="157">
        <v>2</v>
      </c>
      <c r="H172" s="157" t="s">
        <v>24</v>
      </c>
      <c r="I172" s="159">
        <v>2</v>
      </c>
      <c r="J172" s="161"/>
      <c r="K172" s="161"/>
      <c r="L172" s="2209"/>
      <c r="M172" s="163">
        <v>1</v>
      </c>
      <c r="N172" s="166">
        <v>5593</v>
      </c>
      <c r="O172" s="173">
        <v>0.25</v>
      </c>
      <c r="P172" s="166">
        <f t="shared" si="34"/>
        <v>4194.75</v>
      </c>
      <c r="Q172" s="166">
        <f t="shared" si="30"/>
        <v>8389.5</v>
      </c>
      <c r="R172" s="318">
        <f t="shared" si="31"/>
        <v>2.5463531617616792E-2</v>
      </c>
      <c r="S172" s="168">
        <f t="shared" si="32"/>
        <v>8389.5</v>
      </c>
      <c r="T172" s="150">
        <f t="shared" si="33"/>
        <v>8389.5</v>
      </c>
      <c r="X172" s="152"/>
      <c r="Y172" s="282"/>
      <c r="Z172" s="171">
        <f>S172</f>
        <v>8389.5</v>
      </c>
      <c r="AB172" s="151"/>
      <c r="AC172" s="172"/>
      <c r="AD172" s="174"/>
      <c r="AE172" s="174">
        <f>S172</f>
        <v>8389.5</v>
      </c>
      <c r="AF172" s="172"/>
      <c r="AG172" s="172"/>
      <c r="AH172" s="172"/>
      <c r="AI172" s="172"/>
      <c r="AJ172" s="172"/>
      <c r="AK172" s="152"/>
    </row>
    <row r="173" spans="1:37" x14ac:dyDescent="0.3">
      <c r="A173" s="156" t="s">
        <v>516</v>
      </c>
      <c r="B173" s="157" t="s">
        <v>28</v>
      </c>
      <c r="C173" s="157" t="s">
        <v>517</v>
      </c>
      <c r="D173" s="157" t="s">
        <v>26</v>
      </c>
      <c r="E173" s="157" t="s">
        <v>520</v>
      </c>
      <c r="F173" s="158" t="s">
        <v>521</v>
      </c>
      <c r="G173" s="157">
        <v>2</v>
      </c>
      <c r="H173" s="157" t="s">
        <v>24</v>
      </c>
      <c r="I173" s="182">
        <v>2</v>
      </c>
      <c r="J173" s="183"/>
      <c r="K173" s="183"/>
      <c r="L173" s="2239"/>
      <c r="M173" s="163">
        <v>1</v>
      </c>
      <c r="N173" s="166">
        <f>(10000+6680)/2</f>
        <v>8340</v>
      </c>
      <c r="O173" s="173">
        <v>0.3</v>
      </c>
      <c r="P173" s="166">
        <f t="shared" si="34"/>
        <v>5838</v>
      </c>
      <c r="Q173" s="166">
        <f t="shared" si="30"/>
        <v>11676</v>
      </c>
      <c r="R173" s="320">
        <f t="shared" si="31"/>
        <v>3.5438607207496711E-2</v>
      </c>
      <c r="S173" s="168">
        <f t="shared" si="32"/>
        <v>11676</v>
      </c>
      <c r="T173" s="150">
        <f t="shared" si="33"/>
        <v>11676</v>
      </c>
      <c r="X173" s="152"/>
      <c r="Y173" s="282">
        <f>S173</f>
        <v>11676</v>
      </c>
      <c r="Z173" s="171"/>
      <c r="AB173" s="151"/>
      <c r="AC173" s="172"/>
      <c r="AD173" s="172"/>
      <c r="AE173" s="174">
        <f>S173</f>
        <v>11676</v>
      </c>
      <c r="AF173" s="172"/>
      <c r="AG173" s="172"/>
      <c r="AH173" s="172"/>
      <c r="AI173" s="172"/>
      <c r="AJ173" s="172"/>
      <c r="AK173" s="152"/>
    </row>
    <row r="174" spans="1:37" x14ac:dyDescent="0.3">
      <c r="A174" s="156" t="s">
        <v>516</v>
      </c>
      <c r="B174" s="157" t="s">
        <v>30</v>
      </c>
      <c r="C174" s="157" t="s">
        <v>517</v>
      </c>
      <c r="D174" s="157" t="s">
        <v>21</v>
      </c>
      <c r="E174" s="157" t="s">
        <v>518</v>
      </c>
      <c r="F174" s="158" t="s">
        <v>519</v>
      </c>
      <c r="G174" s="157">
        <v>1</v>
      </c>
      <c r="H174" s="157" t="s">
        <v>24</v>
      </c>
      <c r="I174" s="159">
        <v>1</v>
      </c>
      <c r="J174" s="161"/>
      <c r="K174" s="161"/>
      <c r="L174" s="2209"/>
      <c r="M174" s="157">
        <v>1</v>
      </c>
      <c r="N174" s="166">
        <v>2362</v>
      </c>
      <c r="O174" s="173">
        <v>0.2</v>
      </c>
      <c r="P174" s="166">
        <f t="shared" si="34"/>
        <v>1889.6000000000001</v>
      </c>
      <c r="Q174" s="166">
        <f t="shared" si="30"/>
        <v>1889.6000000000001</v>
      </c>
      <c r="R174" s="318">
        <f t="shared" si="31"/>
        <v>5.7352511287500673E-3</v>
      </c>
      <c r="S174" s="168">
        <f t="shared" si="32"/>
        <v>1889.6000000000001</v>
      </c>
      <c r="T174" s="150">
        <f t="shared" si="33"/>
        <v>1889.6000000000001</v>
      </c>
      <c r="X174" s="152"/>
      <c r="Y174" s="280"/>
      <c r="Z174" s="171">
        <f>S174</f>
        <v>1889.6000000000001</v>
      </c>
      <c r="AB174" s="151"/>
      <c r="AC174" s="172"/>
      <c r="AD174" s="172"/>
      <c r="AE174" s="174"/>
      <c r="AF174" s="174">
        <f>S174</f>
        <v>1889.6000000000001</v>
      </c>
      <c r="AG174" s="172"/>
      <c r="AH174" s="172"/>
      <c r="AI174" s="172"/>
      <c r="AJ174" s="172"/>
      <c r="AK174" s="152"/>
    </row>
    <row r="175" spans="1:37" x14ac:dyDescent="0.3">
      <c r="A175" s="156" t="s">
        <v>516</v>
      </c>
      <c r="B175" s="157" t="s">
        <v>30</v>
      </c>
      <c r="C175" s="157" t="s">
        <v>517</v>
      </c>
      <c r="D175" s="157" t="s">
        <v>27</v>
      </c>
      <c r="E175" s="157" t="s">
        <v>524</v>
      </c>
      <c r="F175" s="158" t="s">
        <v>522</v>
      </c>
      <c r="G175" s="157">
        <v>25</v>
      </c>
      <c r="H175" s="157" t="s">
        <v>24</v>
      </c>
      <c r="I175" s="185"/>
      <c r="J175" s="160"/>
      <c r="K175" s="176">
        <v>25</v>
      </c>
      <c r="L175" s="177"/>
      <c r="M175" s="157">
        <v>1</v>
      </c>
      <c r="N175" s="166">
        <v>2650</v>
      </c>
      <c r="O175" s="173">
        <v>0.2</v>
      </c>
      <c r="P175" s="186">
        <f t="shared" si="34"/>
        <v>2120</v>
      </c>
      <c r="Q175" s="166">
        <f t="shared" si="30"/>
        <v>53000</v>
      </c>
      <c r="R175" s="320">
        <f t="shared" si="31"/>
        <v>0.1608638388144335</v>
      </c>
      <c r="S175" s="168">
        <f t="shared" si="32"/>
        <v>53000</v>
      </c>
      <c r="T175" s="150">
        <f t="shared" si="33"/>
        <v>53000</v>
      </c>
      <c r="X175" s="152"/>
      <c r="Y175" s="282">
        <f>S175</f>
        <v>53000</v>
      </c>
      <c r="Z175" s="152"/>
      <c r="AB175" s="151"/>
      <c r="AC175" s="172"/>
      <c r="AD175" s="172"/>
      <c r="AE175" s="174"/>
      <c r="AF175" s="174">
        <f>S175</f>
        <v>53000</v>
      </c>
      <c r="AG175" s="172"/>
      <c r="AH175" s="172"/>
      <c r="AI175" s="172"/>
      <c r="AJ175" s="172"/>
      <c r="AK175" s="152"/>
    </row>
    <row r="176" spans="1:37" x14ac:dyDescent="0.3">
      <c r="A176" s="156" t="s">
        <v>516</v>
      </c>
      <c r="B176" s="157" t="s">
        <v>31</v>
      </c>
      <c r="C176" s="157" t="s">
        <v>525</v>
      </c>
      <c r="D176" s="157" t="s">
        <v>32</v>
      </c>
      <c r="E176" s="157" t="s">
        <v>526</v>
      </c>
      <c r="F176" s="158" t="s">
        <v>527</v>
      </c>
      <c r="G176" s="157">
        <v>5</v>
      </c>
      <c r="H176" s="157" t="s">
        <v>33</v>
      </c>
      <c r="I176" s="284">
        <v>5</v>
      </c>
      <c r="J176" s="285">
        <v>5</v>
      </c>
      <c r="K176" s="285">
        <v>5</v>
      </c>
      <c r="L176" s="161">
        <v>5</v>
      </c>
      <c r="M176" s="157">
        <v>4</v>
      </c>
      <c r="N176" s="166">
        <f>265*8</f>
        <v>2120</v>
      </c>
      <c r="O176" s="173">
        <v>0.4</v>
      </c>
      <c r="P176" s="186">
        <f t="shared" si="34"/>
        <v>1272</v>
      </c>
      <c r="Q176" s="166">
        <f t="shared" si="30"/>
        <v>25440</v>
      </c>
      <c r="R176" s="321">
        <f t="shared" si="31"/>
        <v>7.7214642630928088E-2</v>
      </c>
      <c r="S176" s="168">
        <f t="shared" si="32"/>
        <v>25440</v>
      </c>
      <c r="T176" s="150">
        <f t="shared" si="33"/>
        <v>25440</v>
      </c>
      <c r="X176" s="152"/>
      <c r="Y176" s="283"/>
      <c r="Z176" s="152"/>
      <c r="AB176" s="151"/>
      <c r="AC176" s="172"/>
      <c r="AD176" s="172"/>
      <c r="AE176" s="172"/>
      <c r="AF176" s="174"/>
      <c r="AG176" s="174">
        <f>S176</f>
        <v>25440</v>
      </c>
      <c r="AH176" s="172"/>
      <c r="AI176" s="172"/>
      <c r="AJ176" s="172"/>
      <c r="AK176" s="152"/>
    </row>
    <row r="177" spans="1:37" x14ac:dyDescent="0.3">
      <c r="A177" s="156" t="s">
        <v>516</v>
      </c>
      <c r="B177" s="157" t="s">
        <v>34</v>
      </c>
      <c r="C177" s="157" t="s">
        <v>517</v>
      </c>
      <c r="D177" s="157" t="s">
        <v>21</v>
      </c>
      <c r="E177" s="157" t="s">
        <v>518</v>
      </c>
      <c r="F177" s="158" t="s">
        <v>519</v>
      </c>
      <c r="G177" s="157">
        <v>2</v>
      </c>
      <c r="H177" s="157" t="s">
        <v>24</v>
      </c>
      <c r="I177" s="159">
        <v>2</v>
      </c>
      <c r="J177" s="161"/>
      <c r="K177" s="161"/>
      <c r="L177" s="2209"/>
      <c r="M177" s="157">
        <v>1</v>
      </c>
      <c r="N177" s="166">
        <v>7920</v>
      </c>
      <c r="O177" s="173">
        <v>0.25</v>
      </c>
      <c r="P177" s="186">
        <f t="shared" si="34"/>
        <v>5940</v>
      </c>
      <c r="Q177" s="166">
        <f t="shared" si="30"/>
        <v>11880</v>
      </c>
      <c r="R177" s="318">
        <f t="shared" si="31"/>
        <v>3.6057781228593773E-2</v>
      </c>
      <c r="S177" s="168">
        <f t="shared" si="32"/>
        <v>11880</v>
      </c>
      <c r="T177" s="150">
        <f t="shared" si="33"/>
        <v>11880</v>
      </c>
      <c r="X177" s="152"/>
      <c r="Y177" s="280"/>
      <c r="Z177" s="171">
        <f t="shared" ref="Z177:Z178" si="35">S177</f>
        <v>11880</v>
      </c>
      <c r="AB177" s="151"/>
      <c r="AC177" s="172"/>
      <c r="AD177" s="172"/>
      <c r="AE177" s="172"/>
      <c r="AF177" s="174"/>
      <c r="AG177" s="174"/>
      <c r="AH177" s="174">
        <f>S177</f>
        <v>11880</v>
      </c>
      <c r="AI177" s="172"/>
      <c r="AJ177" s="172"/>
      <c r="AK177" s="152"/>
    </row>
    <row r="178" spans="1:37" x14ac:dyDescent="0.3">
      <c r="A178" s="156" t="s">
        <v>516</v>
      </c>
      <c r="B178" s="157" t="s">
        <v>35</v>
      </c>
      <c r="C178" s="157" t="s">
        <v>517</v>
      </c>
      <c r="D178" s="157" t="s">
        <v>21</v>
      </c>
      <c r="E178" s="157" t="s">
        <v>518</v>
      </c>
      <c r="F178" s="158" t="s">
        <v>519</v>
      </c>
      <c r="G178" s="157">
        <v>3</v>
      </c>
      <c r="H178" s="157" t="s">
        <v>24</v>
      </c>
      <c r="I178" s="159">
        <v>3</v>
      </c>
      <c r="J178" s="161"/>
      <c r="K178" s="161"/>
      <c r="L178" s="2209"/>
      <c r="M178" s="157">
        <v>1</v>
      </c>
      <c r="N178" s="166">
        <v>18500</v>
      </c>
      <c r="O178" s="173">
        <v>0.6</v>
      </c>
      <c r="P178" s="186">
        <f t="shared" si="34"/>
        <v>7400</v>
      </c>
      <c r="Q178" s="166">
        <f t="shared" si="30"/>
        <v>22200</v>
      </c>
      <c r="R178" s="318">
        <f t="shared" si="31"/>
        <v>6.7380702295857048E-2</v>
      </c>
      <c r="S178" s="168">
        <f t="shared" si="32"/>
        <v>22200</v>
      </c>
      <c r="T178" s="150">
        <f t="shared" si="33"/>
        <v>22200</v>
      </c>
      <c r="X178" s="152"/>
      <c r="Y178" s="280"/>
      <c r="Z178" s="171">
        <f t="shared" si="35"/>
        <v>22200</v>
      </c>
      <c r="AB178" s="151"/>
      <c r="AC178" s="172"/>
      <c r="AD178" s="172"/>
      <c r="AE178" s="172"/>
      <c r="AF178" s="172"/>
      <c r="AG178" s="174"/>
      <c r="AH178" s="174"/>
      <c r="AI178" s="174">
        <f>S178</f>
        <v>22200</v>
      </c>
      <c r="AJ178" s="172"/>
      <c r="AK178" s="152"/>
    </row>
    <row r="179" spans="1:37" x14ac:dyDescent="0.3">
      <c r="A179" s="156" t="s">
        <v>516</v>
      </c>
      <c r="B179" s="157" t="s">
        <v>35</v>
      </c>
      <c r="C179" s="157" t="s">
        <v>517</v>
      </c>
      <c r="D179" s="157" t="s">
        <v>26</v>
      </c>
      <c r="E179" s="157" t="s">
        <v>520</v>
      </c>
      <c r="F179" s="158" t="s">
        <v>521</v>
      </c>
      <c r="G179" s="157">
        <v>3</v>
      </c>
      <c r="H179" s="157" t="s">
        <v>24</v>
      </c>
      <c r="I179" s="159">
        <v>3</v>
      </c>
      <c r="J179" s="161"/>
      <c r="K179" s="161"/>
      <c r="L179" s="2209"/>
      <c r="M179" s="157">
        <v>1</v>
      </c>
      <c r="N179" s="166">
        <v>20500</v>
      </c>
      <c r="O179" s="173">
        <v>0.57999999999999996</v>
      </c>
      <c r="P179" s="186">
        <f t="shared" si="34"/>
        <v>8610</v>
      </c>
      <c r="Q179" s="166">
        <f t="shared" si="30"/>
        <v>25830</v>
      </c>
      <c r="R179" s="320">
        <f t="shared" si="31"/>
        <v>7.8398357671260702E-2</v>
      </c>
      <c r="S179" s="168">
        <f t="shared" si="32"/>
        <v>25830</v>
      </c>
      <c r="T179" s="150">
        <f t="shared" si="33"/>
        <v>25830</v>
      </c>
      <c r="X179" s="152"/>
      <c r="Y179" s="282">
        <f>S179</f>
        <v>25830</v>
      </c>
      <c r="Z179" s="152"/>
      <c r="AB179" s="151"/>
      <c r="AC179" s="172"/>
      <c r="AD179" s="172"/>
      <c r="AE179" s="172"/>
      <c r="AF179" s="172"/>
      <c r="AG179" s="172"/>
      <c r="AH179" s="174"/>
      <c r="AI179" s="174">
        <f>S179</f>
        <v>25830</v>
      </c>
      <c r="AJ179" s="172"/>
      <c r="AK179" s="152"/>
    </row>
    <row r="180" spans="1:37" x14ac:dyDescent="0.3">
      <c r="A180" s="156" t="s">
        <v>516</v>
      </c>
      <c r="B180" s="157" t="s">
        <v>36</v>
      </c>
      <c r="C180" s="157" t="s">
        <v>517</v>
      </c>
      <c r="D180" s="157" t="s">
        <v>21</v>
      </c>
      <c r="E180" s="157" t="s">
        <v>518</v>
      </c>
      <c r="F180" s="158" t="s">
        <v>519</v>
      </c>
      <c r="G180" s="157">
        <v>1</v>
      </c>
      <c r="H180" s="157" t="s">
        <v>24</v>
      </c>
      <c r="I180" s="159">
        <v>1</v>
      </c>
      <c r="J180" s="161"/>
      <c r="K180" s="161"/>
      <c r="L180" s="2209"/>
      <c r="M180" s="157">
        <v>1</v>
      </c>
      <c r="N180" s="166">
        <v>8125</v>
      </c>
      <c r="O180" s="173">
        <v>0.15</v>
      </c>
      <c r="P180" s="186">
        <f t="shared" si="34"/>
        <v>6906.25</v>
      </c>
      <c r="Q180" s="166">
        <f t="shared" si="30"/>
        <v>6906.25</v>
      </c>
      <c r="R180" s="318">
        <f t="shared" si="31"/>
        <v>2.0961620505890215E-2</v>
      </c>
      <c r="S180" s="168">
        <f t="shared" si="32"/>
        <v>6906.25</v>
      </c>
      <c r="T180" s="150">
        <f t="shared" si="33"/>
        <v>6906.25</v>
      </c>
      <c r="X180" s="152"/>
      <c r="Y180" s="280"/>
      <c r="Z180" s="171">
        <f t="shared" ref="Z180" si="36">S180</f>
        <v>6906.25</v>
      </c>
      <c r="AB180" s="151"/>
      <c r="AC180" s="172"/>
      <c r="AD180" s="172"/>
      <c r="AE180" s="172"/>
      <c r="AF180" s="172"/>
      <c r="AG180" s="172"/>
      <c r="AH180" s="172"/>
      <c r="AI180" s="174"/>
      <c r="AJ180" s="174">
        <f>S180</f>
        <v>6906.25</v>
      </c>
      <c r="AK180" s="152"/>
    </row>
    <row r="181" spans="1:37" x14ac:dyDescent="0.3">
      <c r="A181" s="156" t="s">
        <v>516</v>
      </c>
      <c r="B181" s="157" t="s">
        <v>36</v>
      </c>
      <c r="C181" s="157"/>
      <c r="D181" s="157" t="s">
        <v>39</v>
      </c>
      <c r="E181" s="157" t="s">
        <v>520</v>
      </c>
      <c r="F181" s="158" t="s">
        <v>541</v>
      </c>
      <c r="G181" s="157">
        <v>3</v>
      </c>
      <c r="H181" s="157" t="s">
        <v>40</v>
      </c>
      <c r="I181" s="284">
        <v>3</v>
      </c>
      <c r="J181" s="285">
        <v>3</v>
      </c>
      <c r="K181" s="285">
        <v>3</v>
      </c>
      <c r="L181" s="161">
        <v>3</v>
      </c>
      <c r="M181" s="157">
        <v>4</v>
      </c>
      <c r="N181" s="166">
        <v>1944</v>
      </c>
      <c r="O181" s="173">
        <v>0.15</v>
      </c>
      <c r="P181" s="186">
        <f t="shared" si="34"/>
        <v>1652.3999999999999</v>
      </c>
      <c r="Q181" s="166">
        <f t="shared" si="30"/>
        <v>19828.8</v>
      </c>
      <c r="R181" s="320">
        <f t="shared" si="31"/>
        <v>6.0183714850634701E-2</v>
      </c>
      <c r="S181" s="168">
        <f t="shared" si="32"/>
        <v>19828.8</v>
      </c>
      <c r="T181" s="150"/>
      <c r="V181" s="169">
        <f>S181</f>
        <v>19828.8</v>
      </c>
      <c r="X181" s="152"/>
      <c r="Y181" s="282">
        <f>S181</f>
        <v>19828.8</v>
      </c>
      <c r="Z181" s="152"/>
      <c r="AB181" s="151"/>
      <c r="AC181" s="172"/>
      <c r="AD181" s="172"/>
      <c r="AE181" s="172"/>
      <c r="AF181" s="172"/>
      <c r="AG181" s="172"/>
      <c r="AH181" s="172"/>
      <c r="AI181" s="174"/>
      <c r="AJ181" s="174">
        <f>S181</f>
        <v>19828.8</v>
      </c>
      <c r="AK181" s="171"/>
    </row>
    <row r="182" spans="1:37" x14ac:dyDescent="0.3">
      <c r="A182" s="156" t="s">
        <v>516</v>
      </c>
      <c r="B182" s="157" t="s">
        <v>41</v>
      </c>
      <c r="C182" s="157" t="s">
        <v>525</v>
      </c>
      <c r="D182" s="157" t="s">
        <v>42</v>
      </c>
      <c r="E182" s="157" t="s">
        <v>520</v>
      </c>
      <c r="F182" s="158" t="s">
        <v>542</v>
      </c>
      <c r="G182" s="157">
        <v>10</v>
      </c>
      <c r="H182" s="157" t="s">
        <v>24</v>
      </c>
      <c r="I182" s="159">
        <v>10</v>
      </c>
      <c r="J182" s="161"/>
      <c r="K182" s="161"/>
      <c r="L182" s="2209"/>
      <c r="M182" s="157">
        <v>1</v>
      </c>
      <c r="N182" s="166">
        <v>1600</v>
      </c>
      <c r="O182" s="173">
        <v>0.5</v>
      </c>
      <c r="P182" s="186">
        <f t="shared" si="34"/>
        <v>800</v>
      </c>
      <c r="Q182" s="166">
        <f t="shared" si="30"/>
        <v>8000</v>
      </c>
      <c r="R182" s="320">
        <f t="shared" si="31"/>
        <v>2.4281334160669209E-2</v>
      </c>
      <c r="S182" s="168">
        <f t="shared" si="32"/>
        <v>8000</v>
      </c>
      <c r="T182" s="150"/>
      <c r="V182" s="169">
        <f>S182</f>
        <v>8000</v>
      </c>
      <c r="X182" s="152"/>
      <c r="Y182" s="282">
        <f>S182</f>
        <v>8000</v>
      </c>
      <c r="Z182" s="152"/>
      <c r="AB182" s="151"/>
      <c r="AC182" s="172"/>
      <c r="AD182" s="172"/>
      <c r="AE182" s="172"/>
      <c r="AF182" s="172"/>
      <c r="AG182" s="172"/>
      <c r="AH182" s="172"/>
      <c r="AI182" s="172"/>
      <c r="AJ182" s="174"/>
      <c r="AK182" s="171">
        <f>S182</f>
        <v>8000</v>
      </c>
    </row>
    <row r="183" spans="1:37" x14ac:dyDescent="0.3">
      <c r="A183" s="151"/>
      <c r="B183" s="157"/>
      <c r="C183" s="157"/>
      <c r="D183" s="157"/>
      <c r="E183" s="157"/>
      <c r="F183" s="158"/>
      <c r="G183" s="157"/>
      <c r="H183" s="157"/>
      <c r="I183" s="188"/>
      <c r="L183" s="286"/>
      <c r="M183" s="157"/>
      <c r="N183" s="166"/>
      <c r="O183" s="173"/>
      <c r="P183" s="186"/>
      <c r="Q183" s="166"/>
      <c r="R183" s="322"/>
      <c r="S183" s="168"/>
      <c r="T183" s="150"/>
      <c r="X183" s="152"/>
      <c r="Y183" s="280"/>
      <c r="Z183" s="152"/>
      <c r="AB183" s="151"/>
      <c r="AC183" s="172"/>
      <c r="AD183" s="172"/>
      <c r="AE183" s="172"/>
      <c r="AF183" s="172"/>
      <c r="AG183" s="172"/>
      <c r="AH183" s="172"/>
      <c r="AI183" s="172"/>
      <c r="AJ183" s="174">
        <f>S183</f>
        <v>0</v>
      </c>
      <c r="AK183" s="171">
        <f>S183</f>
        <v>0</v>
      </c>
    </row>
    <row r="184" spans="1:37" x14ac:dyDescent="0.3">
      <c r="A184" s="151"/>
      <c r="B184" s="157"/>
      <c r="C184" s="157"/>
      <c r="D184" s="157"/>
      <c r="E184" s="157"/>
      <c r="F184" s="158"/>
      <c r="G184" s="157"/>
      <c r="H184" s="157"/>
      <c r="I184" s="188"/>
      <c r="L184" s="286"/>
      <c r="M184" s="157"/>
      <c r="N184" s="166"/>
      <c r="O184" s="173"/>
      <c r="P184" s="186"/>
      <c r="Q184" s="166"/>
      <c r="R184" s="322"/>
      <c r="S184" s="168"/>
      <c r="T184" s="150"/>
      <c r="X184" s="152"/>
      <c r="Y184" s="280"/>
      <c r="Z184" s="152"/>
      <c r="AB184" s="151"/>
      <c r="AC184" s="172"/>
      <c r="AD184" s="172"/>
      <c r="AE184" s="172"/>
      <c r="AF184" s="172"/>
      <c r="AG184" s="172"/>
      <c r="AH184" s="172"/>
      <c r="AI184" s="172"/>
      <c r="AJ184" s="172"/>
      <c r="AK184" s="152"/>
    </row>
    <row r="185" spans="1:37" x14ac:dyDescent="0.3">
      <c r="A185" s="151"/>
      <c r="B185" s="157"/>
      <c r="C185" s="190"/>
      <c r="D185" s="190"/>
      <c r="E185" s="190"/>
      <c r="F185" s="191"/>
      <c r="G185" s="190"/>
      <c r="H185" s="190"/>
      <c r="I185" s="243"/>
      <c r="J185" s="245"/>
      <c r="K185" s="245"/>
      <c r="L185" s="287"/>
      <c r="M185" s="190"/>
      <c r="N185" s="194"/>
      <c r="O185" s="195"/>
      <c r="P185" s="288"/>
      <c r="Q185" s="194"/>
      <c r="R185" s="322"/>
      <c r="S185" s="168"/>
      <c r="T185" s="150"/>
      <c r="X185" s="152"/>
      <c r="Y185" s="280"/>
      <c r="Z185" s="152"/>
      <c r="AB185" s="151"/>
      <c r="AC185" s="172"/>
      <c r="AD185" s="172"/>
      <c r="AE185" s="172"/>
      <c r="AF185" s="172"/>
      <c r="AG185" s="172"/>
      <c r="AH185" s="172"/>
      <c r="AI185" s="172"/>
      <c r="AJ185" s="172"/>
      <c r="AK185" s="152"/>
    </row>
    <row r="186" spans="1:37" x14ac:dyDescent="0.3">
      <c r="A186" s="365" t="s">
        <v>516</v>
      </c>
      <c r="B186" s="108" t="s">
        <v>528</v>
      </c>
      <c r="C186" s="192"/>
      <c r="D186" s="193"/>
      <c r="E186" s="193"/>
      <c r="F186" s="244"/>
      <c r="G186" s="193"/>
      <c r="H186" s="193"/>
      <c r="I186" s="252"/>
      <c r="J186" s="252"/>
      <c r="K186" s="252"/>
      <c r="L186" s="252"/>
      <c r="M186" s="193"/>
      <c r="N186" s="246"/>
      <c r="O186" s="196"/>
      <c r="P186" s="186"/>
      <c r="Q186" s="166">
        <f>P186*M186*G186</f>
        <v>0</v>
      </c>
      <c r="R186" s="366">
        <f>Q186/Q189</f>
        <v>0</v>
      </c>
      <c r="S186" s="168">
        <f>Q186</f>
        <v>0</v>
      </c>
      <c r="T186" s="150"/>
      <c r="W186" s="169"/>
      <c r="X186" s="152"/>
      <c r="Y186" s="280"/>
      <c r="Z186" s="171">
        <f>W186</f>
        <v>0</v>
      </c>
      <c r="AB186" s="151"/>
      <c r="AC186" s="172"/>
      <c r="AD186" s="172"/>
      <c r="AE186" s="172"/>
      <c r="AF186" s="172"/>
      <c r="AG186" s="172"/>
      <c r="AH186" s="172"/>
      <c r="AI186" s="172"/>
      <c r="AJ186" s="172"/>
      <c r="AK186" s="152"/>
    </row>
    <row r="187" spans="1:37" x14ac:dyDescent="0.3">
      <c r="A187" s="365" t="s">
        <v>516</v>
      </c>
      <c r="B187" s="108" t="s">
        <v>529</v>
      </c>
      <c r="C187" s="289"/>
      <c r="D187" s="252" t="s">
        <v>530</v>
      </c>
      <c r="E187" s="252"/>
      <c r="F187" s="253"/>
      <c r="G187" s="252"/>
      <c r="H187" s="252"/>
      <c r="I187" s="254"/>
      <c r="J187" s="254"/>
      <c r="K187" s="254"/>
      <c r="L187" s="254"/>
      <c r="M187" s="252"/>
      <c r="N187" s="255"/>
      <c r="O187" s="256"/>
      <c r="P187" s="290"/>
      <c r="Q187" s="257">
        <v>55000</v>
      </c>
      <c r="R187" s="367">
        <f>Q187/Q189</f>
        <v>0.16693417235460081</v>
      </c>
      <c r="S187" s="168">
        <f>Q187</f>
        <v>55000</v>
      </c>
      <c r="T187" s="150"/>
      <c r="X187" s="171">
        <f>S187</f>
        <v>55000</v>
      </c>
      <c r="Y187" s="280"/>
      <c r="Z187" s="152"/>
      <c r="AB187" s="151"/>
      <c r="AC187" s="172"/>
      <c r="AD187" s="172"/>
      <c r="AE187" s="172"/>
      <c r="AF187" s="172"/>
      <c r="AG187" s="172"/>
      <c r="AH187" s="172"/>
      <c r="AI187" s="172"/>
      <c r="AJ187" s="172"/>
      <c r="AK187" s="152"/>
    </row>
    <row r="188" spans="1:37" x14ac:dyDescent="0.3">
      <c r="A188" s="368"/>
      <c r="B188" s="369"/>
      <c r="C188" s="369"/>
      <c r="D188" s="369"/>
      <c r="E188" s="369"/>
      <c r="F188" s="370"/>
      <c r="G188" s="369"/>
      <c r="H188" s="369"/>
      <c r="I188" s="2184">
        <f>I189/M189</f>
        <v>0.55045871559633031</v>
      </c>
      <c r="J188" s="2184">
        <f>J189/M189</f>
        <v>7.3394495412844041E-2</v>
      </c>
      <c r="K188" s="2184">
        <f>K189/M189</f>
        <v>0.30275229357798167</v>
      </c>
      <c r="L188" s="2184">
        <f>L189/M189</f>
        <v>7.3394495412844041E-2</v>
      </c>
      <c r="M188" s="369"/>
      <c r="N188" s="371"/>
      <c r="O188" s="372"/>
      <c r="P188" s="371"/>
      <c r="Q188" s="371"/>
      <c r="R188" s="261"/>
      <c r="S188" s="325"/>
      <c r="T188" s="150"/>
      <c r="X188" s="152"/>
      <c r="Y188" s="280"/>
      <c r="Z188" s="152"/>
      <c r="AB188" s="151"/>
      <c r="AC188" s="172"/>
      <c r="AD188" s="172"/>
      <c r="AE188" s="172"/>
      <c r="AF188" s="172"/>
      <c r="AG188" s="172"/>
      <c r="AH188" s="172"/>
      <c r="AI188" s="172"/>
      <c r="AJ188" s="172"/>
      <c r="AK188" s="152"/>
    </row>
    <row r="189" spans="1:37" x14ac:dyDescent="0.3">
      <c r="A189" s="326" t="s">
        <v>531</v>
      </c>
      <c r="B189" s="327"/>
      <c r="C189" s="327"/>
      <c r="D189" s="327"/>
      <c r="E189" s="327"/>
      <c r="F189" s="328"/>
      <c r="G189" s="327"/>
      <c r="H189" s="327"/>
      <c r="I189" s="327">
        <f>I177+I176+I174+I173+I172+I171+I170+I169+I168+I178+I180+I179+I181+I182</f>
        <v>60</v>
      </c>
      <c r="J189" s="327">
        <f>J176+J181</f>
        <v>8</v>
      </c>
      <c r="K189" s="327">
        <f>K176+K175+K181</f>
        <v>33</v>
      </c>
      <c r="L189" s="327">
        <f>L176+L181</f>
        <v>8</v>
      </c>
      <c r="M189" s="327">
        <f>SUM(I189:L189)</f>
        <v>109</v>
      </c>
      <c r="N189" s="329"/>
      <c r="O189" s="330"/>
      <c r="P189" s="329"/>
      <c r="Q189" s="331">
        <f>SUM(Q167:Q188)</f>
        <v>329471.1875</v>
      </c>
      <c r="R189" s="330">
        <f>SUM(R167:R187)</f>
        <v>1</v>
      </c>
      <c r="S189" s="333">
        <f>SUM(S167:S188)</f>
        <v>329471.1875</v>
      </c>
      <c r="T189" s="334">
        <f t="shared" ref="T189:Z189" si="37">SUM(T167:T187)</f>
        <v>246642.38750000001</v>
      </c>
      <c r="U189" s="335">
        <f t="shared" si="37"/>
        <v>0</v>
      </c>
      <c r="V189" s="335">
        <f t="shared" si="37"/>
        <v>27828.799999999999</v>
      </c>
      <c r="W189" s="335">
        <f t="shared" si="37"/>
        <v>0</v>
      </c>
      <c r="X189" s="337">
        <f t="shared" si="37"/>
        <v>55000</v>
      </c>
      <c r="Y189" s="336">
        <f t="shared" si="37"/>
        <v>184709.8</v>
      </c>
      <c r="Z189" s="337">
        <f t="shared" si="37"/>
        <v>64321.387499999997</v>
      </c>
      <c r="AA189" s="338"/>
      <c r="AB189" s="339">
        <f t="shared" ref="AB189:AK189" si="38">SUM(AB166:AB188)</f>
        <v>0</v>
      </c>
      <c r="AC189" s="340">
        <f t="shared" si="38"/>
        <v>6756.0375000000004</v>
      </c>
      <c r="AD189" s="340">
        <f t="shared" si="38"/>
        <v>72675</v>
      </c>
      <c r="AE189" s="340">
        <f t="shared" si="38"/>
        <v>20065.5</v>
      </c>
      <c r="AF189" s="340">
        <f t="shared" si="38"/>
        <v>54889.599999999999</v>
      </c>
      <c r="AG189" s="340">
        <f t="shared" si="38"/>
        <v>25440</v>
      </c>
      <c r="AH189" s="340">
        <f t="shared" si="38"/>
        <v>11880</v>
      </c>
      <c r="AI189" s="340">
        <f t="shared" si="38"/>
        <v>48030</v>
      </c>
      <c r="AJ189" s="340">
        <f t="shared" si="38"/>
        <v>26735.05</v>
      </c>
      <c r="AK189" s="341">
        <f t="shared" si="38"/>
        <v>8000</v>
      </c>
    </row>
    <row r="190" spans="1:37" x14ac:dyDescent="0.3">
      <c r="A190" s="342" t="s">
        <v>532</v>
      </c>
      <c r="B190" s="343"/>
      <c r="C190" s="343"/>
      <c r="D190" s="343"/>
      <c r="E190" s="343"/>
      <c r="F190" s="344"/>
      <c r="G190" s="343"/>
      <c r="H190" s="343"/>
      <c r="I190" s="343">
        <f>I174+I173+I171+I170+I169+I168+I176+I177+I172+I178+I179+I180+I181+I182</f>
        <v>60</v>
      </c>
      <c r="J190" s="343">
        <f>I177+J176+I174+I173+I172+I171+I170+I169+I168+I178+I179+I180+I181+J181+I182</f>
        <v>63</v>
      </c>
      <c r="K190" s="343">
        <f>I177+K176+K175+I174+I173+I172+I170+I169+I168+I178+I179+I180+I181+I182+K181</f>
        <v>63</v>
      </c>
      <c r="L190" s="343">
        <f>I177+L176+K175+I174+I173+I172+I170+I169+I168+I178+I179+I180+L181+I182</f>
        <v>60</v>
      </c>
      <c r="M190" s="343">
        <f>SUM(I190:L190)</f>
        <v>246</v>
      </c>
      <c r="N190" s="345"/>
      <c r="O190" s="346"/>
      <c r="P190" s="345"/>
      <c r="Q190" s="345"/>
      <c r="R190" s="346"/>
      <c r="S190" s="348"/>
      <c r="T190" s="349">
        <f>T189/S189</f>
        <v>0.74860077863409535</v>
      </c>
      <c r="U190" s="350">
        <f>U189/S189</f>
        <v>0</v>
      </c>
      <c r="V190" s="350">
        <f>V189/S189</f>
        <v>8.4465049011303903E-2</v>
      </c>
      <c r="W190" s="350">
        <f>W189/S189</f>
        <v>0</v>
      </c>
      <c r="X190" s="352">
        <f>X189/S189</f>
        <v>0.16693417235460081</v>
      </c>
      <c r="Y190" s="351">
        <f>Y189/S189</f>
        <v>0.56062504706879712</v>
      </c>
      <c r="Z190" s="352">
        <f>Z189/S189</f>
        <v>0.19522613794567392</v>
      </c>
      <c r="AA190" s="353">
        <f>Y191+Z191</f>
        <v>89</v>
      </c>
      <c r="AB190" s="354"/>
      <c r="AC190" s="355"/>
      <c r="AD190" s="355"/>
      <c r="AE190" s="355"/>
      <c r="AF190" s="355"/>
      <c r="AG190" s="355"/>
      <c r="AH190" s="355"/>
      <c r="AI190" s="355"/>
      <c r="AJ190" s="355"/>
      <c r="AK190" s="356"/>
    </row>
    <row r="191" spans="1:37" x14ac:dyDescent="0.3">
      <c r="A191" s="243" t="s">
        <v>533</v>
      </c>
      <c r="B191" s="193"/>
      <c r="C191" s="193"/>
      <c r="D191" s="193"/>
      <c r="E191" s="193"/>
      <c r="F191" s="244"/>
      <c r="G191" s="193"/>
      <c r="H191" s="193"/>
      <c r="I191" s="2182">
        <f>I190/M190</f>
        <v>0.24390243902439024</v>
      </c>
      <c r="J191" s="2182">
        <f>J190/M190</f>
        <v>0.25609756097560976</v>
      </c>
      <c r="K191" s="2182">
        <f>K190/M190</f>
        <v>0.25609756097560976</v>
      </c>
      <c r="L191" s="2182">
        <f>L190/M190</f>
        <v>0.24390243902439024</v>
      </c>
      <c r="M191" s="193"/>
      <c r="N191" s="246"/>
      <c r="O191" s="196"/>
      <c r="P191" s="246"/>
      <c r="Q191" s="194">
        <f>T189</f>
        <v>246642.38750000001</v>
      </c>
      <c r="R191" s="247">
        <f>Q191/Q196</f>
        <v>0.74860077863409535</v>
      </c>
      <c r="X191" s="248"/>
      <c r="Y191" s="357">
        <f>I170+I171+I173+K175+I179+I181+J181+K181+L181+I182</f>
        <v>78</v>
      </c>
      <c r="Z191" s="358">
        <f>I168+I169+I172+I174+I177+I178+I180</f>
        <v>11</v>
      </c>
      <c r="AA191" s="4" t="s">
        <v>534</v>
      </c>
    </row>
    <row r="192" spans="1:37" x14ac:dyDescent="0.3">
      <c r="A192" s="251" t="s">
        <v>11</v>
      </c>
      <c r="B192" s="252"/>
      <c r="C192" s="252"/>
      <c r="D192" s="252"/>
      <c r="E192" s="252"/>
      <c r="F192" s="253"/>
      <c r="G192" s="252"/>
      <c r="H192" s="252"/>
      <c r="I192" s="254"/>
      <c r="J192" s="254"/>
      <c r="K192" s="254"/>
      <c r="L192" s="254"/>
      <c r="M192" s="252"/>
      <c r="N192" s="255"/>
      <c r="O192" s="256"/>
      <c r="P192" s="255"/>
      <c r="Q192" s="257">
        <f>U189</f>
        <v>0</v>
      </c>
      <c r="R192" s="256">
        <f>Q192/Q196</f>
        <v>0</v>
      </c>
      <c r="S192" s="359">
        <f>Q189/M189</f>
        <v>3022.6714449541282</v>
      </c>
      <c r="T192" s="360" t="s">
        <v>535</v>
      </c>
      <c r="Y192" s="173">
        <f>Y191/M189</f>
        <v>0.7155963302752294</v>
      </c>
      <c r="Z192" s="361">
        <f>Z191/M189</f>
        <v>0.10091743119266056</v>
      </c>
      <c r="AK192" s="99"/>
    </row>
    <row r="193" spans="1:37" x14ac:dyDescent="0.3">
      <c r="A193" s="251" t="s">
        <v>536</v>
      </c>
      <c r="B193" s="252"/>
      <c r="C193" s="252"/>
      <c r="D193" s="252"/>
      <c r="E193" s="252"/>
      <c r="F193" s="253"/>
      <c r="G193" s="252"/>
      <c r="H193" s="252"/>
      <c r="I193" s="254"/>
      <c r="J193" s="254"/>
      <c r="K193" s="254"/>
      <c r="L193" s="254"/>
      <c r="M193" s="252"/>
      <c r="N193" s="255"/>
      <c r="O193" s="256"/>
      <c r="P193" s="255"/>
      <c r="Q193" s="257">
        <f>V189</f>
        <v>27828.799999999999</v>
      </c>
      <c r="R193" s="262">
        <f>Q193/Q196</f>
        <v>8.4465049011303903E-2</v>
      </c>
      <c r="U193" s="263"/>
      <c r="W193" s="99"/>
      <c r="Y193" s="2210" t="s">
        <v>537</v>
      </c>
      <c r="Z193" s="2210"/>
      <c r="AK193" s="303"/>
    </row>
    <row r="194" spans="1:37" x14ac:dyDescent="0.3">
      <c r="A194" s="251" t="s">
        <v>529</v>
      </c>
      <c r="B194" s="252"/>
      <c r="C194" s="252"/>
      <c r="D194" s="252"/>
      <c r="E194" s="252"/>
      <c r="F194" s="253"/>
      <c r="G194" s="252"/>
      <c r="H194" s="252"/>
      <c r="I194" s="254"/>
      <c r="J194" s="254"/>
      <c r="K194" s="254"/>
      <c r="L194" s="254"/>
      <c r="M194" s="252"/>
      <c r="N194" s="255"/>
      <c r="O194" s="256"/>
      <c r="P194" s="255"/>
      <c r="Q194" s="257">
        <f>X189</f>
        <v>55000</v>
      </c>
      <c r="R194" s="262">
        <f>Q194/Q196</f>
        <v>0.16693417235460081</v>
      </c>
      <c r="U194" s="263"/>
    </row>
    <row r="195" spans="1:37" x14ac:dyDescent="0.3">
      <c r="A195" s="251" t="s">
        <v>528</v>
      </c>
      <c r="B195" s="252"/>
      <c r="C195" s="252"/>
      <c r="D195" s="252"/>
      <c r="E195" s="252"/>
      <c r="F195" s="253"/>
      <c r="G195" s="252"/>
      <c r="H195" s="252"/>
      <c r="I195" s="254"/>
      <c r="J195" s="254"/>
      <c r="K195" s="254"/>
      <c r="L195" s="254"/>
      <c r="M195" s="252"/>
      <c r="N195" s="255"/>
      <c r="O195" s="256"/>
      <c r="P195" s="255"/>
      <c r="Q195" s="257">
        <f>W189</f>
        <v>0</v>
      </c>
      <c r="R195" s="262">
        <f>Q195/Q196</f>
        <v>0</v>
      </c>
    </row>
    <row r="196" spans="1:37" x14ac:dyDescent="0.3">
      <c r="A196" s="251"/>
      <c r="B196" s="252"/>
      <c r="C196" s="252"/>
      <c r="D196" s="252"/>
      <c r="E196" s="252"/>
      <c r="F196" s="253"/>
      <c r="G196" s="252"/>
      <c r="H196" s="252"/>
      <c r="I196" s="254"/>
      <c r="J196" s="254"/>
      <c r="K196" s="254"/>
      <c r="L196" s="254"/>
      <c r="M196" s="252"/>
      <c r="N196" s="255"/>
      <c r="O196" s="256"/>
      <c r="P196" s="255"/>
      <c r="Q196" s="264">
        <f>SUM(Q191:Q195)</f>
        <v>329471.1875</v>
      </c>
      <c r="R196" s="262">
        <f>SUM(R191:R195)</f>
        <v>1</v>
      </c>
    </row>
    <row r="200" spans="1:37" x14ac:dyDescent="0.3">
      <c r="E200" s="1" t="s">
        <v>562</v>
      </c>
      <c r="F200" s="2" t="s">
        <v>563</v>
      </c>
    </row>
    <row r="201" spans="1:37" x14ac:dyDescent="0.3">
      <c r="E201" s="1" t="s">
        <v>473</v>
      </c>
      <c r="F201" s="2" t="s">
        <v>564</v>
      </c>
    </row>
    <row r="202" spans="1:37" x14ac:dyDescent="0.3">
      <c r="E202" s="1" t="s">
        <v>475</v>
      </c>
      <c r="F202" s="2" t="s">
        <v>565</v>
      </c>
    </row>
    <row r="203" spans="1:37" x14ac:dyDescent="0.3">
      <c r="E203" s="1" t="s">
        <v>477</v>
      </c>
      <c r="F203" s="2" t="s">
        <v>566</v>
      </c>
    </row>
    <row r="205" spans="1:37" ht="18" x14ac:dyDescent="0.35">
      <c r="A205" s="118" t="s">
        <v>567</v>
      </c>
      <c r="R205" s="98"/>
    </row>
    <row r="207" spans="1:37" x14ac:dyDescent="0.3">
      <c r="A207" s="2221" t="s">
        <v>480</v>
      </c>
      <c r="B207" s="2222"/>
      <c r="C207" s="2222"/>
      <c r="D207" s="2222"/>
      <c r="E207" s="2222"/>
      <c r="F207" s="2222"/>
      <c r="G207" s="2222"/>
      <c r="H207" s="2222"/>
      <c r="I207" s="2222"/>
      <c r="J207" s="2222"/>
      <c r="K207" s="2222"/>
      <c r="L207" s="2222"/>
      <c r="M207" s="2222"/>
      <c r="N207" s="2222"/>
      <c r="O207" s="2222"/>
      <c r="P207" s="2222"/>
      <c r="Q207" s="2222"/>
      <c r="R207" s="2223"/>
      <c r="S207" s="2224" t="s">
        <v>481</v>
      </c>
      <c r="T207" s="2225"/>
      <c r="U207" s="2225"/>
      <c r="V207" s="2225"/>
      <c r="W207" s="2225"/>
      <c r="X207" s="2225"/>
      <c r="Y207" s="2225"/>
      <c r="Z207" s="2225"/>
      <c r="AA207" s="2225"/>
      <c r="AB207" s="2225"/>
      <c r="AC207" s="2225"/>
      <c r="AD207" s="2225"/>
      <c r="AE207" s="2225"/>
      <c r="AF207" s="2225"/>
      <c r="AG207" s="2225"/>
      <c r="AH207" s="2225"/>
      <c r="AI207" s="2225"/>
      <c r="AJ207" s="2225"/>
      <c r="AK207" s="2226"/>
    </row>
    <row r="208" spans="1:37" x14ac:dyDescent="0.3">
      <c r="A208" s="2227" t="s">
        <v>482</v>
      </c>
      <c r="B208" s="2215" t="s">
        <v>483</v>
      </c>
      <c r="C208" s="2215" t="s">
        <v>484</v>
      </c>
      <c r="D208" s="2215" t="s">
        <v>555</v>
      </c>
      <c r="E208" s="2215" t="s">
        <v>556</v>
      </c>
      <c r="F208" s="2213" t="s">
        <v>487</v>
      </c>
      <c r="G208" s="2215" t="s">
        <v>557</v>
      </c>
      <c r="H208" s="2215" t="s">
        <v>489</v>
      </c>
      <c r="I208" s="2217" t="s">
        <v>490</v>
      </c>
      <c r="J208" s="373"/>
      <c r="K208" s="373"/>
      <c r="L208" s="2218"/>
      <c r="M208" s="374" t="s">
        <v>491</v>
      </c>
      <c r="N208" s="375" t="s">
        <v>558</v>
      </c>
      <c r="O208" s="376" t="s">
        <v>493</v>
      </c>
      <c r="P208" s="375" t="s">
        <v>558</v>
      </c>
      <c r="Q208" s="375" t="s">
        <v>559</v>
      </c>
      <c r="R208" s="2219" t="s">
        <v>495</v>
      </c>
      <c r="S208" s="377" t="s">
        <v>496</v>
      </c>
      <c r="T208" s="2235" t="s">
        <v>497</v>
      </c>
      <c r="U208" s="2235"/>
      <c r="V208" s="2235"/>
      <c r="W208" s="2235"/>
      <c r="X208" s="2236"/>
      <c r="Y208" s="2229" t="s">
        <v>498</v>
      </c>
      <c r="Z208" s="2230"/>
      <c r="AA208" s="378"/>
      <c r="AB208" s="2229" t="s">
        <v>499</v>
      </c>
      <c r="AC208" s="2233"/>
      <c r="AD208" s="2233"/>
      <c r="AE208" s="2233"/>
      <c r="AF208" s="2233"/>
      <c r="AG208" s="2233"/>
      <c r="AH208" s="2233"/>
      <c r="AI208" s="2233"/>
      <c r="AJ208" s="2233"/>
      <c r="AK208" s="2230"/>
    </row>
    <row r="209" spans="1:37" x14ac:dyDescent="0.3">
      <c r="A209" s="2228"/>
      <c r="B209" s="2216"/>
      <c r="C209" s="2216"/>
      <c r="D209" s="2216"/>
      <c r="E209" s="2216"/>
      <c r="F209" s="2214"/>
      <c r="G209" s="2216"/>
      <c r="H209" s="2216"/>
      <c r="I209" s="106" t="s">
        <v>500</v>
      </c>
      <c r="J209" s="106" t="s">
        <v>501</v>
      </c>
      <c r="K209" s="106" t="s">
        <v>502</v>
      </c>
      <c r="L209" s="106" t="s">
        <v>503</v>
      </c>
      <c r="M209" s="379" t="s">
        <v>504</v>
      </c>
      <c r="N209" s="380" t="s">
        <v>505</v>
      </c>
      <c r="O209" s="381" t="s">
        <v>506</v>
      </c>
      <c r="P209" s="380" t="s">
        <v>507</v>
      </c>
      <c r="Q209" s="380" t="s">
        <v>560</v>
      </c>
      <c r="R209" s="2220"/>
      <c r="S209" s="382" t="s">
        <v>508</v>
      </c>
      <c r="T209" s="2237"/>
      <c r="U209" s="2237"/>
      <c r="V209" s="2237"/>
      <c r="W209" s="2237"/>
      <c r="X209" s="2238"/>
      <c r="Y209" s="2231"/>
      <c r="Z209" s="2232"/>
      <c r="AA209" s="378"/>
      <c r="AB209" s="2231"/>
      <c r="AC209" s="2234"/>
      <c r="AD209" s="2234"/>
      <c r="AE209" s="2234"/>
      <c r="AF209" s="2234"/>
      <c r="AG209" s="2234"/>
      <c r="AH209" s="2234"/>
      <c r="AI209" s="2234"/>
      <c r="AJ209" s="2234"/>
      <c r="AK209" s="2232"/>
    </row>
    <row r="210" spans="1:37" ht="15.6" x14ac:dyDescent="0.3">
      <c r="A210" s="2211" t="s">
        <v>568</v>
      </c>
      <c r="B210" s="2212"/>
      <c r="C210" s="2212"/>
      <c r="D210" s="2212"/>
      <c r="E210" s="2212"/>
      <c r="F210" s="2212"/>
      <c r="G210" s="2212"/>
      <c r="H210" s="2212"/>
      <c r="I210" s="2212"/>
      <c r="J210" s="2212"/>
      <c r="K210" s="2212"/>
      <c r="L210" s="2212"/>
      <c r="M210" s="2212"/>
      <c r="N210" s="2212"/>
      <c r="O210" s="2212"/>
      <c r="P210" s="2212"/>
      <c r="Q210" s="2212"/>
      <c r="R210" s="2212"/>
      <c r="S210" s="383"/>
      <c r="T210" s="384" t="s">
        <v>510</v>
      </c>
      <c r="U210" s="385" t="s">
        <v>11</v>
      </c>
      <c r="V210" s="385" t="s">
        <v>511</v>
      </c>
      <c r="W210" s="385" t="s">
        <v>512</v>
      </c>
      <c r="X210" s="386" t="s">
        <v>513</v>
      </c>
      <c r="Y210" s="387" t="s">
        <v>514</v>
      </c>
      <c r="Z210" s="386" t="s">
        <v>515</v>
      </c>
      <c r="AA210" s="388"/>
      <c r="AB210" s="389" t="s">
        <v>1</v>
      </c>
      <c r="AC210" s="390" t="s">
        <v>12</v>
      </c>
      <c r="AD210" s="390" t="s">
        <v>13</v>
      </c>
      <c r="AE210" s="390" t="s">
        <v>14</v>
      </c>
      <c r="AF210" s="390" t="s">
        <v>15</v>
      </c>
      <c r="AG210" s="390" t="s">
        <v>16</v>
      </c>
      <c r="AH210" s="390" t="s">
        <v>17</v>
      </c>
      <c r="AI210" s="390" t="s">
        <v>18</v>
      </c>
      <c r="AJ210" s="390" t="s">
        <v>19</v>
      </c>
      <c r="AK210" s="391" t="s">
        <v>5</v>
      </c>
    </row>
    <row r="211" spans="1:37" x14ac:dyDescent="0.3">
      <c r="A211" s="172"/>
      <c r="B211" s="157"/>
      <c r="C211" s="157"/>
      <c r="D211" s="157"/>
      <c r="E211" s="157"/>
      <c r="F211" s="158"/>
      <c r="G211" s="157"/>
      <c r="H211" s="157"/>
      <c r="M211" s="157"/>
      <c r="N211" s="166"/>
      <c r="O211" s="173"/>
      <c r="P211" s="166"/>
      <c r="Q211" s="166"/>
      <c r="R211" s="393"/>
      <c r="S211" s="149"/>
      <c r="X211" s="286"/>
      <c r="Z211" s="286"/>
      <c r="AB211" s="151"/>
      <c r="AC211" s="172"/>
      <c r="AD211" s="172"/>
      <c r="AE211" s="172"/>
      <c r="AF211" s="172"/>
      <c r="AG211" s="172"/>
      <c r="AH211" s="172"/>
      <c r="AI211" s="172"/>
      <c r="AJ211" s="172"/>
      <c r="AK211" s="152"/>
    </row>
    <row r="212" spans="1:37" x14ac:dyDescent="0.3">
      <c r="A212" s="157" t="s">
        <v>516</v>
      </c>
      <c r="B212" s="157" t="s">
        <v>23</v>
      </c>
      <c r="C212" s="157" t="s">
        <v>517</v>
      </c>
      <c r="D212" s="157" t="s">
        <v>21</v>
      </c>
      <c r="E212" s="157" t="s">
        <v>518</v>
      </c>
      <c r="F212" s="158" t="s">
        <v>519</v>
      </c>
      <c r="G212" s="157">
        <v>1</v>
      </c>
      <c r="H212" s="157" t="s">
        <v>24</v>
      </c>
      <c r="I212" s="159">
        <v>1</v>
      </c>
      <c r="J212" s="161"/>
      <c r="K212" s="161"/>
      <c r="L212" s="2209"/>
      <c r="M212" s="163">
        <v>1</v>
      </c>
      <c r="N212" s="166">
        <v>27024.15</v>
      </c>
      <c r="O212" s="173">
        <v>0.75</v>
      </c>
      <c r="P212" s="166">
        <f>N212*(1-O212)</f>
        <v>6756.0375000000004</v>
      </c>
      <c r="Q212" s="166">
        <f t="shared" ref="Q212:Q224" si="39">P212*M212*G212</f>
        <v>6756.0375000000004</v>
      </c>
      <c r="R212" s="167">
        <f t="shared" ref="R212:R224" si="40">Q212/$Q$231</f>
        <v>3.6106601262561634E-2</v>
      </c>
      <c r="S212" s="168">
        <f>Q212*4</f>
        <v>27024.15</v>
      </c>
      <c r="T212" s="7">
        <f t="shared" ref="T212:T224" si="41">S212</f>
        <v>27024.15</v>
      </c>
      <c r="U212" s="169"/>
      <c r="X212" s="286"/>
      <c r="Y212" s="394"/>
      <c r="Z212" s="395">
        <f>S212</f>
        <v>27024.15</v>
      </c>
      <c r="AB212" s="170"/>
      <c r="AC212" s="174">
        <f>S212</f>
        <v>27024.15</v>
      </c>
      <c r="AD212" s="172"/>
      <c r="AE212" s="172"/>
      <c r="AF212" s="172"/>
      <c r="AG212" s="172"/>
      <c r="AH212" s="172"/>
      <c r="AI212" s="172"/>
      <c r="AJ212" s="172"/>
      <c r="AK212" s="152"/>
    </row>
    <row r="213" spans="1:37" x14ac:dyDescent="0.3">
      <c r="A213" s="157" t="s">
        <v>516</v>
      </c>
      <c r="B213" s="157" t="s">
        <v>25</v>
      </c>
      <c r="C213" s="157" t="s">
        <v>517</v>
      </c>
      <c r="D213" s="157" t="s">
        <v>21</v>
      </c>
      <c r="E213" s="157" t="s">
        <v>518</v>
      </c>
      <c r="F213" s="158" t="s">
        <v>519</v>
      </c>
      <c r="G213" s="157">
        <v>1</v>
      </c>
      <c r="H213" s="157" t="s">
        <v>24</v>
      </c>
      <c r="I213" s="159">
        <v>1</v>
      </c>
      <c r="J213" s="161"/>
      <c r="K213" s="161"/>
      <c r="L213" s="2209"/>
      <c r="M213" s="163">
        <v>1</v>
      </c>
      <c r="N213" s="166">
        <v>7000</v>
      </c>
      <c r="O213" s="173">
        <v>0.1</v>
      </c>
      <c r="P213" s="166">
        <f t="shared" ref="P213:P224" si="42">N213*(1-O213)</f>
        <v>6300</v>
      </c>
      <c r="Q213" s="166">
        <f t="shared" si="39"/>
        <v>6300</v>
      </c>
      <c r="R213" s="167">
        <f t="shared" si="40"/>
        <v>3.3669379122620066E-2</v>
      </c>
      <c r="S213" s="168">
        <f t="shared" ref="S213:S224" si="43">Q213*4</f>
        <v>25200</v>
      </c>
      <c r="T213" s="7">
        <f t="shared" si="41"/>
        <v>25200</v>
      </c>
      <c r="U213" s="169"/>
      <c r="X213" s="286"/>
      <c r="Y213" s="394"/>
      <c r="Z213" s="395">
        <f>S213</f>
        <v>25200</v>
      </c>
      <c r="AB213" s="151"/>
      <c r="AC213" s="174"/>
      <c r="AD213" s="174">
        <f>S213</f>
        <v>25200</v>
      </c>
      <c r="AE213" s="172"/>
      <c r="AF213" s="172"/>
      <c r="AG213" s="172"/>
      <c r="AH213" s="172"/>
      <c r="AI213" s="172"/>
      <c r="AJ213" s="172"/>
      <c r="AK213" s="152"/>
    </row>
    <row r="214" spans="1:37" x14ac:dyDescent="0.3">
      <c r="A214" s="157" t="s">
        <v>516</v>
      </c>
      <c r="B214" s="157" t="s">
        <v>25</v>
      </c>
      <c r="C214" s="157" t="s">
        <v>517</v>
      </c>
      <c r="D214" s="157" t="s">
        <v>26</v>
      </c>
      <c r="E214" s="157" t="s">
        <v>520</v>
      </c>
      <c r="F214" s="158" t="s">
        <v>521</v>
      </c>
      <c r="G214" s="157">
        <v>1</v>
      </c>
      <c r="H214" s="157" t="s">
        <v>24</v>
      </c>
      <c r="I214" s="175">
        <v>1</v>
      </c>
      <c r="J214" s="176"/>
      <c r="K214" s="176"/>
      <c r="L214" s="177"/>
      <c r="M214" s="163">
        <v>1</v>
      </c>
      <c r="N214" s="166">
        <v>7500</v>
      </c>
      <c r="O214" s="173">
        <v>0.1</v>
      </c>
      <c r="P214" s="166">
        <f t="shared" si="42"/>
        <v>6750</v>
      </c>
      <c r="Q214" s="166">
        <f t="shared" si="39"/>
        <v>6750</v>
      </c>
      <c r="R214" s="178">
        <f t="shared" si="40"/>
        <v>3.6074334774235786E-2</v>
      </c>
      <c r="S214" s="168">
        <f t="shared" si="43"/>
        <v>27000</v>
      </c>
      <c r="T214" s="7">
        <f t="shared" si="41"/>
        <v>27000</v>
      </c>
      <c r="X214" s="286"/>
      <c r="Y214" s="394">
        <f>S214</f>
        <v>27000</v>
      </c>
      <c r="Z214" s="395"/>
      <c r="AB214" s="151"/>
      <c r="AC214" s="172"/>
      <c r="AD214" s="174">
        <f>S214</f>
        <v>27000</v>
      </c>
      <c r="AE214" s="172"/>
      <c r="AF214" s="172"/>
      <c r="AG214" s="172"/>
      <c r="AH214" s="172"/>
      <c r="AI214" s="172"/>
      <c r="AJ214" s="172"/>
      <c r="AK214" s="152"/>
    </row>
    <row r="215" spans="1:37" x14ac:dyDescent="0.3">
      <c r="A215" s="157" t="s">
        <v>516</v>
      </c>
      <c r="B215" s="157" t="s">
        <v>25</v>
      </c>
      <c r="C215" s="157" t="s">
        <v>517</v>
      </c>
      <c r="D215" s="157" t="s">
        <v>27</v>
      </c>
      <c r="E215" s="157" t="s">
        <v>520</v>
      </c>
      <c r="F215" s="158" t="s">
        <v>522</v>
      </c>
      <c r="G215" s="157">
        <v>13</v>
      </c>
      <c r="H215" s="157" t="s">
        <v>24</v>
      </c>
      <c r="I215" s="175">
        <v>13</v>
      </c>
      <c r="J215" s="176"/>
      <c r="K215" s="179"/>
      <c r="L215" s="180"/>
      <c r="M215" s="163">
        <v>1</v>
      </c>
      <c r="N215" s="166">
        <v>2650</v>
      </c>
      <c r="O215" s="173">
        <v>0.1</v>
      </c>
      <c r="P215" s="166">
        <f t="shared" si="42"/>
        <v>2385</v>
      </c>
      <c r="Q215" s="166">
        <f t="shared" si="39"/>
        <v>31005</v>
      </c>
      <c r="R215" s="178">
        <f t="shared" si="40"/>
        <v>0.16570144439632306</v>
      </c>
      <c r="S215" s="168">
        <f t="shared" si="43"/>
        <v>124020</v>
      </c>
      <c r="T215" s="7">
        <f t="shared" si="41"/>
        <v>124020</v>
      </c>
      <c r="V215" s="169"/>
      <c r="X215" s="286"/>
      <c r="Y215" s="206">
        <f>S215</f>
        <v>124020</v>
      </c>
      <c r="Z215" s="395"/>
      <c r="AB215" s="151"/>
      <c r="AC215" s="172"/>
      <c r="AD215" s="174">
        <f>S215</f>
        <v>124020</v>
      </c>
      <c r="AE215" s="172"/>
      <c r="AF215" s="172"/>
      <c r="AG215" s="172"/>
      <c r="AH215" s="172"/>
      <c r="AI215" s="172"/>
      <c r="AJ215" s="172"/>
      <c r="AK215" s="152"/>
    </row>
    <row r="216" spans="1:37" x14ac:dyDescent="0.3">
      <c r="A216" s="157" t="s">
        <v>516</v>
      </c>
      <c r="B216" s="157" t="s">
        <v>28</v>
      </c>
      <c r="C216" s="157" t="s">
        <v>517</v>
      </c>
      <c r="D216" s="157" t="s">
        <v>21</v>
      </c>
      <c r="E216" s="157" t="s">
        <v>518</v>
      </c>
      <c r="F216" s="158" t="s">
        <v>519</v>
      </c>
      <c r="G216" s="157">
        <v>1</v>
      </c>
      <c r="H216" s="157" t="s">
        <v>24</v>
      </c>
      <c r="I216" s="159">
        <v>1</v>
      </c>
      <c r="J216" s="161"/>
      <c r="K216" s="161"/>
      <c r="L216" s="2209"/>
      <c r="M216" s="163">
        <v>1</v>
      </c>
      <c r="N216" s="166">
        <v>5593</v>
      </c>
      <c r="O216" s="173">
        <v>0.25</v>
      </c>
      <c r="P216" s="166">
        <f t="shared" si="42"/>
        <v>4194.75</v>
      </c>
      <c r="Q216" s="166">
        <f t="shared" si="39"/>
        <v>4194.75</v>
      </c>
      <c r="R216" s="167">
        <f t="shared" si="40"/>
        <v>2.2418194932477861E-2</v>
      </c>
      <c r="S216" s="168">
        <f t="shared" si="43"/>
        <v>16779</v>
      </c>
      <c r="T216" s="7">
        <f t="shared" si="41"/>
        <v>16779</v>
      </c>
      <c r="X216" s="286"/>
      <c r="Y216" s="394"/>
      <c r="Z216" s="395">
        <f>S216</f>
        <v>16779</v>
      </c>
      <c r="AB216" s="151"/>
      <c r="AC216" s="172"/>
      <c r="AD216" s="174"/>
      <c r="AE216" s="174">
        <f>S216</f>
        <v>16779</v>
      </c>
      <c r="AF216" s="172"/>
      <c r="AG216" s="172"/>
      <c r="AH216" s="172"/>
      <c r="AI216" s="172"/>
      <c r="AJ216" s="172"/>
      <c r="AK216" s="152"/>
    </row>
    <row r="217" spans="1:37" x14ac:dyDescent="0.3">
      <c r="A217" s="157" t="s">
        <v>516</v>
      </c>
      <c r="B217" s="157" t="s">
        <v>28</v>
      </c>
      <c r="C217" s="157" t="s">
        <v>517</v>
      </c>
      <c r="D217" s="157" t="s">
        <v>26</v>
      </c>
      <c r="E217" s="157" t="s">
        <v>520</v>
      </c>
      <c r="F217" s="158" t="s">
        <v>521</v>
      </c>
      <c r="G217" s="157">
        <v>2</v>
      </c>
      <c r="H217" s="157" t="s">
        <v>24</v>
      </c>
      <c r="I217" s="175">
        <v>2</v>
      </c>
      <c r="J217" s="176"/>
      <c r="K217" s="176"/>
      <c r="L217" s="177"/>
      <c r="M217" s="163">
        <v>1</v>
      </c>
      <c r="N217" s="166">
        <f>(10000+6680)/2</f>
        <v>8340</v>
      </c>
      <c r="O217" s="173">
        <v>0.3</v>
      </c>
      <c r="P217" s="166">
        <f t="shared" si="42"/>
        <v>5838</v>
      </c>
      <c r="Q217" s="166">
        <f t="shared" si="39"/>
        <v>11676</v>
      </c>
      <c r="R217" s="178">
        <f t="shared" si="40"/>
        <v>6.2400582640589196E-2</v>
      </c>
      <c r="S217" s="168">
        <f t="shared" si="43"/>
        <v>46704</v>
      </c>
      <c r="T217" s="7">
        <f t="shared" si="41"/>
        <v>46704</v>
      </c>
      <c r="X217" s="286"/>
      <c r="Y217" s="394">
        <f>S217</f>
        <v>46704</v>
      </c>
      <c r="Z217" s="395"/>
      <c r="AB217" s="151"/>
      <c r="AC217" s="172"/>
      <c r="AD217" s="172"/>
      <c r="AE217" s="174">
        <f>S217</f>
        <v>46704</v>
      </c>
      <c r="AF217" s="172"/>
      <c r="AG217" s="172"/>
      <c r="AH217" s="172"/>
      <c r="AI217" s="172"/>
      <c r="AJ217" s="172"/>
      <c r="AK217" s="152"/>
    </row>
    <row r="218" spans="1:37" x14ac:dyDescent="0.3">
      <c r="A218" s="157" t="s">
        <v>516</v>
      </c>
      <c r="B218" s="157" t="s">
        <v>30</v>
      </c>
      <c r="C218" s="157" t="s">
        <v>517</v>
      </c>
      <c r="D218" s="157" t="s">
        <v>21</v>
      </c>
      <c r="E218" s="157" t="s">
        <v>518</v>
      </c>
      <c r="F218" s="158" t="s">
        <v>519</v>
      </c>
      <c r="G218" s="157">
        <v>1</v>
      </c>
      <c r="H218" s="157" t="s">
        <v>24</v>
      </c>
      <c r="I218" s="159">
        <v>1</v>
      </c>
      <c r="J218" s="161"/>
      <c r="K218" s="161"/>
      <c r="L218" s="2209"/>
      <c r="M218" s="157">
        <v>1</v>
      </c>
      <c r="N218" s="166">
        <v>2362</v>
      </c>
      <c r="O218" s="173">
        <v>0.2</v>
      </c>
      <c r="P218" s="166">
        <f t="shared" si="42"/>
        <v>1889.6000000000001</v>
      </c>
      <c r="Q218" s="166">
        <f t="shared" si="39"/>
        <v>1889.6000000000001</v>
      </c>
      <c r="R218" s="167">
        <f t="shared" si="40"/>
        <v>1.009867599842903E-2</v>
      </c>
      <c r="S218" s="168">
        <f t="shared" si="43"/>
        <v>7558.4000000000005</v>
      </c>
      <c r="T218" s="7">
        <f t="shared" si="41"/>
        <v>7558.4000000000005</v>
      </c>
      <c r="X218" s="286"/>
      <c r="Y218" s="188"/>
      <c r="Z218" s="395">
        <f>S218</f>
        <v>7558.4000000000005</v>
      </c>
      <c r="AB218" s="151"/>
      <c r="AC218" s="172"/>
      <c r="AD218" s="172"/>
      <c r="AE218" s="174"/>
      <c r="AF218" s="174">
        <f>S218</f>
        <v>7558.4000000000005</v>
      </c>
      <c r="AG218" s="172"/>
      <c r="AH218" s="172"/>
      <c r="AI218" s="172"/>
      <c r="AJ218" s="172"/>
      <c r="AK218" s="152"/>
    </row>
    <row r="219" spans="1:37" x14ac:dyDescent="0.3">
      <c r="A219" s="157" t="s">
        <v>516</v>
      </c>
      <c r="B219" s="157" t="s">
        <v>30</v>
      </c>
      <c r="C219" s="157" t="s">
        <v>517</v>
      </c>
      <c r="D219" s="157" t="s">
        <v>27</v>
      </c>
      <c r="E219" s="157" t="s">
        <v>524</v>
      </c>
      <c r="F219" s="158" t="s">
        <v>522</v>
      </c>
      <c r="G219" s="157">
        <v>13</v>
      </c>
      <c r="H219" s="157" t="s">
        <v>24</v>
      </c>
      <c r="I219" s="185"/>
      <c r="J219" s="160"/>
      <c r="K219" s="176">
        <v>13</v>
      </c>
      <c r="L219" s="177"/>
      <c r="M219" s="157">
        <v>1</v>
      </c>
      <c r="N219" s="166">
        <v>2650</v>
      </c>
      <c r="O219" s="173">
        <v>0.2</v>
      </c>
      <c r="P219" s="186">
        <f t="shared" si="42"/>
        <v>2120</v>
      </c>
      <c r="Q219" s="166">
        <f t="shared" si="39"/>
        <v>27560</v>
      </c>
      <c r="R219" s="178">
        <f t="shared" si="40"/>
        <v>0.14729017279673159</v>
      </c>
      <c r="S219" s="168">
        <f t="shared" si="43"/>
        <v>110240</v>
      </c>
      <c r="T219" s="7">
        <f t="shared" si="41"/>
        <v>110240</v>
      </c>
      <c r="X219" s="286"/>
      <c r="Y219" s="394">
        <f>S219</f>
        <v>110240</v>
      </c>
      <c r="Z219" s="286"/>
      <c r="AB219" s="151"/>
      <c r="AC219" s="172"/>
      <c r="AD219" s="172"/>
      <c r="AE219" s="174"/>
      <c r="AF219" s="174">
        <f>S219</f>
        <v>110240</v>
      </c>
      <c r="AG219" s="172"/>
      <c r="AH219" s="172"/>
      <c r="AI219" s="172"/>
      <c r="AJ219" s="172"/>
      <c r="AK219" s="152"/>
    </row>
    <row r="220" spans="1:37" x14ac:dyDescent="0.3">
      <c r="A220" s="157" t="s">
        <v>516</v>
      </c>
      <c r="B220" s="157" t="s">
        <v>31</v>
      </c>
      <c r="C220" s="157" t="s">
        <v>525</v>
      </c>
      <c r="D220" s="157" t="s">
        <v>32</v>
      </c>
      <c r="E220" s="157" t="s">
        <v>526</v>
      </c>
      <c r="F220" s="158" t="s">
        <v>527</v>
      </c>
      <c r="G220" s="157">
        <v>2</v>
      </c>
      <c r="H220" s="157" t="s">
        <v>33</v>
      </c>
      <c r="I220" s="284">
        <v>2</v>
      </c>
      <c r="J220" s="160"/>
      <c r="K220" s="285">
        <v>2</v>
      </c>
      <c r="L220" s="180"/>
      <c r="M220" s="157">
        <v>4</v>
      </c>
      <c r="N220" s="166">
        <f>265*8</f>
        <v>2120</v>
      </c>
      <c r="O220" s="173">
        <v>0.4</v>
      </c>
      <c r="P220" s="186">
        <f t="shared" si="42"/>
        <v>1272</v>
      </c>
      <c r="Q220" s="166">
        <f t="shared" si="39"/>
        <v>10176</v>
      </c>
      <c r="R220" s="187">
        <f t="shared" si="40"/>
        <v>5.4384063801870129E-2</v>
      </c>
      <c r="S220" s="168">
        <f t="shared" si="43"/>
        <v>40704</v>
      </c>
      <c r="T220" s="7">
        <f t="shared" si="41"/>
        <v>40704</v>
      </c>
      <c r="X220" s="286"/>
      <c r="Y220" s="206"/>
      <c r="Z220" s="286"/>
      <c r="AB220" s="151"/>
      <c r="AC220" s="172"/>
      <c r="AD220" s="172"/>
      <c r="AE220" s="172"/>
      <c r="AF220" s="174"/>
      <c r="AG220" s="174">
        <f>S220</f>
        <v>40704</v>
      </c>
      <c r="AH220" s="172"/>
      <c r="AI220" s="172"/>
      <c r="AJ220" s="172"/>
      <c r="AK220" s="152"/>
    </row>
    <row r="221" spans="1:37" x14ac:dyDescent="0.3">
      <c r="A221" s="157" t="s">
        <v>516</v>
      </c>
      <c r="B221" s="157" t="s">
        <v>34</v>
      </c>
      <c r="C221" s="157" t="s">
        <v>517</v>
      </c>
      <c r="D221" s="157" t="s">
        <v>21</v>
      </c>
      <c r="E221" s="157" t="s">
        <v>518</v>
      </c>
      <c r="F221" s="158" t="s">
        <v>519</v>
      </c>
      <c r="G221" s="157">
        <v>2</v>
      </c>
      <c r="H221" s="157" t="s">
        <v>24</v>
      </c>
      <c r="I221" s="159">
        <v>2</v>
      </c>
      <c r="J221" s="161"/>
      <c r="K221" s="161"/>
      <c r="L221" s="2209"/>
      <c r="M221" s="157">
        <v>1</v>
      </c>
      <c r="N221" s="166">
        <v>7920</v>
      </c>
      <c r="O221" s="173">
        <v>0.25</v>
      </c>
      <c r="P221" s="186">
        <f t="shared" si="42"/>
        <v>5940</v>
      </c>
      <c r="Q221" s="166">
        <f t="shared" si="39"/>
        <v>11880</v>
      </c>
      <c r="R221" s="167">
        <f t="shared" si="40"/>
        <v>6.3490829202654989E-2</v>
      </c>
      <c r="S221" s="168">
        <f t="shared" si="43"/>
        <v>47520</v>
      </c>
      <c r="T221" s="7">
        <f t="shared" si="41"/>
        <v>47520</v>
      </c>
      <c r="X221" s="286"/>
      <c r="Y221" s="188"/>
      <c r="Z221" s="395">
        <f t="shared" ref="Z221:Z222" si="44">S221</f>
        <v>47520</v>
      </c>
      <c r="AB221" s="151"/>
      <c r="AC221" s="172"/>
      <c r="AD221" s="172"/>
      <c r="AE221" s="172"/>
      <c r="AF221" s="174"/>
      <c r="AG221" s="174"/>
      <c r="AH221" s="174">
        <f>S221</f>
        <v>47520</v>
      </c>
      <c r="AI221" s="172"/>
      <c r="AJ221" s="172"/>
      <c r="AK221" s="152"/>
    </row>
    <row r="222" spans="1:37" x14ac:dyDescent="0.3">
      <c r="A222" s="157" t="s">
        <v>516</v>
      </c>
      <c r="B222" s="157" t="s">
        <v>35</v>
      </c>
      <c r="C222" s="157" t="s">
        <v>517</v>
      </c>
      <c r="D222" s="157" t="s">
        <v>21</v>
      </c>
      <c r="E222" s="157" t="s">
        <v>518</v>
      </c>
      <c r="F222" s="158" t="s">
        <v>519</v>
      </c>
      <c r="G222" s="157">
        <v>2</v>
      </c>
      <c r="H222" s="157" t="s">
        <v>24</v>
      </c>
      <c r="I222" s="159">
        <v>2</v>
      </c>
      <c r="J222" s="161"/>
      <c r="K222" s="161"/>
      <c r="L222" s="2209"/>
      <c r="M222" s="157">
        <v>1</v>
      </c>
      <c r="N222" s="166">
        <v>18500</v>
      </c>
      <c r="O222" s="173">
        <v>0.6</v>
      </c>
      <c r="P222" s="186">
        <f t="shared" si="42"/>
        <v>7400</v>
      </c>
      <c r="Q222" s="166">
        <f t="shared" si="39"/>
        <v>14800</v>
      </c>
      <c r="R222" s="167">
        <f t="shared" si="40"/>
        <v>7.9096319208694768E-2</v>
      </c>
      <c r="S222" s="168">
        <f t="shared" si="43"/>
        <v>59200</v>
      </c>
      <c r="T222" s="7">
        <f t="shared" si="41"/>
        <v>59200</v>
      </c>
      <c r="X222" s="286"/>
      <c r="Y222" s="188"/>
      <c r="Z222" s="395">
        <f t="shared" si="44"/>
        <v>59200</v>
      </c>
      <c r="AB222" s="151"/>
      <c r="AC222" s="172"/>
      <c r="AD222" s="172"/>
      <c r="AE222" s="172"/>
      <c r="AF222" s="172"/>
      <c r="AG222" s="174"/>
      <c r="AH222" s="174"/>
      <c r="AI222" s="174">
        <f>S222</f>
        <v>59200</v>
      </c>
      <c r="AJ222" s="172"/>
      <c r="AK222" s="152"/>
    </row>
    <row r="223" spans="1:37" x14ac:dyDescent="0.3">
      <c r="A223" s="157" t="s">
        <v>516</v>
      </c>
      <c r="B223" s="157" t="s">
        <v>35</v>
      </c>
      <c r="C223" s="157" t="s">
        <v>517</v>
      </c>
      <c r="D223" s="157" t="s">
        <v>26</v>
      </c>
      <c r="E223" s="157" t="s">
        <v>520</v>
      </c>
      <c r="F223" s="158" t="s">
        <v>521</v>
      </c>
      <c r="G223" s="157">
        <v>2</v>
      </c>
      <c r="H223" s="157" t="s">
        <v>24</v>
      </c>
      <c r="I223" s="159">
        <v>2</v>
      </c>
      <c r="J223" s="161"/>
      <c r="K223" s="161"/>
      <c r="L223" s="2209"/>
      <c r="M223" s="157">
        <v>1</v>
      </c>
      <c r="N223" s="166">
        <v>20500</v>
      </c>
      <c r="O223" s="173">
        <v>0.57999999999999996</v>
      </c>
      <c r="P223" s="186">
        <f t="shared" si="42"/>
        <v>8610</v>
      </c>
      <c r="Q223" s="166">
        <f t="shared" si="39"/>
        <v>17220</v>
      </c>
      <c r="R223" s="178">
        <f t="shared" si="40"/>
        <v>9.2029636268494849E-2</v>
      </c>
      <c r="S223" s="168">
        <f t="shared" si="43"/>
        <v>68880</v>
      </c>
      <c r="T223" s="7">
        <f t="shared" si="41"/>
        <v>68880</v>
      </c>
      <c r="X223" s="286"/>
      <c r="Y223" s="394">
        <f>S223</f>
        <v>68880</v>
      </c>
      <c r="Z223" s="286"/>
      <c r="AB223" s="151"/>
      <c r="AC223" s="172"/>
      <c r="AD223" s="172"/>
      <c r="AE223" s="172"/>
      <c r="AF223" s="172"/>
      <c r="AG223" s="172"/>
      <c r="AH223" s="174"/>
      <c r="AI223" s="174">
        <f>S223</f>
        <v>68880</v>
      </c>
      <c r="AJ223" s="172"/>
      <c r="AK223" s="152"/>
    </row>
    <row r="224" spans="1:37" x14ac:dyDescent="0.3">
      <c r="A224" s="157" t="s">
        <v>516</v>
      </c>
      <c r="B224" s="157" t="s">
        <v>36</v>
      </c>
      <c r="C224" s="157" t="s">
        <v>517</v>
      </c>
      <c r="D224" s="157" t="s">
        <v>21</v>
      </c>
      <c r="E224" s="157" t="s">
        <v>518</v>
      </c>
      <c r="F224" s="158" t="s">
        <v>519</v>
      </c>
      <c r="G224" s="157">
        <v>1</v>
      </c>
      <c r="H224" s="157" t="s">
        <v>24</v>
      </c>
      <c r="I224" s="159">
        <v>1</v>
      </c>
      <c r="J224" s="161"/>
      <c r="K224" s="161"/>
      <c r="L224" s="2209"/>
      <c r="M224" s="157">
        <v>1</v>
      </c>
      <c r="N224" s="166">
        <v>8125</v>
      </c>
      <c r="O224" s="173">
        <v>0.15</v>
      </c>
      <c r="P224" s="186">
        <f t="shared" si="42"/>
        <v>6906.25</v>
      </c>
      <c r="Q224" s="166">
        <f t="shared" si="39"/>
        <v>6906.25</v>
      </c>
      <c r="R224" s="167">
        <f t="shared" si="40"/>
        <v>3.690938881993569E-2</v>
      </c>
      <c r="S224" s="168">
        <f t="shared" si="43"/>
        <v>27625</v>
      </c>
      <c r="T224" s="7">
        <f t="shared" si="41"/>
        <v>27625</v>
      </c>
      <c r="X224" s="286"/>
      <c r="Y224" s="188"/>
      <c r="Z224" s="395">
        <f t="shared" ref="Z224" si="45">S224</f>
        <v>27625</v>
      </c>
      <c r="AB224" s="151"/>
      <c r="AC224" s="172"/>
      <c r="AD224" s="172"/>
      <c r="AE224" s="172"/>
      <c r="AF224" s="172"/>
      <c r="AG224" s="172"/>
      <c r="AH224" s="172"/>
      <c r="AI224" s="174"/>
      <c r="AJ224" s="174">
        <f>S224</f>
        <v>27625</v>
      </c>
      <c r="AK224" s="152"/>
    </row>
    <row r="225" spans="1:37" x14ac:dyDescent="0.3">
      <c r="A225" s="172"/>
      <c r="B225" s="157"/>
      <c r="C225" s="157"/>
      <c r="D225" s="157"/>
      <c r="E225" s="157"/>
      <c r="F225" s="158"/>
      <c r="G225" s="157"/>
      <c r="H225" s="157"/>
      <c r="I225" s="188"/>
      <c r="L225" s="286"/>
      <c r="M225" s="157"/>
      <c r="N225" s="166"/>
      <c r="O225" s="173"/>
      <c r="P225" s="186"/>
      <c r="Q225" s="166"/>
      <c r="R225" s="6"/>
      <c r="S225" s="168"/>
      <c r="T225" s="7"/>
      <c r="X225" s="286"/>
      <c r="Y225" s="188"/>
      <c r="Z225" s="286"/>
      <c r="AB225" s="151"/>
      <c r="AC225" s="172"/>
      <c r="AD225" s="172"/>
      <c r="AE225" s="172"/>
      <c r="AF225" s="172"/>
      <c r="AG225" s="172"/>
      <c r="AH225" s="172"/>
      <c r="AI225" s="174"/>
      <c r="AJ225" s="174">
        <f>S225</f>
        <v>0</v>
      </c>
      <c r="AK225" s="171"/>
    </row>
    <row r="226" spans="1:37" x14ac:dyDescent="0.3">
      <c r="A226" s="172"/>
      <c r="B226" s="157"/>
      <c r="C226" s="157"/>
      <c r="D226" s="157"/>
      <c r="E226" s="157"/>
      <c r="F226" s="158"/>
      <c r="G226" s="157"/>
      <c r="H226" s="157"/>
      <c r="I226" s="188"/>
      <c r="L226" s="286"/>
      <c r="M226" s="157"/>
      <c r="N226" s="166"/>
      <c r="O226" s="173"/>
      <c r="P226" s="186"/>
      <c r="Q226" s="166"/>
      <c r="R226" s="6"/>
      <c r="S226" s="168"/>
      <c r="T226" s="7"/>
      <c r="X226" s="286"/>
      <c r="Y226" s="188"/>
      <c r="Z226" s="286"/>
      <c r="AB226" s="151"/>
      <c r="AC226" s="172"/>
      <c r="AD226" s="172"/>
      <c r="AE226" s="172"/>
      <c r="AF226" s="172"/>
      <c r="AG226" s="172"/>
      <c r="AH226" s="172"/>
      <c r="AI226" s="172"/>
      <c r="AJ226" s="174"/>
      <c r="AK226" s="171">
        <f>S226</f>
        <v>0</v>
      </c>
    </row>
    <row r="227" spans="1:37" x14ac:dyDescent="0.3">
      <c r="A227" s="172"/>
      <c r="B227" s="157"/>
      <c r="C227" s="190"/>
      <c r="D227" s="190"/>
      <c r="E227" s="190"/>
      <c r="F227" s="191"/>
      <c r="G227" s="190"/>
      <c r="H227" s="190"/>
      <c r="I227" s="243"/>
      <c r="J227" s="245"/>
      <c r="K227" s="245"/>
      <c r="L227" s="287"/>
      <c r="M227" s="190"/>
      <c r="N227" s="194"/>
      <c r="O227" s="195"/>
      <c r="P227" s="288"/>
      <c r="Q227" s="194"/>
      <c r="R227" s="6"/>
      <c r="S227" s="168"/>
      <c r="T227" s="7"/>
      <c r="X227" s="286"/>
      <c r="Y227" s="188"/>
      <c r="Z227" s="286"/>
      <c r="AB227" s="151"/>
      <c r="AC227" s="172"/>
      <c r="AD227" s="172"/>
      <c r="AE227" s="172"/>
      <c r="AF227" s="172"/>
      <c r="AG227" s="172"/>
      <c r="AH227" s="172"/>
      <c r="AI227" s="172"/>
      <c r="AJ227" s="174">
        <f>S227</f>
        <v>0</v>
      </c>
      <c r="AK227" s="171">
        <f>S227</f>
        <v>0</v>
      </c>
    </row>
    <row r="228" spans="1:37" x14ac:dyDescent="0.3">
      <c r="A228" s="108" t="s">
        <v>516</v>
      </c>
      <c r="B228" s="108" t="s">
        <v>528</v>
      </c>
      <c r="C228" s="192"/>
      <c r="D228" s="193"/>
      <c r="E228" s="193"/>
      <c r="F228" s="244"/>
      <c r="G228" s="193"/>
      <c r="H228" s="193"/>
      <c r="I228" s="252"/>
      <c r="J228" s="252"/>
      <c r="K228" s="252"/>
      <c r="L228" s="252"/>
      <c r="M228" s="193"/>
      <c r="N228" s="246"/>
      <c r="O228" s="196"/>
      <c r="P228" s="186"/>
      <c r="Q228" s="166">
        <f>P228*M228*G228</f>
        <v>0</v>
      </c>
      <c r="R228" s="256">
        <f>Q228/Q231</f>
        <v>0</v>
      </c>
      <c r="S228" s="168"/>
      <c r="T228" s="7"/>
      <c r="W228" s="169"/>
      <c r="X228" s="286"/>
      <c r="Y228" s="188"/>
      <c r="Z228" s="395">
        <f>W228</f>
        <v>0</v>
      </c>
      <c r="AB228" s="151"/>
      <c r="AC228" s="172"/>
      <c r="AD228" s="172"/>
      <c r="AE228" s="172"/>
      <c r="AF228" s="172"/>
      <c r="AG228" s="172"/>
      <c r="AH228" s="172"/>
      <c r="AI228" s="172"/>
      <c r="AJ228" s="172"/>
      <c r="AK228" s="152"/>
    </row>
    <row r="229" spans="1:37" x14ac:dyDescent="0.3">
      <c r="A229" s="108" t="s">
        <v>516</v>
      </c>
      <c r="B229" s="108" t="s">
        <v>529</v>
      </c>
      <c r="C229" s="289"/>
      <c r="D229" s="252" t="s">
        <v>530</v>
      </c>
      <c r="E229" s="252"/>
      <c r="F229" s="253"/>
      <c r="G229" s="252"/>
      <c r="H229" s="252"/>
      <c r="I229" s="254"/>
      <c r="J229" s="254"/>
      <c r="K229" s="254"/>
      <c r="L229" s="254"/>
      <c r="M229" s="252"/>
      <c r="N229" s="255"/>
      <c r="O229" s="256"/>
      <c r="P229" s="290"/>
      <c r="Q229" s="257">
        <v>30000</v>
      </c>
      <c r="R229" s="291">
        <f>Q229/Q231</f>
        <v>0.16033037677438128</v>
      </c>
      <c r="S229" s="168">
        <f t="shared" ref="S229" si="46">Q229*4</f>
        <v>120000</v>
      </c>
      <c r="T229" s="7"/>
      <c r="X229" s="395">
        <f>S229</f>
        <v>120000</v>
      </c>
      <c r="Y229" s="188"/>
      <c r="Z229" s="286"/>
      <c r="AB229" s="151"/>
      <c r="AC229" s="172"/>
      <c r="AD229" s="172"/>
      <c r="AE229" s="172"/>
      <c r="AF229" s="172"/>
      <c r="AG229" s="172"/>
      <c r="AH229" s="172"/>
      <c r="AI229" s="172"/>
      <c r="AJ229" s="172"/>
      <c r="AK229" s="152"/>
    </row>
    <row r="230" spans="1:37" x14ac:dyDescent="0.3">
      <c r="I230" s="115">
        <f>I231/M231</f>
        <v>0.65909090909090906</v>
      </c>
      <c r="J230" s="115"/>
      <c r="K230" s="115">
        <f>K231/M231</f>
        <v>0.34090909090909088</v>
      </c>
      <c r="S230" s="325"/>
      <c r="T230" s="7"/>
      <c r="X230" s="286"/>
      <c r="Y230" s="188"/>
      <c r="Z230" s="286"/>
      <c r="AB230" s="151"/>
      <c r="AC230" s="172"/>
      <c r="AD230" s="172"/>
      <c r="AE230" s="172"/>
      <c r="AF230" s="172"/>
      <c r="AG230" s="172"/>
      <c r="AH230" s="172"/>
      <c r="AI230" s="172"/>
      <c r="AJ230" s="172"/>
      <c r="AK230" s="152"/>
    </row>
    <row r="231" spans="1:37" x14ac:dyDescent="0.3">
      <c r="A231" s="396" t="s">
        <v>531</v>
      </c>
      <c r="B231" s="373"/>
      <c r="C231" s="373"/>
      <c r="D231" s="373"/>
      <c r="E231" s="373"/>
      <c r="F231" s="397"/>
      <c r="G231" s="373"/>
      <c r="H231" s="373"/>
      <c r="I231" s="373">
        <f>I221+I220+I218+I217+I216+I215+I214+I213+I212+I222+I224+I223</f>
        <v>29</v>
      </c>
      <c r="J231" s="373"/>
      <c r="K231" s="373">
        <f>K220+K219</f>
        <v>15</v>
      </c>
      <c r="L231" s="373"/>
      <c r="M231" s="373">
        <f>SUM(I231:L231)</f>
        <v>44</v>
      </c>
      <c r="N231" s="398"/>
      <c r="O231" s="399"/>
      <c r="P231" s="398"/>
      <c r="Q231" s="400">
        <f>SUM(Q211:Q230)</f>
        <v>187113.63750000001</v>
      </c>
      <c r="R231" s="401">
        <f>SUM(R211:R229)</f>
        <v>0.99999999999999978</v>
      </c>
      <c r="S231" s="402">
        <f>SUM(S211:S230)</f>
        <v>748454.55</v>
      </c>
      <c r="T231" s="403">
        <f t="shared" ref="T231:Z231" si="47">SUM(T211:T229)</f>
        <v>628454.55000000005</v>
      </c>
      <c r="U231" s="404">
        <f t="shared" si="47"/>
        <v>0</v>
      </c>
      <c r="V231" s="404">
        <f t="shared" si="47"/>
        <v>0</v>
      </c>
      <c r="W231" s="404">
        <f t="shared" si="47"/>
        <v>0</v>
      </c>
      <c r="X231" s="405">
        <f t="shared" si="47"/>
        <v>120000</v>
      </c>
      <c r="Y231" s="406">
        <f t="shared" si="47"/>
        <v>376844</v>
      </c>
      <c r="Z231" s="405">
        <f t="shared" si="47"/>
        <v>210906.55</v>
      </c>
      <c r="AA231" s="99"/>
      <c r="AB231" s="407">
        <f t="shared" ref="AB231:AK231" si="48">SUM(AB208:AB230)</f>
        <v>0</v>
      </c>
      <c r="AC231" s="408">
        <f t="shared" si="48"/>
        <v>27024.15</v>
      </c>
      <c r="AD231" s="408">
        <f t="shared" si="48"/>
        <v>176220</v>
      </c>
      <c r="AE231" s="408">
        <f t="shared" si="48"/>
        <v>63483</v>
      </c>
      <c r="AF231" s="408">
        <f t="shared" si="48"/>
        <v>117798.39999999999</v>
      </c>
      <c r="AG231" s="408">
        <f t="shared" si="48"/>
        <v>40704</v>
      </c>
      <c r="AH231" s="408">
        <f t="shared" si="48"/>
        <v>47520</v>
      </c>
      <c r="AI231" s="408">
        <f t="shared" si="48"/>
        <v>128080</v>
      </c>
      <c r="AJ231" s="408">
        <f t="shared" si="48"/>
        <v>27625</v>
      </c>
      <c r="AK231" s="409">
        <f t="shared" si="48"/>
        <v>0</v>
      </c>
    </row>
    <row r="232" spans="1:37" x14ac:dyDescent="0.3">
      <c r="A232" s="410" t="s">
        <v>532</v>
      </c>
      <c r="B232" s="411"/>
      <c r="C232" s="411"/>
      <c r="D232" s="411"/>
      <c r="E232" s="411"/>
      <c r="F232" s="412"/>
      <c r="G232" s="411"/>
      <c r="H232" s="411"/>
      <c r="I232" s="411">
        <f>I224+I223+I222+I221+I220+I218+I217+I216+I215+I214+I213+I212</f>
        <v>29</v>
      </c>
      <c r="J232" s="411">
        <f>I224+I223+I222+I221+I218+I217+I216+I215+I214+I213+I212</f>
        <v>27</v>
      </c>
      <c r="K232" s="411">
        <f>I224+I223+I222+I221+K220+K219+I218+I217+I216+I214+I213+I212</f>
        <v>29</v>
      </c>
      <c r="L232" s="411">
        <f>I224+I223+I222+I221+K219+I218+I217+I216+I214+I213+I212</f>
        <v>27</v>
      </c>
      <c r="M232" s="411">
        <f>SUM(I232:L232)</f>
        <v>112</v>
      </c>
      <c r="N232" s="413"/>
      <c r="O232" s="414"/>
      <c r="P232" s="413"/>
      <c r="Q232" s="413"/>
      <c r="R232" s="415"/>
      <c r="S232" s="416"/>
      <c r="T232" s="417">
        <f>T231/S231</f>
        <v>0.83966962322561867</v>
      </c>
      <c r="U232" s="418">
        <f>U231/S231</f>
        <v>0</v>
      </c>
      <c r="V232" s="418">
        <f>V231/S231</f>
        <v>0</v>
      </c>
      <c r="W232" s="418">
        <f>W231/S231</f>
        <v>0</v>
      </c>
      <c r="X232" s="419">
        <f>X231/S231</f>
        <v>0.16033037677438128</v>
      </c>
      <c r="Y232" s="420">
        <f>Y231/S231</f>
        <v>0.50349617087637444</v>
      </c>
      <c r="Z232" s="419">
        <f>Z231/S231</f>
        <v>0.28178938854737401</v>
      </c>
      <c r="AA232" s="421">
        <f>Y233+Z233</f>
        <v>40</v>
      </c>
      <c r="AB232" s="422"/>
      <c r="AC232" s="423"/>
      <c r="AD232" s="423"/>
      <c r="AE232" s="423"/>
      <c r="AF232" s="423"/>
      <c r="AG232" s="423"/>
      <c r="AH232" s="423"/>
      <c r="AI232" s="423"/>
      <c r="AJ232" s="423"/>
      <c r="AK232" s="424"/>
    </row>
    <row r="233" spans="1:37" x14ac:dyDescent="0.3">
      <c r="A233" s="243" t="s">
        <v>533</v>
      </c>
      <c r="B233" s="193"/>
      <c r="C233" s="193"/>
      <c r="D233" s="193"/>
      <c r="E233" s="193"/>
      <c r="F233" s="244"/>
      <c r="G233" s="193"/>
      <c r="H233" s="193"/>
      <c r="I233" s="2182">
        <f>I232/M232</f>
        <v>0.25892857142857145</v>
      </c>
      <c r="J233" s="2182">
        <f>J232/M232</f>
        <v>0.24107142857142858</v>
      </c>
      <c r="K233" s="2182">
        <f>K232/M232</f>
        <v>0.25892857142857145</v>
      </c>
      <c r="L233" s="2182">
        <f>L232/M232</f>
        <v>0.24107142857142858</v>
      </c>
      <c r="M233" s="193"/>
      <c r="N233" s="246"/>
      <c r="O233" s="196"/>
      <c r="P233" s="246"/>
      <c r="Q233" s="194">
        <f>T231</f>
        <v>628454.55000000005</v>
      </c>
      <c r="R233" s="247">
        <f>Q233/Q238</f>
        <v>0.83966962322561867</v>
      </c>
      <c r="X233" s="248"/>
      <c r="Y233" s="357">
        <f>I214+I215+I217+K219+I223</f>
        <v>31</v>
      </c>
      <c r="Z233" s="358">
        <f>I212+I213+I216+I218+I221+I222+I224</f>
        <v>9</v>
      </c>
      <c r="AA233" s="4" t="s">
        <v>534</v>
      </c>
    </row>
    <row r="234" spans="1:37" x14ac:dyDescent="0.3">
      <c r="A234" s="251" t="s">
        <v>11</v>
      </c>
      <c r="B234" s="252"/>
      <c r="C234" s="252"/>
      <c r="D234" s="252"/>
      <c r="E234" s="252"/>
      <c r="F234" s="253"/>
      <c r="G234" s="252"/>
      <c r="H234" s="252"/>
      <c r="I234" s="254"/>
      <c r="J234" s="254"/>
      <c r="K234" s="254"/>
      <c r="L234" s="254"/>
      <c r="M234" s="252"/>
      <c r="N234" s="255"/>
      <c r="O234" s="256"/>
      <c r="P234" s="255"/>
      <c r="Q234" s="257">
        <f>U231</f>
        <v>0</v>
      </c>
      <c r="R234" s="256">
        <f>Q234/Q238</f>
        <v>0</v>
      </c>
      <c r="S234" s="425">
        <f>Q231/M231</f>
        <v>4252.5826704545461</v>
      </c>
      <c r="T234" s="426" t="s">
        <v>535</v>
      </c>
      <c r="Y234" s="195">
        <f>Y233/M231</f>
        <v>0.70454545454545459</v>
      </c>
      <c r="Z234" s="247">
        <f>Z233/M231</f>
        <v>0.20454545454545456</v>
      </c>
      <c r="AK234" s="99"/>
    </row>
    <row r="235" spans="1:37" x14ac:dyDescent="0.3">
      <c r="A235" s="251" t="s">
        <v>536</v>
      </c>
      <c r="B235" s="252"/>
      <c r="C235" s="252"/>
      <c r="D235" s="252"/>
      <c r="E235" s="252"/>
      <c r="F235" s="253"/>
      <c r="G235" s="252"/>
      <c r="H235" s="252"/>
      <c r="I235" s="254"/>
      <c r="J235" s="254"/>
      <c r="K235" s="254"/>
      <c r="L235" s="254"/>
      <c r="M235" s="252"/>
      <c r="N235" s="255"/>
      <c r="O235" s="256"/>
      <c r="P235" s="255"/>
      <c r="Q235" s="257">
        <f>V231</f>
        <v>0</v>
      </c>
      <c r="R235" s="262">
        <f>Q235/Q238</f>
        <v>0</v>
      </c>
      <c r="U235" s="263"/>
      <c r="W235" s="99"/>
      <c r="Y235" s="2210" t="s">
        <v>537</v>
      </c>
      <c r="Z235" s="2210"/>
    </row>
    <row r="236" spans="1:37" x14ac:dyDescent="0.3">
      <c r="A236" s="251" t="s">
        <v>529</v>
      </c>
      <c r="B236" s="252"/>
      <c r="C236" s="252"/>
      <c r="D236" s="252"/>
      <c r="E236" s="252"/>
      <c r="F236" s="253"/>
      <c r="G236" s="252"/>
      <c r="H236" s="252"/>
      <c r="I236" s="254"/>
      <c r="J236" s="254"/>
      <c r="K236" s="254"/>
      <c r="L236" s="254"/>
      <c r="M236" s="252"/>
      <c r="N236" s="255"/>
      <c r="O236" s="256"/>
      <c r="P236" s="255"/>
      <c r="Q236" s="257">
        <f>X231</f>
        <v>120000</v>
      </c>
      <c r="R236" s="262">
        <f>Q236/Q238</f>
        <v>0.16033037677438128</v>
      </c>
      <c r="U236" s="263"/>
    </row>
    <row r="237" spans="1:37" x14ac:dyDescent="0.3">
      <c r="A237" s="251" t="s">
        <v>528</v>
      </c>
      <c r="B237" s="252"/>
      <c r="C237" s="252"/>
      <c r="D237" s="252"/>
      <c r="E237" s="252"/>
      <c r="F237" s="253"/>
      <c r="G237" s="252"/>
      <c r="H237" s="252"/>
      <c r="I237" s="254"/>
      <c r="J237" s="254"/>
      <c r="K237" s="254"/>
      <c r="L237" s="254"/>
      <c r="M237" s="252"/>
      <c r="N237" s="255"/>
      <c r="O237" s="256"/>
      <c r="P237" s="255"/>
      <c r="Q237" s="257">
        <f>W231</f>
        <v>0</v>
      </c>
      <c r="R237" s="262">
        <f>Q237/Q238</f>
        <v>0</v>
      </c>
    </row>
    <row r="238" spans="1:37" x14ac:dyDescent="0.3">
      <c r="A238" s="251"/>
      <c r="B238" s="252"/>
      <c r="C238" s="252"/>
      <c r="D238" s="252"/>
      <c r="E238" s="252"/>
      <c r="F238" s="253"/>
      <c r="G238" s="252"/>
      <c r="H238" s="252"/>
      <c r="I238" s="254"/>
      <c r="J238" s="254"/>
      <c r="K238" s="254"/>
      <c r="L238" s="254"/>
      <c r="M238" s="252"/>
      <c r="N238" s="255"/>
      <c r="O238" s="256"/>
      <c r="P238" s="255"/>
      <c r="Q238" s="264">
        <f>SUM(Q233:Q237)</f>
        <v>748454.55</v>
      </c>
      <c r="R238" s="262">
        <f>SUM(R233:R237)</f>
        <v>1</v>
      </c>
    </row>
    <row r="239" spans="1:37" x14ac:dyDescent="0.3">
      <c r="D239" s="98"/>
      <c r="E239" s="98"/>
      <c r="F239" s="98"/>
      <c r="G239" s="427"/>
      <c r="H239" s="427"/>
    </row>
    <row r="240" spans="1:37" ht="15.6" x14ac:dyDescent="0.3">
      <c r="D240" s="304"/>
      <c r="E240" s="304"/>
      <c r="G240" s="304"/>
      <c r="H240" s="304"/>
      <c r="Z240" s="303">
        <f>SUM(AB241:AK241)</f>
        <v>2745907.05</v>
      </c>
      <c r="AB240" s="428" t="s">
        <v>1</v>
      </c>
      <c r="AC240" s="428" t="s">
        <v>12</v>
      </c>
      <c r="AD240" s="428" t="s">
        <v>13</v>
      </c>
      <c r="AE240" s="428" t="s">
        <v>14</v>
      </c>
      <c r="AF240" s="428" t="s">
        <v>15</v>
      </c>
      <c r="AG240" s="428" t="s">
        <v>16</v>
      </c>
      <c r="AH240" s="428" t="s">
        <v>17</v>
      </c>
      <c r="AI240" s="428" t="s">
        <v>18</v>
      </c>
      <c r="AJ240" s="428" t="s">
        <v>19</v>
      </c>
      <c r="AK240" s="429" t="s">
        <v>5</v>
      </c>
    </row>
    <row r="241" spans="1:37" ht="18" x14ac:dyDescent="0.35">
      <c r="A241" s="430" t="s">
        <v>569</v>
      </c>
      <c r="B241" s="431"/>
      <c r="C241" s="431"/>
      <c r="D241" s="432"/>
      <c r="E241" s="432"/>
      <c r="F241" s="433"/>
      <c r="G241" s="432"/>
      <c r="H241" s="432"/>
      <c r="I241" s="434"/>
      <c r="J241" s="434"/>
      <c r="K241" s="434"/>
      <c r="L241" s="434"/>
      <c r="M241" s="431"/>
      <c r="N241" s="435"/>
      <c r="O241" s="436"/>
      <c r="P241" s="435"/>
      <c r="Q241" s="435"/>
      <c r="R241" s="436"/>
      <c r="S241" s="437">
        <f>S231+S189+S147+S99+S59</f>
        <v>3284407.0500000003</v>
      </c>
      <c r="T241" s="438"/>
      <c r="Z241" s="439" t="s">
        <v>570</v>
      </c>
      <c r="AB241" s="440">
        <f>AB231+AB189+AB147+AB99+AB59</f>
        <v>7114.7999999999993</v>
      </c>
      <c r="AC241" s="441">
        <f t="shared" ref="AC241:AK241" si="49">AC231+AC189+AC147+AC99+AC59</f>
        <v>81072.45</v>
      </c>
      <c r="AD241" s="441">
        <f t="shared" si="49"/>
        <v>653085</v>
      </c>
      <c r="AE241" s="441">
        <f t="shared" si="49"/>
        <v>394023</v>
      </c>
      <c r="AF241" s="441">
        <f t="shared" si="49"/>
        <v>468105.6</v>
      </c>
      <c r="AG241" s="441">
        <f t="shared" si="49"/>
        <v>167904</v>
      </c>
      <c r="AH241" s="441">
        <f t="shared" si="49"/>
        <v>112860</v>
      </c>
      <c r="AI241" s="441">
        <f t="shared" si="49"/>
        <v>327600</v>
      </c>
      <c r="AJ241" s="441">
        <f t="shared" si="49"/>
        <v>510142.19999999995</v>
      </c>
      <c r="AK241" s="442">
        <f t="shared" si="49"/>
        <v>24000</v>
      </c>
    </row>
    <row r="242" spans="1:37" ht="18" x14ac:dyDescent="0.35">
      <c r="B242" s="443"/>
      <c r="C242" s="443"/>
      <c r="D242" s="444"/>
      <c r="E242" s="444"/>
      <c r="F242" s="445"/>
      <c r="G242" s="444"/>
      <c r="H242" s="444"/>
      <c r="M242" s="443"/>
      <c r="N242" s="446"/>
      <c r="O242" s="447"/>
      <c r="P242" s="446"/>
      <c r="Q242" s="446"/>
      <c r="R242" s="447" t="s">
        <v>571</v>
      </c>
      <c r="S242" s="446">
        <f>B10-S241</f>
        <v>10819.424999999814</v>
      </c>
      <c r="T242" s="438"/>
      <c r="Z242" s="448"/>
    </row>
    <row r="243" spans="1:37" x14ac:dyDescent="0.3">
      <c r="D243" s="304"/>
      <c r="E243" s="304"/>
      <c r="G243" s="304"/>
      <c r="H243" s="304"/>
    </row>
    <row r="244" spans="1:37" x14ac:dyDescent="0.3">
      <c r="D244" s="30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116C-B401-44C4-B2FE-8DBB13C8F44A}">
  <dimension ref="A1:B12"/>
  <sheetViews>
    <sheetView workbookViewId="0">
      <selection activeCell="B12" sqref="B12"/>
    </sheetView>
  </sheetViews>
  <sheetFormatPr defaultRowHeight="14.4" x14ac:dyDescent="0.3"/>
  <sheetData>
    <row r="1" spans="1:2" x14ac:dyDescent="0.3">
      <c r="A1">
        <v>1</v>
      </c>
      <c r="B1">
        <v>0.9</v>
      </c>
    </row>
    <row r="2" spans="1:2" x14ac:dyDescent="0.3">
      <c r="A2">
        <v>2</v>
      </c>
      <c r="B2">
        <v>0.8</v>
      </c>
    </row>
    <row r="3" spans="1:2" x14ac:dyDescent="0.3">
      <c r="A3">
        <v>3</v>
      </c>
      <c r="B3">
        <v>0.7</v>
      </c>
    </row>
    <row r="4" spans="1:2" x14ac:dyDescent="0.3">
      <c r="A4">
        <v>4</v>
      </c>
      <c r="B4">
        <v>0.6</v>
      </c>
    </row>
    <row r="5" spans="1:2" x14ac:dyDescent="0.3">
      <c r="A5">
        <v>5</v>
      </c>
      <c r="B5">
        <v>0.5</v>
      </c>
    </row>
    <row r="6" spans="1:2" x14ac:dyDescent="0.3">
      <c r="A6">
        <v>6</v>
      </c>
      <c r="B6">
        <v>0.4</v>
      </c>
    </row>
    <row r="7" spans="1:2" x14ac:dyDescent="0.3">
      <c r="A7">
        <v>7</v>
      </c>
      <c r="B7">
        <v>0.3</v>
      </c>
    </row>
    <row r="8" spans="1:2" x14ac:dyDescent="0.3">
      <c r="A8">
        <v>8</v>
      </c>
      <c r="B8">
        <v>0.2</v>
      </c>
    </row>
    <row r="9" spans="1:2" x14ac:dyDescent="0.3">
      <c r="A9">
        <v>9</v>
      </c>
      <c r="B9">
        <v>0.1</v>
      </c>
    </row>
    <row r="10" spans="1:2" x14ac:dyDescent="0.3">
      <c r="A10">
        <v>10</v>
      </c>
      <c r="B10">
        <v>0.05</v>
      </c>
    </row>
    <row r="11" spans="1:2" x14ac:dyDescent="0.3">
      <c r="A11">
        <v>11</v>
      </c>
      <c r="B11">
        <v>0.03</v>
      </c>
    </row>
    <row r="12" spans="1:2" x14ac:dyDescent="0.3">
      <c r="A12">
        <v>12</v>
      </c>
      <c r="B12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7"/>
  <sheetViews>
    <sheetView tabSelected="1" workbookViewId="0">
      <selection activeCell="E87" sqref="E87"/>
    </sheetView>
  </sheetViews>
  <sheetFormatPr defaultRowHeight="14.4" x14ac:dyDescent="0.3"/>
  <sheetData>
    <row r="1" spans="1:32" x14ac:dyDescent="0.3">
      <c r="A1" s="17" t="s">
        <v>1165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1166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328</v>
      </c>
      <c r="C2" t="s">
        <v>329</v>
      </c>
      <c r="D2" t="s">
        <v>304</v>
      </c>
      <c r="E2" s="1" t="s">
        <v>306</v>
      </c>
      <c r="F2" s="1" t="s">
        <v>21</v>
      </c>
      <c r="G2" s="2186">
        <v>2</v>
      </c>
      <c r="H2" s="2186">
        <f>VLOOKUP(G2,Pesos!A:B,2,0)</f>
        <v>0.8</v>
      </c>
      <c r="I2" s="1"/>
      <c r="J2" s="1" t="s">
        <v>305</v>
      </c>
      <c r="K2" s="1">
        <v>6</v>
      </c>
      <c r="L2" s="1">
        <v>12</v>
      </c>
      <c r="M2" s="1">
        <v>1</v>
      </c>
      <c r="N2" s="1" t="s">
        <v>307</v>
      </c>
      <c r="O2" s="1">
        <v>1</v>
      </c>
      <c r="P2" s="1"/>
      <c r="Q2" s="1">
        <v>1</v>
      </c>
      <c r="R2" s="1"/>
      <c r="S2" s="1">
        <v>2</v>
      </c>
      <c r="T2" s="25">
        <v>5929</v>
      </c>
      <c r="U2" s="25">
        <v>0.6</v>
      </c>
      <c r="V2" s="25">
        <f>T2*(1-U2)</f>
        <v>2371.6</v>
      </c>
      <c r="W2" s="25">
        <f t="shared" ref="W2:W17" si="0">V2*S2*M2</f>
        <v>4743.2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328</v>
      </c>
      <c r="C3" t="s">
        <v>329</v>
      </c>
      <c r="D3" t="s">
        <v>304</v>
      </c>
      <c r="E3" s="1" t="s">
        <v>23</v>
      </c>
      <c r="F3" s="1" t="s">
        <v>21</v>
      </c>
      <c r="G3" s="2186">
        <v>2</v>
      </c>
      <c r="H3" s="2186">
        <f>VLOOKUP(G3,Pesos!A:B,2,0)</f>
        <v>0.8</v>
      </c>
      <c r="J3" s="1" t="s">
        <v>305</v>
      </c>
      <c r="K3" s="1">
        <v>6</v>
      </c>
      <c r="L3" s="1">
        <v>12</v>
      </c>
      <c r="M3" s="1">
        <v>1</v>
      </c>
      <c r="N3" s="1" t="s">
        <v>24</v>
      </c>
      <c r="O3" s="1">
        <v>1</v>
      </c>
      <c r="S3" s="1">
        <v>1</v>
      </c>
      <c r="T3" s="26">
        <v>27024.1</v>
      </c>
      <c r="U3" s="24">
        <v>0.75</v>
      </c>
      <c r="V3" s="26">
        <f>T3*(1-U3)</f>
        <v>6756.0249999999996</v>
      </c>
      <c r="W3" s="26">
        <f t="shared" si="0"/>
        <v>6756.0249999999996</v>
      </c>
      <c r="X3" s="6"/>
      <c r="Y3" s="22"/>
      <c r="Z3" s="1"/>
    </row>
    <row r="4" spans="1:32" x14ac:dyDescent="0.3">
      <c r="A4" t="s">
        <v>327</v>
      </c>
      <c r="B4" t="s">
        <v>328</v>
      </c>
      <c r="C4" t="s">
        <v>329</v>
      </c>
      <c r="D4" t="s">
        <v>304</v>
      </c>
      <c r="E4" s="1" t="s">
        <v>25</v>
      </c>
      <c r="F4" s="1" t="s">
        <v>21</v>
      </c>
      <c r="G4" s="2186">
        <v>2</v>
      </c>
      <c r="H4" s="2186">
        <f>VLOOKUP(G4,Pesos!A:B,2,0)</f>
        <v>0.8</v>
      </c>
      <c r="J4" s="1" t="s">
        <v>305</v>
      </c>
      <c r="K4" s="1">
        <v>6</v>
      </c>
      <c r="L4" s="1">
        <v>12</v>
      </c>
      <c r="M4" s="1">
        <v>1</v>
      </c>
      <c r="N4" s="1" t="s">
        <v>24</v>
      </c>
      <c r="O4" s="1">
        <v>1</v>
      </c>
      <c r="S4" s="1">
        <v>1</v>
      </c>
      <c r="T4" s="26">
        <v>7000</v>
      </c>
      <c r="U4" s="24">
        <v>0.1</v>
      </c>
      <c r="V4" s="26">
        <f t="shared" ref="V4:V17" si="1">T4*(1-U4)</f>
        <v>6300</v>
      </c>
      <c r="W4" s="26">
        <f t="shared" si="0"/>
        <v>6300</v>
      </c>
      <c r="X4" s="6"/>
      <c r="Y4" s="22"/>
      <c r="Z4" s="1"/>
    </row>
    <row r="5" spans="1:32" x14ac:dyDescent="0.3">
      <c r="A5" t="s">
        <v>327</v>
      </c>
      <c r="B5" t="s">
        <v>328</v>
      </c>
      <c r="C5" t="s">
        <v>329</v>
      </c>
      <c r="D5" t="s">
        <v>304</v>
      </c>
      <c r="E5" s="1" t="s">
        <v>25</v>
      </c>
      <c r="F5" s="1" t="s">
        <v>26</v>
      </c>
      <c r="G5" s="2186">
        <v>5</v>
      </c>
      <c r="H5" s="2186">
        <f>VLOOKUP(G5,Pesos!A:B,2,0)</f>
        <v>0.5</v>
      </c>
      <c r="I5" s="1" t="s">
        <v>305</v>
      </c>
      <c r="K5" s="1">
        <v>4</v>
      </c>
      <c r="L5" s="2" t="s">
        <v>330</v>
      </c>
      <c r="M5" s="1">
        <v>1</v>
      </c>
      <c r="N5" s="1" t="s">
        <v>24</v>
      </c>
      <c r="O5" s="1">
        <v>1</v>
      </c>
      <c r="S5" s="1">
        <v>1</v>
      </c>
      <c r="T5" s="26">
        <v>7500</v>
      </c>
      <c r="U5" s="24">
        <v>0.1</v>
      </c>
      <c r="V5" s="26">
        <f t="shared" si="1"/>
        <v>6750</v>
      </c>
      <c r="W5" s="26">
        <f t="shared" si="0"/>
        <v>6750</v>
      </c>
      <c r="X5" s="6"/>
      <c r="Y5" s="22"/>
      <c r="Z5" s="1"/>
    </row>
    <row r="6" spans="1:32" x14ac:dyDescent="0.3">
      <c r="A6" t="s">
        <v>327</v>
      </c>
      <c r="B6" t="s">
        <v>328</v>
      </c>
      <c r="C6" t="s">
        <v>329</v>
      </c>
      <c r="D6" t="s">
        <v>304</v>
      </c>
      <c r="E6" s="1" t="s">
        <v>25</v>
      </c>
      <c r="F6" s="1" t="s">
        <v>27</v>
      </c>
      <c r="G6" s="2186">
        <v>1</v>
      </c>
      <c r="H6" s="2186">
        <f>VLOOKUP(G6,Pesos!A:B,2,0)</f>
        <v>0.9</v>
      </c>
      <c r="I6" s="1" t="s">
        <v>305</v>
      </c>
      <c r="K6" s="1">
        <v>15</v>
      </c>
      <c r="L6" s="2" t="s">
        <v>185</v>
      </c>
      <c r="M6" s="1">
        <v>25</v>
      </c>
      <c r="N6" s="1" t="s">
        <v>63</v>
      </c>
      <c r="O6" s="1">
        <v>25</v>
      </c>
      <c r="S6" s="1">
        <v>1</v>
      </c>
      <c r="T6" s="26">
        <v>2650</v>
      </c>
      <c r="U6" s="24">
        <v>0.1</v>
      </c>
      <c r="V6" s="26">
        <f t="shared" si="1"/>
        <v>2385</v>
      </c>
      <c r="W6" s="26">
        <f t="shared" si="0"/>
        <v>59625</v>
      </c>
      <c r="X6" s="6"/>
      <c r="Y6" s="22"/>
      <c r="Z6" s="1"/>
    </row>
    <row r="7" spans="1:32" x14ac:dyDescent="0.3">
      <c r="A7" t="s">
        <v>327</v>
      </c>
      <c r="B7" t="s">
        <v>328</v>
      </c>
      <c r="C7" t="s">
        <v>329</v>
      </c>
      <c r="D7" t="s">
        <v>304</v>
      </c>
      <c r="E7" s="1" t="s">
        <v>28</v>
      </c>
      <c r="F7" s="1" t="s">
        <v>21</v>
      </c>
      <c r="G7" s="2186">
        <v>2</v>
      </c>
      <c r="H7" s="2186">
        <f>VLOOKUP(G7,Pesos!A:B,2,0)</f>
        <v>0.8</v>
      </c>
      <c r="J7" s="1" t="s">
        <v>305</v>
      </c>
      <c r="K7" s="1">
        <v>6</v>
      </c>
      <c r="L7" s="2" t="s">
        <v>331</v>
      </c>
      <c r="M7" s="1">
        <v>1</v>
      </c>
      <c r="N7" s="1" t="s">
        <v>24</v>
      </c>
      <c r="O7" s="1">
        <v>1</v>
      </c>
      <c r="S7" s="1">
        <v>1</v>
      </c>
      <c r="T7" s="26">
        <v>5593</v>
      </c>
      <c r="U7" s="24">
        <v>0.25</v>
      </c>
      <c r="V7" s="26">
        <f t="shared" si="1"/>
        <v>4194.75</v>
      </c>
      <c r="W7" s="26">
        <f t="shared" si="0"/>
        <v>4194.75</v>
      </c>
      <c r="X7" s="6"/>
      <c r="Y7" s="22"/>
      <c r="Z7" s="1"/>
    </row>
    <row r="8" spans="1:32" x14ac:dyDescent="0.3">
      <c r="A8" t="s">
        <v>327</v>
      </c>
      <c r="B8" t="s">
        <v>328</v>
      </c>
      <c r="C8" t="s">
        <v>329</v>
      </c>
      <c r="D8" t="s">
        <v>304</v>
      </c>
      <c r="E8" s="1" t="s">
        <v>28</v>
      </c>
      <c r="F8" s="1" t="s">
        <v>26</v>
      </c>
      <c r="G8" s="2186">
        <v>5</v>
      </c>
      <c r="H8" s="2186">
        <f>VLOOKUP(G8,Pesos!A:B,2,0)</f>
        <v>0.5</v>
      </c>
      <c r="I8" s="1" t="s">
        <v>305</v>
      </c>
      <c r="K8" s="1">
        <v>4</v>
      </c>
      <c r="L8" s="2" t="s">
        <v>330</v>
      </c>
      <c r="M8" s="1">
        <v>2</v>
      </c>
      <c r="N8" s="1" t="s">
        <v>24</v>
      </c>
      <c r="O8" s="1">
        <v>2</v>
      </c>
      <c r="S8" s="1">
        <v>1</v>
      </c>
      <c r="T8" s="26">
        <f>(10000+6680)/2</f>
        <v>8340</v>
      </c>
      <c r="U8" s="24">
        <v>0.3</v>
      </c>
      <c r="V8" s="26">
        <f t="shared" si="1"/>
        <v>5838</v>
      </c>
      <c r="W8" s="26">
        <f t="shared" si="0"/>
        <v>11676</v>
      </c>
      <c r="X8" s="6"/>
      <c r="Y8" s="22"/>
      <c r="Z8" s="1"/>
    </row>
    <row r="9" spans="1:32" x14ac:dyDescent="0.3">
      <c r="A9" t="s">
        <v>327</v>
      </c>
      <c r="B9" t="s">
        <v>328</v>
      </c>
      <c r="C9" t="s">
        <v>329</v>
      </c>
      <c r="D9" t="s">
        <v>304</v>
      </c>
      <c r="E9" s="1" t="s">
        <v>28</v>
      </c>
      <c r="F9" s="1" t="s">
        <v>29</v>
      </c>
      <c r="G9" s="2186">
        <v>4</v>
      </c>
      <c r="H9" s="2186">
        <f>VLOOKUP(G9,Pesos!A:B,2,0)</f>
        <v>0.6</v>
      </c>
      <c r="I9" s="1" t="s">
        <v>305</v>
      </c>
      <c r="K9" s="1">
        <v>2</v>
      </c>
      <c r="L9" s="2" t="s">
        <v>229</v>
      </c>
      <c r="M9" s="1">
        <v>3</v>
      </c>
      <c r="N9" s="1" t="s">
        <v>24</v>
      </c>
      <c r="O9" s="1">
        <v>3</v>
      </c>
      <c r="S9" s="1">
        <v>1</v>
      </c>
      <c r="T9" s="26">
        <f>(13400+28000+16000)/3</f>
        <v>19133.333333333332</v>
      </c>
      <c r="U9" s="24">
        <v>0.25</v>
      </c>
      <c r="V9" s="26">
        <f t="shared" si="1"/>
        <v>14350</v>
      </c>
      <c r="W9" s="26">
        <f t="shared" si="0"/>
        <v>43050</v>
      </c>
      <c r="X9" s="6"/>
      <c r="Y9" s="22"/>
      <c r="Z9" s="1"/>
    </row>
    <row r="10" spans="1:32" x14ac:dyDescent="0.3">
      <c r="A10" t="s">
        <v>327</v>
      </c>
      <c r="B10" t="s">
        <v>328</v>
      </c>
      <c r="C10" t="s">
        <v>329</v>
      </c>
      <c r="D10" t="s">
        <v>304</v>
      </c>
      <c r="E10" s="1" t="s">
        <v>30</v>
      </c>
      <c r="F10" s="1" t="s">
        <v>21</v>
      </c>
      <c r="G10" s="2186">
        <v>2</v>
      </c>
      <c r="H10" s="2186">
        <f>VLOOKUP(G10,Pesos!A:B,2,0)</f>
        <v>0.8</v>
      </c>
      <c r="J10" s="1" t="s">
        <v>305</v>
      </c>
      <c r="K10" s="1">
        <v>6</v>
      </c>
      <c r="L10" s="2" t="s">
        <v>331</v>
      </c>
      <c r="M10" s="1">
        <v>1</v>
      </c>
      <c r="N10" s="1" t="s">
        <v>24</v>
      </c>
      <c r="O10" s="1">
        <v>1</v>
      </c>
      <c r="S10" s="1">
        <v>1</v>
      </c>
      <c r="T10" s="26">
        <v>2362</v>
      </c>
      <c r="U10" s="24">
        <v>0.2</v>
      </c>
      <c r="V10" s="26">
        <f t="shared" si="1"/>
        <v>1889.6000000000001</v>
      </c>
      <c r="W10" s="26">
        <f t="shared" si="0"/>
        <v>1889.6000000000001</v>
      </c>
      <c r="X10" s="6"/>
      <c r="Y10" s="22"/>
      <c r="Z10" s="1"/>
    </row>
    <row r="11" spans="1:32" x14ac:dyDescent="0.3">
      <c r="A11" t="s">
        <v>327</v>
      </c>
      <c r="B11" t="s">
        <v>328</v>
      </c>
      <c r="C11" t="s">
        <v>329</v>
      </c>
      <c r="D11" t="s">
        <v>304</v>
      </c>
      <c r="E11" s="1" t="s">
        <v>30</v>
      </c>
      <c r="F11" s="1" t="s">
        <v>27</v>
      </c>
      <c r="G11" s="2186">
        <v>1</v>
      </c>
      <c r="H11" s="2186">
        <f>VLOOKUP(G11,Pesos!A:B,2,0)</f>
        <v>0.9</v>
      </c>
      <c r="I11" s="1" t="s">
        <v>305</v>
      </c>
      <c r="K11" s="1">
        <v>15</v>
      </c>
      <c r="L11" s="2" t="s">
        <v>185</v>
      </c>
      <c r="M11" s="1">
        <v>25</v>
      </c>
      <c r="N11" s="1" t="s">
        <v>24</v>
      </c>
      <c r="Q11" s="1">
        <v>25</v>
      </c>
      <c r="S11" s="1">
        <v>1</v>
      </c>
      <c r="T11" s="26">
        <v>2650</v>
      </c>
      <c r="U11" s="24">
        <v>0.2</v>
      </c>
      <c r="V11" s="26">
        <f t="shared" si="1"/>
        <v>2120</v>
      </c>
      <c r="W11" s="26">
        <f t="shared" si="0"/>
        <v>53000</v>
      </c>
      <c r="X11" s="6"/>
      <c r="Y11" s="22"/>
      <c r="Z11" s="1"/>
    </row>
    <row r="12" spans="1:32" x14ac:dyDescent="0.3">
      <c r="A12" t="s">
        <v>327</v>
      </c>
      <c r="B12" t="s">
        <v>328</v>
      </c>
      <c r="C12" t="s">
        <v>329</v>
      </c>
      <c r="D12" t="s">
        <v>304</v>
      </c>
      <c r="E12" s="1" t="s">
        <v>31</v>
      </c>
      <c r="F12" s="1" t="s">
        <v>32</v>
      </c>
      <c r="G12" s="2186">
        <v>6</v>
      </c>
      <c r="H12" s="2186">
        <f>VLOOKUP(G12,Pesos!A:B,2,0)</f>
        <v>0.4</v>
      </c>
      <c r="K12" s="1">
        <v>7</v>
      </c>
      <c r="L12" s="2" t="s">
        <v>185</v>
      </c>
      <c r="M12" s="1">
        <v>7</v>
      </c>
      <c r="N12" s="1" t="s">
        <v>33</v>
      </c>
      <c r="O12" s="1">
        <v>7</v>
      </c>
      <c r="Q12" s="1">
        <v>7</v>
      </c>
      <c r="S12" s="1">
        <v>2</v>
      </c>
      <c r="T12" s="26">
        <f>265*8</f>
        <v>2120</v>
      </c>
      <c r="U12" s="24">
        <v>0.4</v>
      </c>
      <c r="V12" s="26">
        <f t="shared" si="1"/>
        <v>1272</v>
      </c>
      <c r="W12" s="26">
        <f t="shared" si="0"/>
        <v>17808</v>
      </c>
      <c r="X12" s="6"/>
      <c r="Y12" s="22"/>
      <c r="Z12" s="1"/>
    </row>
    <row r="13" spans="1:32" x14ac:dyDescent="0.3">
      <c r="A13" t="s">
        <v>327</v>
      </c>
      <c r="B13" t="s">
        <v>328</v>
      </c>
      <c r="C13" t="s">
        <v>329</v>
      </c>
      <c r="D13" t="s">
        <v>304</v>
      </c>
      <c r="E13" s="1" t="s">
        <v>34</v>
      </c>
      <c r="F13" s="1" t="s">
        <v>21</v>
      </c>
      <c r="G13" s="2186">
        <v>2</v>
      </c>
      <c r="H13" s="2186">
        <f>VLOOKUP(G13,Pesos!A:B,2,0)</f>
        <v>0.8</v>
      </c>
      <c r="J13" s="1" t="s">
        <v>305</v>
      </c>
      <c r="K13" s="1">
        <v>6</v>
      </c>
      <c r="L13" s="2" t="s">
        <v>331</v>
      </c>
      <c r="M13" s="1">
        <v>2</v>
      </c>
      <c r="N13" s="1" t="s">
        <v>24</v>
      </c>
      <c r="O13" s="1">
        <v>2</v>
      </c>
      <c r="S13" s="1">
        <v>1</v>
      </c>
      <c r="T13" s="26">
        <v>7920</v>
      </c>
      <c r="U13" s="24">
        <v>0.25</v>
      </c>
      <c r="V13" s="26">
        <f t="shared" si="1"/>
        <v>5940</v>
      </c>
      <c r="W13" s="26">
        <f t="shared" si="0"/>
        <v>11880</v>
      </c>
      <c r="X13" s="6"/>
      <c r="Y13" s="22"/>
      <c r="Z13" s="1"/>
    </row>
    <row r="14" spans="1:32" x14ac:dyDescent="0.3">
      <c r="A14" t="s">
        <v>327</v>
      </c>
      <c r="B14" t="s">
        <v>328</v>
      </c>
      <c r="C14" t="s">
        <v>329</v>
      </c>
      <c r="D14" t="s">
        <v>304</v>
      </c>
      <c r="E14" s="1" t="s">
        <v>35</v>
      </c>
      <c r="F14" s="1" t="s">
        <v>21</v>
      </c>
      <c r="G14" s="2186">
        <v>2</v>
      </c>
      <c r="H14" s="2186">
        <f>VLOOKUP(G14,Pesos!A:B,2,0)</f>
        <v>0.8</v>
      </c>
      <c r="J14" s="1" t="s">
        <v>305</v>
      </c>
      <c r="K14" s="1">
        <v>6</v>
      </c>
      <c r="L14" s="2" t="s">
        <v>331</v>
      </c>
      <c r="M14" s="1">
        <v>2</v>
      </c>
      <c r="N14" s="1" t="s">
        <v>24</v>
      </c>
      <c r="O14" s="1">
        <v>2</v>
      </c>
      <c r="S14" s="1">
        <v>1</v>
      </c>
      <c r="T14" s="26">
        <v>18500</v>
      </c>
      <c r="U14" s="24">
        <v>0.6</v>
      </c>
      <c r="V14" s="26">
        <f t="shared" si="1"/>
        <v>7400</v>
      </c>
      <c r="W14" s="26">
        <f t="shared" si="0"/>
        <v>14800</v>
      </c>
      <c r="X14" s="6"/>
      <c r="Y14" s="22"/>
      <c r="Z14" s="1"/>
    </row>
    <row r="15" spans="1:32" x14ac:dyDescent="0.3">
      <c r="A15" t="s">
        <v>327</v>
      </c>
      <c r="B15" t="s">
        <v>328</v>
      </c>
      <c r="C15" t="s">
        <v>329</v>
      </c>
      <c r="D15" t="s">
        <v>304</v>
      </c>
      <c r="E15" s="1" t="s">
        <v>35</v>
      </c>
      <c r="F15" s="1" t="s">
        <v>26</v>
      </c>
      <c r="G15" s="2186">
        <v>5</v>
      </c>
      <c r="H15" s="2186">
        <f>VLOOKUP(G15,Pesos!A:B,2,0)</f>
        <v>0.5</v>
      </c>
      <c r="I15" s="1" t="s">
        <v>305</v>
      </c>
      <c r="K15" s="1">
        <v>6</v>
      </c>
      <c r="L15" s="2" t="s">
        <v>331</v>
      </c>
      <c r="M15" s="1">
        <v>2</v>
      </c>
      <c r="N15" s="1" t="s">
        <v>24</v>
      </c>
      <c r="O15" s="1">
        <v>2</v>
      </c>
      <c r="S15" s="1">
        <v>1</v>
      </c>
      <c r="T15" s="26">
        <v>20500</v>
      </c>
      <c r="U15" s="24">
        <v>0.57999999999999996</v>
      </c>
      <c r="V15" s="26">
        <f t="shared" si="1"/>
        <v>8610</v>
      </c>
      <c r="W15" s="26">
        <f t="shared" si="0"/>
        <v>17220</v>
      </c>
      <c r="X15" s="6"/>
      <c r="Y15" s="22"/>
      <c r="Z15" s="1"/>
    </row>
    <row r="16" spans="1:32" x14ac:dyDescent="0.3">
      <c r="A16" t="s">
        <v>327</v>
      </c>
      <c r="B16" t="s">
        <v>328</v>
      </c>
      <c r="C16" t="s">
        <v>329</v>
      </c>
      <c r="D16" t="s">
        <v>304</v>
      </c>
      <c r="E16" s="1" t="s">
        <v>36</v>
      </c>
      <c r="F16" s="1" t="s">
        <v>21</v>
      </c>
      <c r="G16" s="2186">
        <v>2</v>
      </c>
      <c r="H16" s="2186">
        <f>VLOOKUP(G16,Pesos!A:B,2,0)</f>
        <v>0.8</v>
      </c>
      <c r="J16" s="1" t="s">
        <v>305</v>
      </c>
      <c r="K16" s="1">
        <v>6</v>
      </c>
      <c r="L16" s="2" t="s">
        <v>331</v>
      </c>
      <c r="M16" s="1">
        <v>1</v>
      </c>
      <c r="N16" s="1" t="s">
        <v>24</v>
      </c>
      <c r="O16" s="1">
        <v>1</v>
      </c>
      <c r="S16" s="1">
        <v>1</v>
      </c>
      <c r="T16" s="26">
        <v>8125</v>
      </c>
      <c r="U16" s="24">
        <v>0.15</v>
      </c>
      <c r="V16" s="26">
        <f t="shared" si="1"/>
        <v>6906.25</v>
      </c>
      <c r="W16" s="26">
        <f t="shared" si="0"/>
        <v>6906.25</v>
      </c>
      <c r="X16" s="6"/>
      <c r="Y16" s="22"/>
      <c r="Z16" s="1"/>
    </row>
    <row r="17" spans="1:26" x14ac:dyDescent="0.3">
      <c r="A17" t="s">
        <v>327</v>
      </c>
      <c r="B17" t="s">
        <v>328</v>
      </c>
      <c r="C17" t="s">
        <v>329</v>
      </c>
      <c r="D17" t="s">
        <v>304</v>
      </c>
      <c r="E17" s="1" t="s">
        <v>36</v>
      </c>
      <c r="F17" s="1" t="s">
        <v>37</v>
      </c>
      <c r="G17" s="2186">
        <v>3</v>
      </c>
      <c r="H17" s="2186">
        <f>VLOOKUP(G17,Pesos!A:B,2,0)</f>
        <v>0.7</v>
      </c>
      <c r="I17" s="1" t="s">
        <v>305</v>
      </c>
      <c r="K17" s="1">
        <v>1</v>
      </c>
      <c r="L17" s="2" t="s">
        <v>333</v>
      </c>
      <c r="M17" s="1">
        <v>1</v>
      </c>
      <c r="N17" s="1" t="s">
        <v>24</v>
      </c>
      <c r="O17" s="1">
        <v>1</v>
      </c>
      <c r="S17" s="1">
        <v>1</v>
      </c>
      <c r="T17" s="26">
        <v>73000</v>
      </c>
      <c r="U17" s="24">
        <v>0</v>
      </c>
      <c r="V17" s="26">
        <f t="shared" si="1"/>
        <v>73000</v>
      </c>
      <c r="W17" s="26">
        <f t="shared" si="0"/>
        <v>73000</v>
      </c>
      <c r="X17" s="6"/>
      <c r="Y17" s="22"/>
      <c r="Z17" s="1"/>
    </row>
    <row r="18" spans="1:26" x14ac:dyDescent="0.3">
      <c r="G18" s="2186"/>
      <c r="H18" s="2186"/>
      <c r="L18" s="2"/>
      <c r="M18" s="1"/>
      <c r="T18" s="26"/>
      <c r="U18" s="24"/>
      <c r="V18" s="26"/>
      <c r="W18" s="26"/>
      <c r="X18" s="22"/>
      <c r="Y18" s="22"/>
      <c r="Z18" s="1"/>
    </row>
    <row r="19" spans="1:26" x14ac:dyDescent="0.3">
      <c r="A19" t="s">
        <v>340</v>
      </c>
      <c r="B19" t="s">
        <v>328</v>
      </c>
      <c r="C19" t="s">
        <v>329</v>
      </c>
      <c r="D19" t="s">
        <v>304</v>
      </c>
      <c r="E19" s="1" t="s">
        <v>20</v>
      </c>
      <c r="F19" s="1" t="s">
        <v>21</v>
      </c>
      <c r="G19" s="2186">
        <v>1</v>
      </c>
      <c r="H19" s="2186">
        <f>VLOOKUP(G19,Pesos!A:B,2,0)</f>
        <v>0.9</v>
      </c>
      <c r="J19" s="1" t="s">
        <v>308</v>
      </c>
      <c r="K19" s="1">
        <v>6</v>
      </c>
      <c r="L19" s="1">
        <v>12</v>
      </c>
      <c r="M19" s="1">
        <v>1</v>
      </c>
      <c r="N19" s="1" t="s">
        <v>22</v>
      </c>
      <c r="O19" s="1">
        <v>1</v>
      </c>
      <c r="Q19" s="1">
        <v>1</v>
      </c>
      <c r="S19" s="1">
        <v>1</v>
      </c>
      <c r="T19" s="28">
        <v>5929</v>
      </c>
      <c r="U19" s="25">
        <v>0.6</v>
      </c>
      <c r="V19" s="25">
        <f>T19*(1-U19)</f>
        <v>2371.6</v>
      </c>
      <c r="W19" s="25">
        <f t="shared" ref="W19:W34" si="2">V19*S19*M19</f>
        <v>2371.6</v>
      </c>
      <c r="X19" s="18"/>
    </row>
    <row r="20" spans="1:26" x14ac:dyDescent="0.3">
      <c r="A20" t="s">
        <v>340</v>
      </c>
      <c r="B20" t="s">
        <v>328</v>
      </c>
      <c r="C20" t="s">
        <v>329</v>
      </c>
      <c r="D20" t="s">
        <v>304</v>
      </c>
      <c r="E20" s="1" t="s">
        <v>23</v>
      </c>
      <c r="F20" s="1" t="s">
        <v>21</v>
      </c>
      <c r="G20" s="2186">
        <v>1</v>
      </c>
      <c r="H20" s="2186">
        <f>VLOOKUP(G20,Pesos!A:B,2,0)</f>
        <v>0.9</v>
      </c>
      <c r="J20" s="1" t="s">
        <v>308</v>
      </c>
      <c r="K20" s="1">
        <v>6</v>
      </c>
      <c r="L20" s="1">
        <v>12</v>
      </c>
      <c r="M20" s="1">
        <v>2</v>
      </c>
      <c r="N20" s="1" t="s">
        <v>24</v>
      </c>
      <c r="O20" s="1">
        <v>2</v>
      </c>
      <c r="S20" s="1">
        <v>1</v>
      </c>
      <c r="T20" s="26">
        <v>27024.15</v>
      </c>
      <c r="U20" s="24">
        <v>0.75</v>
      </c>
      <c r="V20" s="26">
        <f>T20*(1-U20)</f>
        <v>6756.0375000000004</v>
      </c>
      <c r="W20" s="26">
        <f t="shared" si="2"/>
        <v>13512.075000000001</v>
      </c>
      <c r="X20" s="6"/>
    </row>
    <row r="21" spans="1:26" x14ac:dyDescent="0.3">
      <c r="A21" t="s">
        <v>340</v>
      </c>
      <c r="B21" t="s">
        <v>328</v>
      </c>
      <c r="C21" t="s">
        <v>329</v>
      </c>
      <c r="D21" t="s">
        <v>304</v>
      </c>
      <c r="E21" s="1" t="s">
        <v>25</v>
      </c>
      <c r="F21" s="1" t="s">
        <v>21</v>
      </c>
      <c r="G21" s="2186">
        <v>1</v>
      </c>
      <c r="H21" s="2186">
        <f>VLOOKUP(G21,Pesos!A:B,2,0)</f>
        <v>0.9</v>
      </c>
      <c r="J21" s="1" t="s">
        <v>308</v>
      </c>
      <c r="K21" s="1">
        <v>6</v>
      </c>
      <c r="L21" s="1">
        <v>12</v>
      </c>
      <c r="M21" s="1">
        <v>2</v>
      </c>
      <c r="N21" s="1" t="s">
        <v>24</v>
      </c>
      <c r="O21" s="1">
        <v>2</v>
      </c>
      <c r="S21" s="1">
        <v>1</v>
      </c>
      <c r="T21" s="26">
        <v>7000</v>
      </c>
      <c r="U21" s="24">
        <v>0.1</v>
      </c>
      <c r="V21" s="26">
        <f t="shared" ref="V21:V34" si="3">T21*(1-U21)</f>
        <v>6300</v>
      </c>
      <c r="W21" s="26">
        <f t="shared" si="2"/>
        <v>12600</v>
      </c>
      <c r="X21" s="6"/>
    </row>
    <row r="22" spans="1:26" x14ac:dyDescent="0.3">
      <c r="A22" t="s">
        <v>340</v>
      </c>
      <c r="B22" t="s">
        <v>328</v>
      </c>
      <c r="C22" t="s">
        <v>329</v>
      </c>
      <c r="D22" t="s">
        <v>304</v>
      </c>
      <c r="E22" s="1" t="s">
        <v>25</v>
      </c>
      <c r="F22" s="1" t="s">
        <v>26</v>
      </c>
      <c r="G22" s="2186">
        <v>5</v>
      </c>
      <c r="H22" s="2186">
        <f>VLOOKUP(G22,Pesos!A:B,2,0)</f>
        <v>0.5</v>
      </c>
      <c r="I22" s="1" t="s">
        <v>308</v>
      </c>
      <c r="K22" s="1">
        <v>4</v>
      </c>
      <c r="L22" s="1">
        <v>8</v>
      </c>
      <c r="M22" s="1">
        <v>1</v>
      </c>
      <c r="N22" s="1" t="s">
        <v>24</v>
      </c>
      <c r="O22" s="1">
        <v>1</v>
      </c>
      <c r="S22" s="1">
        <v>1</v>
      </c>
      <c r="T22" s="26">
        <v>7500</v>
      </c>
      <c r="U22" s="24">
        <v>0.1</v>
      </c>
      <c r="V22" s="26">
        <f t="shared" si="3"/>
        <v>6750</v>
      </c>
      <c r="W22" s="26">
        <f t="shared" si="2"/>
        <v>6750</v>
      </c>
      <c r="X22" s="6"/>
    </row>
    <row r="23" spans="1:26" x14ac:dyDescent="0.3">
      <c r="A23" t="s">
        <v>340</v>
      </c>
      <c r="B23" t="s">
        <v>328</v>
      </c>
      <c r="C23" t="s">
        <v>329</v>
      </c>
      <c r="D23" t="s">
        <v>304</v>
      </c>
      <c r="E23" s="1" t="s">
        <v>25</v>
      </c>
      <c r="F23" s="1" t="s">
        <v>27</v>
      </c>
      <c r="G23" s="2186">
        <v>2</v>
      </c>
      <c r="H23" s="2186">
        <f>VLOOKUP(G23,Pesos!A:B,2,0)</f>
        <v>0.8</v>
      </c>
      <c r="I23" s="1" t="s">
        <v>308</v>
      </c>
      <c r="K23" s="1">
        <v>15</v>
      </c>
      <c r="L23" s="1">
        <v>30</v>
      </c>
      <c r="M23" s="1">
        <v>30</v>
      </c>
      <c r="N23" s="1" t="s">
        <v>24</v>
      </c>
      <c r="O23" s="1">
        <v>30</v>
      </c>
      <c r="S23" s="1">
        <v>1</v>
      </c>
      <c r="T23" s="26">
        <v>2650</v>
      </c>
      <c r="U23" s="24">
        <v>0.1</v>
      </c>
      <c r="V23" s="26">
        <f t="shared" si="3"/>
        <v>2385</v>
      </c>
      <c r="W23" s="26">
        <f t="shared" si="2"/>
        <v>71550</v>
      </c>
      <c r="X23" s="6"/>
    </row>
    <row r="24" spans="1:26" x14ac:dyDescent="0.3">
      <c r="A24" t="s">
        <v>340</v>
      </c>
      <c r="B24" t="s">
        <v>328</v>
      </c>
      <c r="C24" t="s">
        <v>329</v>
      </c>
      <c r="D24" t="s">
        <v>304</v>
      </c>
      <c r="E24" s="1" t="s">
        <v>28</v>
      </c>
      <c r="F24" s="1" t="s">
        <v>21</v>
      </c>
      <c r="G24" s="2186">
        <v>1</v>
      </c>
      <c r="H24" s="2186">
        <f>VLOOKUP(G24,Pesos!A:B,2,0)</f>
        <v>0.9</v>
      </c>
      <c r="J24" s="1" t="s">
        <v>308</v>
      </c>
      <c r="K24" s="1">
        <v>6</v>
      </c>
      <c r="L24" s="1">
        <v>12</v>
      </c>
      <c r="M24" s="1">
        <v>1</v>
      </c>
      <c r="N24" s="1" t="s">
        <v>24</v>
      </c>
      <c r="O24" s="1">
        <v>1</v>
      </c>
      <c r="S24" s="1">
        <v>1</v>
      </c>
      <c r="T24" s="26">
        <v>5593</v>
      </c>
      <c r="U24" s="24">
        <v>0.25</v>
      </c>
      <c r="V24" s="26">
        <f t="shared" si="3"/>
        <v>4194.75</v>
      </c>
      <c r="W24" s="26">
        <f t="shared" si="2"/>
        <v>4194.75</v>
      </c>
      <c r="X24" s="6"/>
    </row>
    <row r="25" spans="1:26" x14ac:dyDescent="0.3">
      <c r="A25" t="s">
        <v>340</v>
      </c>
      <c r="B25" t="s">
        <v>328</v>
      </c>
      <c r="C25" t="s">
        <v>329</v>
      </c>
      <c r="D25" t="s">
        <v>304</v>
      </c>
      <c r="E25" s="1" t="s">
        <v>28</v>
      </c>
      <c r="F25" s="1" t="s">
        <v>26</v>
      </c>
      <c r="G25" s="2186">
        <v>5</v>
      </c>
      <c r="H25" s="2186">
        <f>VLOOKUP(G25,Pesos!A:B,2,0)</f>
        <v>0.5</v>
      </c>
      <c r="I25" s="1" t="s">
        <v>308</v>
      </c>
      <c r="K25" s="1">
        <v>4</v>
      </c>
      <c r="L25" s="1">
        <v>8</v>
      </c>
      <c r="M25" s="1">
        <v>2</v>
      </c>
      <c r="N25" s="1" t="s">
        <v>24</v>
      </c>
      <c r="O25" s="1">
        <v>2</v>
      </c>
      <c r="S25" s="1">
        <v>1</v>
      </c>
      <c r="T25" s="26">
        <f>(10000+6680)/2</f>
        <v>8340</v>
      </c>
      <c r="U25" s="24">
        <v>0.3</v>
      </c>
      <c r="V25" s="26">
        <f t="shared" si="3"/>
        <v>5838</v>
      </c>
      <c r="W25" s="26">
        <f t="shared" si="2"/>
        <v>11676</v>
      </c>
      <c r="X25" s="6"/>
    </row>
    <row r="26" spans="1:26" x14ac:dyDescent="0.3">
      <c r="A26" t="s">
        <v>340</v>
      </c>
      <c r="B26" t="s">
        <v>328</v>
      </c>
      <c r="C26" t="s">
        <v>329</v>
      </c>
      <c r="D26" t="s">
        <v>304</v>
      </c>
      <c r="E26" s="1" t="s">
        <v>30</v>
      </c>
      <c r="F26" s="1" t="s">
        <v>21</v>
      </c>
      <c r="G26" s="2186">
        <v>1</v>
      </c>
      <c r="H26" s="2186">
        <f>VLOOKUP(G26,Pesos!A:B,2,0)</f>
        <v>0.9</v>
      </c>
      <c r="J26" s="1" t="s">
        <v>308</v>
      </c>
      <c r="K26" s="1">
        <v>6</v>
      </c>
      <c r="L26" s="1">
        <v>12</v>
      </c>
      <c r="M26" s="1">
        <v>1</v>
      </c>
      <c r="N26" s="1" t="s">
        <v>24</v>
      </c>
      <c r="O26" s="1">
        <v>1</v>
      </c>
      <c r="S26" s="1">
        <v>1</v>
      </c>
      <c r="T26" s="26">
        <v>2362</v>
      </c>
      <c r="U26" s="1">
        <v>0.2</v>
      </c>
      <c r="V26" s="26">
        <f t="shared" si="3"/>
        <v>1889.6000000000001</v>
      </c>
      <c r="W26" s="26">
        <f t="shared" si="2"/>
        <v>1889.6000000000001</v>
      </c>
      <c r="X26" s="6"/>
    </row>
    <row r="27" spans="1:26" x14ac:dyDescent="0.3">
      <c r="A27" t="s">
        <v>340</v>
      </c>
      <c r="B27" t="s">
        <v>328</v>
      </c>
      <c r="C27" t="s">
        <v>329</v>
      </c>
      <c r="D27" t="s">
        <v>304</v>
      </c>
      <c r="E27" s="1" t="s">
        <v>30</v>
      </c>
      <c r="F27" s="1" t="s">
        <v>27</v>
      </c>
      <c r="G27" s="2186">
        <v>2</v>
      </c>
      <c r="H27" s="2186">
        <f>VLOOKUP(G27,Pesos!A:B,2,0)</f>
        <v>0.8</v>
      </c>
      <c r="I27" s="1" t="s">
        <v>308</v>
      </c>
      <c r="K27" s="1">
        <v>15</v>
      </c>
      <c r="L27" s="1">
        <v>30</v>
      </c>
      <c r="M27" s="1">
        <v>30</v>
      </c>
      <c r="N27" s="1" t="s">
        <v>24</v>
      </c>
      <c r="O27" s="1">
        <v>30</v>
      </c>
      <c r="S27" s="1">
        <v>1</v>
      </c>
      <c r="T27" s="26">
        <v>2650</v>
      </c>
      <c r="U27" s="1">
        <v>0.2</v>
      </c>
      <c r="V27" s="26">
        <f t="shared" si="3"/>
        <v>2120</v>
      </c>
      <c r="W27" s="26">
        <f t="shared" si="2"/>
        <v>63600</v>
      </c>
      <c r="X27" s="6"/>
    </row>
    <row r="28" spans="1:26" x14ac:dyDescent="0.3">
      <c r="A28" t="s">
        <v>340</v>
      </c>
      <c r="B28" t="s">
        <v>328</v>
      </c>
      <c r="C28" t="s">
        <v>329</v>
      </c>
      <c r="D28" t="s">
        <v>304</v>
      </c>
      <c r="E28" s="1" t="s">
        <v>31</v>
      </c>
      <c r="F28" s="1" t="s">
        <v>32</v>
      </c>
      <c r="G28" s="2186">
        <v>3</v>
      </c>
      <c r="H28" s="2186">
        <f>VLOOKUP(G28,Pesos!A:B,2,0)</f>
        <v>0.7</v>
      </c>
      <c r="I28" s="1" t="s">
        <v>308</v>
      </c>
      <c r="K28" s="1">
        <v>7</v>
      </c>
      <c r="L28" s="1">
        <v>30</v>
      </c>
      <c r="M28" s="1">
        <v>7</v>
      </c>
      <c r="N28" s="1" t="s">
        <v>33</v>
      </c>
      <c r="O28" s="1">
        <v>7</v>
      </c>
      <c r="S28" s="1">
        <v>1</v>
      </c>
      <c r="T28" s="26">
        <f>265*8</f>
        <v>2120</v>
      </c>
      <c r="U28" s="1">
        <v>0.4</v>
      </c>
      <c r="V28" s="26">
        <f t="shared" si="3"/>
        <v>1272</v>
      </c>
      <c r="W28" s="26">
        <f t="shared" si="2"/>
        <v>8904</v>
      </c>
      <c r="X28" s="6"/>
    </row>
    <row r="29" spans="1:26" x14ac:dyDescent="0.3">
      <c r="A29" t="s">
        <v>340</v>
      </c>
      <c r="B29" t="s">
        <v>328</v>
      </c>
      <c r="C29" t="s">
        <v>329</v>
      </c>
      <c r="D29" t="s">
        <v>304</v>
      </c>
      <c r="E29" s="1" t="s">
        <v>34</v>
      </c>
      <c r="F29" s="1" t="s">
        <v>21</v>
      </c>
      <c r="G29" s="2186">
        <v>1</v>
      </c>
      <c r="H29" s="2186">
        <f>VLOOKUP(G29,Pesos!A:B,2,0)</f>
        <v>0.9</v>
      </c>
      <c r="J29" s="1" t="s">
        <v>308</v>
      </c>
      <c r="K29" s="1">
        <v>6</v>
      </c>
      <c r="L29" s="1">
        <v>12</v>
      </c>
      <c r="M29" s="1">
        <v>2</v>
      </c>
      <c r="N29" s="1" t="s">
        <v>24</v>
      </c>
      <c r="O29" s="1">
        <v>2</v>
      </c>
      <c r="S29" s="1">
        <v>1</v>
      </c>
      <c r="T29" s="26">
        <v>7920</v>
      </c>
      <c r="U29" s="1">
        <v>0.25</v>
      </c>
      <c r="V29" s="26">
        <f t="shared" si="3"/>
        <v>5940</v>
      </c>
      <c r="W29" s="26">
        <f t="shared" si="2"/>
        <v>11880</v>
      </c>
      <c r="X29" s="6"/>
    </row>
    <row r="30" spans="1:26" x14ac:dyDescent="0.3">
      <c r="A30" t="s">
        <v>340</v>
      </c>
      <c r="B30" t="s">
        <v>328</v>
      </c>
      <c r="C30" t="s">
        <v>329</v>
      </c>
      <c r="D30" t="s">
        <v>304</v>
      </c>
      <c r="E30" s="1" t="s">
        <v>35</v>
      </c>
      <c r="F30" s="1" t="s">
        <v>21</v>
      </c>
      <c r="G30" s="2186">
        <v>1</v>
      </c>
      <c r="H30" s="2186">
        <f>VLOOKUP(G30,Pesos!A:B,2,0)</f>
        <v>0.9</v>
      </c>
      <c r="J30" s="1" t="s">
        <v>308</v>
      </c>
      <c r="K30" s="1">
        <v>6</v>
      </c>
      <c r="L30" s="1">
        <v>12</v>
      </c>
      <c r="M30" s="1">
        <v>3</v>
      </c>
      <c r="N30" s="1" t="s">
        <v>24</v>
      </c>
      <c r="O30" s="1">
        <v>3</v>
      </c>
      <c r="S30" s="1">
        <v>1</v>
      </c>
      <c r="T30" s="26">
        <v>18500</v>
      </c>
      <c r="U30" s="1">
        <v>0.6</v>
      </c>
      <c r="V30" s="26">
        <f t="shared" si="3"/>
        <v>7400</v>
      </c>
      <c r="W30" s="26">
        <f t="shared" si="2"/>
        <v>22200</v>
      </c>
      <c r="X30" s="6"/>
    </row>
    <row r="31" spans="1:26" x14ac:dyDescent="0.3">
      <c r="A31" t="s">
        <v>340</v>
      </c>
      <c r="B31" t="s">
        <v>328</v>
      </c>
      <c r="C31" t="s">
        <v>329</v>
      </c>
      <c r="D31" t="s">
        <v>304</v>
      </c>
      <c r="E31" s="1" t="s">
        <v>35</v>
      </c>
      <c r="F31" s="1" t="s">
        <v>26</v>
      </c>
      <c r="G31" s="2186">
        <v>5</v>
      </c>
      <c r="H31" s="2186">
        <f>VLOOKUP(G31,Pesos!A:B,2,0)</f>
        <v>0.5</v>
      </c>
      <c r="I31" s="1" t="s">
        <v>308</v>
      </c>
      <c r="K31" s="1">
        <v>4</v>
      </c>
      <c r="L31" s="1">
        <v>8</v>
      </c>
      <c r="M31" s="1">
        <v>2</v>
      </c>
      <c r="N31" s="1" t="s">
        <v>24</v>
      </c>
      <c r="O31" s="1">
        <v>2</v>
      </c>
      <c r="S31" s="1">
        <v>1</v>
      </c>
      <c r="T31" s="26">
        <v>20500</v>
      </c>
      <c r="U31" s="1">
        <v>0.57999999999999996</v>
      </c>
      <c r="V31" s="26">
        <f t="shared" si="3"/>
        <v>8610</v>
      </c>
      <c r="W31" s="26">
        <f t="shared" si="2"/>
        <v>17220</v>
      </c>
      <c r="X31" s="6"/>
    </row>
    <row r="32" spans="1:26" x14ac:dyDescent="0.3">
      <c r="A32" t="s">
        <v>340</v>
      </c>
      <c r="B32" t="s">
        <v>328</v>
      </c>
      <c r="C32" t="s">
        <v>329</v>
      </c>
      <c r="D32" t="s">
        <v>304</v>
      </c>
      <c r="E32" s="1" t="s">
        <v>36</v>
      </c>
      <c r="F32" s="1" t="s">
        <v>21</v>
      </c>
      <c r="G32" s="2186">
        <v>1</v>
      </c>
      <c r="H32" s="2186">
        <f>VLOOKUP(G32,Pesos!A:B,2,0)</f>
        <v>0.9</v>
      </c>
      <c r="J32" s="1" t="s">
        <v>308</v>
      </c>
      <c r="K32" s="1">
        <v>6</v>
      </c>
      <c r="L32" s="1">
        <v>12</v>
      </c>
      <c r="M32" s="1">
        <v>2</v>
      </c>
      <c r="N32" s="1" t="s">
        <v>24</v>
      </c>
      <c r="O32" s="1">
        <v>2</v>
      </c>
      <c r="S32" s="1">
        <v>1</v>
      </c>
      <c r="T32" s="26">
        <v>8125</v>
      </c>
      <c r="U32" s="1">
        <v>0.15</v>
      </c>
      <c r="V32" s="26">
        <f t="shared" si="3"/>
        <v>6906.25</v>
      </c>
      <c r="W32" s="26">
        <f t="shared" si="2"/>
        <v>13812.5</v>
      </c>
      <c r="X32" s="6"/>
    </row>
    <row r="33" spans="1:24" x14ac:dyDescent="0.3">
      <c r="A33" t="s">
        <v>340</v>
      </c>
      <c r="B33" t="s">
        <v>328</v>
      </c>
      <c r="C33" t="s">
        <v>329</v>
      </c>
      <c r="D33" t="s">
        <v>304</v>
      </c>
      <c r="E33" s="1" t="s">
        <v>36</v>
      </c>
      <c r="F33" s="1" t="s">
        <v>39</v>
      </c>
      <c r="G33" s="2186">
        <v>6</v>
      </c>
      <c r="H33" s="2186">
        <f>VLOOKUP(G33,Pesos!A:B,2,0)</f>
        <v>0.4</v>
      </c>
      <c r="I33" s="1" t="s">
        <v>308</v>
      </c>
      <c r="K33" s="1">
        <v>5</v>
      </c>
      <c r="L33" s="1">
        <v>10</v>
      </c>
      <c r="M33" s="1">
        <v>4</v>
      </c>
      <c r="N33" s="1" t="s">
        <v>40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26">
        <v>1944</v>
      </c>
      <c r="U33" s="1">
        <v>0.15</v>
      </c>
      <c r="V33" s="26">
        <f t="shared" si="3"/>
        <v>1652.3999999999999</v>
      </c>
      <c r="W33" s="26">
        <f t="shared" si="2"/>
        <v>26438.399999999998</v>
      </c>
      <c r="X33" s="6"/>
    </row>
    <row r="34" spans="1:24" x14ac:dyDescent="0.3">
      <c r="A34" t="s">
        <v>340</v>
      </c>
      <c r="B34" t="s">
        <v>328</v>
      </c>
      <c r="C34" t="s">
        <v>329</v>
      </c>
      <c r="D34" t="s">
        <v>304</v>
      </c>
      <c r="E34" s="1" t="s">
        <v>41</v>
      </c>
      <c r="F34" s="1" t="s">
        <v>42</v>
      </c>
      <c r="G34" s="2186">
        <v>4</v>
      </c>
      <c r="H34" s="2186">
        <f>VLOOKUP(G34,Pesos!A:B,2,0)</f>
        <v>0.6</v>
      </c>
      <c r="I34" s="1" t="s">
        <v>308</v>
      </c>
      <c r="K34" s="1">
        <v>10</v>
      </c>
      <c r="L34" s="1">
        <v>35</v>
      </c>
      <c r="M34" s="1">
        <v>20</v>
      </c>
      <c r="N34" s="1" t="s">
        <v>24</v>
      </c>
      <c r="O34" s="1">
        <v>20</v>
      </c>
      <c r="S34" s="1">
        <v>1</v>
      </c>
      <c r="T34" s="26">
        <v>1600</v>
      </c>
      <c r="U34" s="1">
        <v>0.5</v>
      </c>
      <c r="V34" s="26">
        <f t="shared" si="3"/>
        <v>800</v>
      </c>
      <c r="W34" s="26">
        <f t="shared" si="2"/>
        <v>16000</v>
      </c>
      <c r="X34" s="6"/>
    </row>
    <row r="35" spans="1:24" x14ac:dyDescent="0.3">
      <c r="G35" s="2186"/>
      <c r="H35" s="2186"/>
      <c r="M35" s="2"/>
    </row>
    <row r="36" spans="1:24" x14ac:dyDescent="0.3">
      <c r="A36" t="s">
        <v>342</v>
      </c>
      <c r="B36" t="s">
        <v>328</v>
      </c>
      <c r="C36" t="s">
        <v>329</v>
      </c>
      <c r="D36" t="s">
        <v>304</v>
      </c>
      <c r="E36" s="1" t="s">
        <v>23</v>
      </c>
      <c r="F36" s="1" t="s">
        <v>21</v>
      </c>
      <c r="G36" s="2186">
        <v>2</v>
      </c>
      <c r="H36" s="2186">
        <f>VLOOKUP(G36,Pesos!A:B,2,0)</f>
        <v>0.8</v>
      </c>
      <c r="J36" s="1" t="s">
        <v>308</v>
      </c>
      <c r="K36" s="1">
        <v>4</v>
      </c>
      <c r="L36" s="1">
        <v>8</v>
      </c>
      <c r="M36" s="1">
        <v>1</v>
      </c>
      <c r="N36" s="1" t="s">
        <v>24</v>
      </c>
      <c r="O36" s="1">
        <v>1</v>
      </c>
      <c r="S36" s="1">
        <v>1</v>
      </c>
      <c r="T36" s="26">
        <v>27024.15</v>
      </c>
      <c r="U36" s="1">
        <v>0.75</v>
      </c>
      <c r="V36" s="25">
        <f t="shared" ref="V36:V50" si="4">T36*(1-U36)</f>
        <v>6756.0375000000004</v>
      </c>
      <c r="W36" s="25">
        <f t="shared" ref="W36:W50" si="5">V36*S36*M36</f>
        <v>6756.0375000000004</v>
      </c>
    </row>
    <row r="37" spans="1:24" x14ac:dyDescent="0.3">
      <c r="A37" t="s">
        <v>342</v>
      </c>
      <c r="B37" t="s">
        <v>328</v>
      </c>
      <c r="C37" t="s">
        <v>329</v>
      </c>
      <c r="D37" t="s">
        <v>304</v>
      </c>
      <c r="E37" s="1" t="s">
        <v>25</v>
      </c>
      <c r="F37" s="1" t="s">
        <v>21</v>
      </c>
      <c r="G37" s="2186">
        <v>2</v>
      </c>
      <c r="H37" s="2186">
        <f>VLOOKUP(G37,Pesos!A:B,2,0)</f>
        <v>0.8</v>
      </c>
      <c r="J37" s="1" t="s">
        <v>308</v>
      </c>
      <c r="K37" s="1">
        <v>4</v>
      </c>
      <c r="L37" s="1">
        <v>8</v>
      </c>
      <c r="M37" s="1">
        <v>1</v>
      </c>
      <c r="N37" s="1" t="s">
        <v>24</v>
      </c>
      <c r="O37" s="1">
        <v>1</v>
      </c>
      <c r="S37" s="1">
        <v>1</v>
      </c>
      <c r="T37" s="26">
        <v>7000</v>
      </c>
      <c r="U37" s="1">
        <v>0.1</v>
      </c>
      <c r="V37" s="25">
        <f t="shared" si="4"/>
        <v>6300</v>
      </c>
      <c r="W37" s="25">
        <f t="shared" si="5"/>
        <v>6300</v>
      </c>
    </row>
    <row r="38" spans="1:24" x14ac:dyDescent="0.3">
      <c r="A38" t="s">
        <v>342</v>
      </c>
      <c r="B38" t="s">
        <v>328</v>
      </c>
      <c r="C38" t="s">
        <v>329</v>
      </c>
      <c r="D38" t="s">
        <v>304</v>
      </c>
      <c r="E38" s="1" t="s">
        <v>25</v>
      </c>
      <c r="F38" s="1" t="s">
        <v>26</v>
      </c>
      <c r="G38" s="2186">
        <v>5</v>
      </c>
      <c r="H38" s="2186">
        <f>VLOOKUP(G38,Pesos!A:B,2,0)</f>
        <v>0.5</v>
      </c>
      <c r="I38" s="1" t="s">
        <v>308</v>
      </c>
      <c r="K38" s="1">
        <v>3</v>
      </c>
      <c r="L38" s="1">
        <v>6</v>
      </c>
      <c r="M38" s="1">
        <v>1</v>
      </c>
      <c r="N38" s="1" t="s">
        <v>24</v>
      </c>
      <c r="O38" s="1">
        <v>1</v>
      </c>
      <c r="S38" s="1">
        <v>1</v>
      </c>
      <c r="T38" s="26">
        <v>7500</v>
      </c>
      <c r="U38" s="1">
        <v>0.1</v>
      </c>
      <c r="V38" s="25">
        <f t="shared" si="4"/>
        <v>6750</v>
      </c>
      <c r="W38" s="25">
        <f t="shared" si="5"/>
        <v>6750</v>
      </c>
    </row>
    <row r="39" spans="1:24" x14ac:dyDescent="0.3">
      <c r="A39" t="s">
        <v>342</v>
      </c>
      <c r="B39" t="s">
        <v>328</v>
      </c>
      <c r="C39" t="s">
        <v>329</v>
      </c>
      <c r="D39" t="s">
        <v>304</v>
      </c>
      <c r="E39" s="1" t="s">
        <v>25</v>
      </c>
      <c r="F39" s="1" t="s">
        <v>27</v>
      </c>
      <c r="G39" s="2186">
        <v>1</v>
      </c>
      <c r="H39" s="2186">
        <f>VLOOKUP(G39,Pesos!A:B,2,0)</f>
        <v>0.9</v>
      </c>
      <c r="I39" s="1" t="s">
        <v>308</v>
      </c>
      <c r="K39" s="1">
        <v>10</v>
      </c>
      <c r="L39" s="1">
        <v>20</v>
      </c>
      <c r="M39" s="1">
        <v>18</v>
      </c>
      <c r="N39" s="1" t="s">
        <v>24</v>
      </c>
      <c r="O39" s="1">
        <v>18</v>
      </c>
      <c r="S39" s="1">
        <v>1</v>
      </c>
      <c r="T39" s="26">
        <v>2650</v>
      </c>
      <c r="U39" s="1">
        <v>0.1</v>
      </c>
      <c r="V39" s="25">
        <f t="shared" si="4"/>
        <v>2385</v>
      </c>
      <c r="W39" s="25">
        <f t="shared" si="5"/>
        <v>42930</v>
      </c>
    </row>
    <row r="40" spans="1:24" x14ac:dyDescent="0.3">
      <c r="A40" t="s">
        <v>342</v>
      </c>
      <c r="B40" t="s">
        <v>328</v>
      </c>
      <c r="C40" t="s">
        <v>329</v>
      </c>
      <c r="D40" t="s">
        <v>304</v>
      </c>
      <c r="E40" s="1" t="s">
        <v>28</v>
      </c>
      <c r="F40" s="1" t="s">
        <v>21</v>
      </c>
      <c r="G40" s="2186">
        <v>2</v>
      </c>
      <c r="H40" s="2186">
        <f>VLOOKUP(G40,Pesos!A:B,2,0)</f>
        <v>0.8</v>
      </c>
      <c r="J40" s="1" t="s">
        <v>308</v>
      </c>
      <c r="K40" s="1">
        <v>4</v>
      </c>
      <c r="L40" s="1">
        <v>8</v>
      </c>
      <c r="M40" s="1">
        <v>1</v>
      </c>
      <c r="N40" s="1" t="s">
        <v>24</v>
      </c>
      <c r="O40" s="1">
        <v>1</v>
      </c>
      <c r="S40" s="1">
        <v>1</v>
      </c>
      <c r="T40" s="26">
        <v>5593</v>
      </c>
      <c r="U40" s="1">
        <v>0.25</v>
      </c>
      <c r="V40" s="25">
        <f t="shared" si="4"/>
        <v>4194.75</v>
      </c>
      <c r="W40" s="25">
        <f t="shared" si="5"/>
        <v>4194.75</v>
      </c>
    </row>
    <row r="41" spans="1:24" x14ac:dyDescent="0.3">
      <c r="A41" t="s">
        <v>342</v>
      </c>
      <c r="B41" t="s">
        <v>328</v>
      </c>
      <c r="C41" t="s">
        <v>329</v>
      </c>
      <c r="D41" t="s">
        <v>304</v>
      </c>
      <c r="E41" s="1" t="s">
        <v>28</v>
      </c>
      <c r="F41" s="1" t="s">
        <v>26</v>
      </c>
      <c r="G41" s="2186">
        <v>5</v>
      </c>
      <c r="H41" s="2186">
        <f>VLOOKUP(G41,Pesos!A:B,2,0)</f>
        <v>0.5</v>
      </c>
      <c r="I41" s="1" t="s">
        <v>308</v>
      </c>
      <c r="K41" s="1">
        <v>3</v>
      </c>
      <c r="L41" s="1">
        <v>6</v>
      </c>
      <c r="M41" s="1">
        <v>2</v>
      </c>
      <c r="N41" s="1" t="s">
        <v>24</v>
      </c>
      <c r="O41" s="1">
        <v>2</v>
      </c>
      <c r="S41" s="1">
        <v>1</v>
      </c>
      <c r="T41" s="26">
        <f>(10000+6680)/2</f>
        <v>8340</v>
      </c>
      <c r="U41" s="1">
        <v>0.3</v>
      </c>
      <c r="V41" s="25">
        <f t="shared" si="4"/>
        <v>5838</v>
      </c>
      <c r="W41" s="25">
        <f t="shared" si="5"/>
        <v>11676</v>
      </c>
    </row>
    <row r="42" spans="1:24" x14ac:dyDescent="0.3">
      <c r="A42" t="s">
        <v>342</v>
      </c>
      <c r="B42" t="s">
        <v>328</v>
      </c>
      <c r="C42" t="s">
        <v>329</v>
      </c>
      <c r="D42" t="s">
        <v>304</v>
      </c>
      <c r="E42" s="1" t="s">
        <v>28</v>
      </c>
      <c r="F42" s="1" t="s">
        <v>29</v>
      </c>
      <c r="G42" s="2186">
        <v>4</v>
      </c>
      <c r="H42" s="2186">
        <f>VLOOKUP(G42,Pesos!A:B,2,0)</f>
        <v>0.6</v>
      </c>
      <c r="I42" s="1" t="s">
        <v>308</v>
      </c>
      <c r="K42" s="1">
        <v>1</v>
      </c>
      <c r="L42" s="1">
        <v>3</v>
      </c>
      <c r="M42" s="1">
        <v>3</v>
      </c>
      <c r="N42" s="1" t="s">
        <v>24</v>
      </c>
      <c r="O42" s="1">
        <v>3</v>
      </c>
      <c r="S42" s="1">
        <v>1</v>
      </c>
      <c r="T42" s="26">
        <f>(13400+28000+16000)/3</f>
        <v>19133.333333333332</v>
      </c>
      <c r="U42" s="1">
        <v>0.25</v>
      </c>
      <c r="V42" s="25">
        <f t="shared" si="4"/>
        <v>14350</v>
      </c>
      <c r="W42" s="25">
        <f t="shared" si="5"/>
        <v>43050</v>
      </c>
    </row>
    <row r="43" spans="1:24" x14ac:dyDescent="0.3">
      <c r="A43" t="s">
        <v>342</v>
      </c>
      <c r="B43" t="s">
        <v>328</v>
      </c>
      <c r="C43" t="s">
        <v>329</v>
      </c>
      <c r="D43" t="s">
        <v>304</v>
      </c>
      <c r="E43" s="1" t="s">
        <v>30</v>
      </c>
      <c r="F43" s="1" t="s">
        <v>21</v>
      </c>
      <c r="G43" s="2186">
        <v>2</v>
      </c>
      <c r="H43" s="2186">
        <f>VLOOKUP(G43,Pesos!A:B,2,0)</f>
        <v>0.8</v>
      </c>
      <c r="J43" s="1" t="s">
        <v>308</v>
      </c>
      <c r="K43" s="1">
        <v>4</v>
      </c>
      <c r="L43" s="1">
        <v>8</v>
      </c>
      <c r="M43" s="1">
        <v>1</v>
      </c>
      <c r="N43" s="1" t="s">
        <v>24</v>
      </c>
      <c r="O43" s="1">
        <v>1</v>
      </c>
      <c r="S43" s="1">
        <v>1</v>
      </c>
      <c r="T43" s="26">
        <v>2362</v>
      </c>
      <c r="U43" s="1">
        <v>0.2</v>
      </c>
      <c r="V43" s="25">
        <f t="shared" si="4"/>
        <v>1889.6000000000001</v>
      </c>
      <c r="W43" s="25">
        <f t="shared" si="5"/>
        <v>1889.6000000000001</v>
      </c>
    </row>
    <row r="44" spans="1:24" x14ac:dyDescent="0.3">
      <c r="A44" t="s">
        <v>342</v>
      </c>
      <c r="B44" t="s">
        <v>328</v>
      </c>
      <c r="C44" t="s">
        <v>329</v>
      </c>
      <c r="D44" t="s">
        <v>304</v>
      </c>
      <c r="E44" s="1" t="s">
        <v>30</v>
      </c>
      <c r="F44" s="1" t="s">
        <v>27</v>
      </c>
      <c r="G44" s="2186">
        <v>1</v>
      </c>
      <c r="H44" s="2186">
        <f>VLOOKUP(G44,Pesos!A:B,2,0)</f>
        <v>0.9</v>
      </c>
      <c r="I44" s="1" t="s">
        <v>308</v>
      </c>
      <c r="K44" s="1">
        <v>10</v>
      </c>
      <c r="L44" s="1">
        <v>20</v>
      </c>
      <c r="M44" s="1">
        <v>18</v>
      </c>
      <c r="N44" s="1" t="s">
        <v>24</v>
      </c>
      <c r="O44" s="1">
        <v>18</v>
      </c>
      <c r="S44" s="1">
        <v>1</v>
      </c>
      <c r="T44" s="26">
        <v>2650</v>
      </c>
      <c r="U44" s="1">
        <v>0.2</v>
      </c>
      <c r="V44" s="25">
        <f t="shared" si="4"/>
        <v>2120</v>
      </c>
      <c r="W44" s="25">
        <f t="shared" si="5"/>
        <v>38160</v>
      </c>
    </row>
    <row r="45" spans="1:24" x14ac:dyDescent="0.3">
      <c r="A45" t="s">
        <v>342</v>
      </c>
      <c r="B45" t="s">
        <v>328</v>
      </c>
      <c r="C45" t="s">
        <v>329</v>
      </c>
      <c r="D45" t="s">
        <v>304</v>
      </c>
      <c r="E45" s="1" t="s">
        <v>31</v>
      </c>
      <c r="F45" s="1" t="s">
        <v>32</v>
      </c>
      <c r="G45" s="2186">
        <v>6</v>
      </c>
      <c r="H45" s="2186">
        <f>VLOOKUP(G45,Pesos!A:B,2,0)</f>
        <v>0.4</v>
      </c>
      <c r="I45" s="1" t="s">
        <v>308</v>
      </c>
      <c r="K45" s="1">
        <v>5</v>
      </c>
      <c r="L45" s="1">
        <v>20</v>
      </c>
      <c r="M45" s="1">
        <v>4</v>
      </c>
      <c r="N45" s="1" t="s">
        <v>33</v>
      </c>
      <c r="O45" s="1">
        <v>5</v>
      </c>
      <c r="Q45" s="1">
        <v>5</v>
      </c>
      <c r="S45" s="1">
        <v>2</v>
      </c>
      <c r="T45" s="26">
        <f>265*8</f>
        <v>2120</v>
      </c>
      <c r="U45" s="1">
        <v>0.4</v>
      </c>
      <c r="V45" s="25">
        <f t="shared" si="4"/>
        <v>1272</v>
      </c>
      <c r="W45" s="25">
        <f t="shared" si="5"/>
        <v>10176</v>
      </c>
    </row>
    <row r="46" spans="1:24" x14ac:dyDescent="0.3">
      <c r="A46" t="s">
        <v>342</v>
      </c>
      <c r="B46" t="s">
        <v>328</v>
      </c>
      <c r="C46" t="s">
        <v>329</v>
      </c>
      <c r="D46" t="s">
        <v>304</v>
      </c>
      <c r="E46" s="1" t="s">
        <v>34</v>
      </c>
      <c r="F46" s="1" t="s">
        <v>21</v>
      </c>
      <c r="G46" s="2186">
        <v>2</v>
      </c>
      <c r="H46" s="2186">
        <f>VLOOKUP(G46,Pesos!A:B,2,0)</f>
        <v>0.8</v>
      </c>
      <c r="J46" s="1" t="s">
        <v>308</v>
      </c>
      <c r="K46" s="1">
        <v>4</v>
      </c>
      <c r="L46" s="1">
        <v>8</v>
      </c>
      <c r="M46" s="1">
        <v>1</v>
      </c>
      <c r="N46" s="1" t="s">
        <v>24</v>
      </c>
      <c r="O46" s="1">
        <v>1</v>
      </c>
      <c r="S46" s="1">
        <v>1</v>
      </c>
      <c r="T46" s="26">
        <v>7920</v>
      </c>
      <c r="U46" s="1">
        <v>0.25</v>
      </c>
      <c r="V46" s="25">
        <f t="shared" si="4"/>
        <v>5940</v>
      </c>
      <c r="W46" s="25">
        <f t="shared" si="5"/>
        <v>5940</v>
      </c>
    </row>
    <row r="47" spans="1:24" x14ac:dyDescent="0.3">
      <c r="A47" t="s">
        <v>342</v>
      </c>
      <c r="B47" t="s">
        <v>328</v>
      </c>
      <c r="C47" t="s">
        <v>329</v>
      </c>
      <c r="D47" t="s">
        <v>304</v>
      </c>
      <c r="E47" s="1" t="s">
        <v>35</v>
      </c>
      <c r="F47" s="1" t="s">
        <v>21</v>
      </c>
      <c r="G47" s="2186">
        <v>2</v>
      </c>
      <c r="H47" s="2186">
        <f>VLOOKUP(G47,Pesos!A:B,2,0)</f>
        <v>0.8</v>
      </c>
      <c r="J47" s="1" t="s">
        <v>308</v>
      </c>
      <c r="K47" s="1">
        <v>4</v>
      </c>
      <c r="L47" s="1">
        <v>8</v>
      </c>
      <c r="M47" s="1">
        <v>1</v>
      </c>
      <c r="N47" s="1" t="s">
        <v>24</v>
      </c>
      <c r="O47" s="1">
        <v>1</v>
      </c>
      <c r="S47" s="1">
        <v>1</v>
      </c>
      <c r="T47" s="26">
        <v>18500</v>
      </c>
      <c r="U47" s="1">
        <v>0.6</v>
      </c>
      <c r="V47" s="25">
        <f t="shared" si="4"/>
        <v>7400</v>
      </c>
      <c r="W47" s="25">
        <f t="shared" si="5"/>
        <v>7400</v>
      </c>
    </row>
    <row r="48" spans="1:24" x14ac:dyDescent="0.3">
      <c r="A48" t="s">
        <v>342</v>
      </c>
      <c r="B48" t="s">
        <v>328</v>
      </c>
      <c r="C48" t="s">
        <v>329</v>
      </c>
      <c r="D48" t="s">
        <v>304</v>
      </c>
      <c r="E48" s="1" t="s">
        <v>35</v>
      </c>
      <c r="F48" s="1" t="s">
        <v>26</v>
      </c>
      <c r="G48" s="2186">
        <v>5</v>
      </c>
      <c r="H48" s="2186">
        <f>VLOOKUP(G48,Pesos!A:B,2,0)</f>
        <v>0.5</v>
      </c>
      <c r="I48" s="1" t="s">
        <v>308</v>
      </c>
      <c r="K48" s="1">
        <v>3</v>
      </c>
      <c r="L48" s="1">
        <v>6</v>
      </c>
      <c r="M48" s="1">
        <v>1</v>
      </c>
      <c r="N48" s="1" t="s">
        <v>24</v>
      </c>
      <c r="O48" s="1">
        <v>1</v>
      </c>
      <c r="S48" s="1">
        <v>1</v>
      </c>
      <c r="T48" s="26">
        <v>20500</v>
      </c>
      <c r="U48" s="1">
        <v>0.57999999999999996</v>
      </c>
      <c r="V48" s="25">
        <f t="shared" si="4"/>
        <v>8610</v>
      </c>
      <c r="W48" s="25">
        <f t="shared" si="5"/>
        <v>8610</v>
      </c>
    </row>
    <row r="49" spans="1:24" x14ac:dyDescent="0.3">
      <c r="A49" t="s">
        <v>342</v>
      </c>
      <c r="B49" t="s">
        <v>328</v>
      </c>
      <c r="C49" t="s">
        <v>329</v>
      </c>
      <c r="D49" t="s">
        <v>304</v>
      </c>
      <c r="E49" s="1" t="s">
        <v>36</v>
      </c>
      <c r="F49" s="1" t="s">
        <v>21</v>
      </c>
      <c r="G49" s="2186">
        <v>2</v>
      </c>
      <c r="H49" s="2186">
        <f>VLOOKUP(G49,Pesos!A:B,2,0)</f>
        <v>0.8</v>
      </c>
      <c r="J49" s="1" t="s">
        <v>308</v>
      </c>
      <c r="K49" s="1">
        <v>4</v>
      </c>
      <c r="L49" s="1">
        <v>8</v>
      </c>
      <c r="M49" s="1">
        <v>1</v>
      </c>
      <c r="N49" s="1" t="s">
        <v>24</v>
      </c>
      <c r="O49" s="1">
        <v>1</v>
      </c>
      <c r="S49" s="1">
        <v>1</v>
      </c>
      <c r="T49" s="26">
        <v>8125</v>
      </c>
      <c r="U49" s="1">
        <v>0.15</v>
      </c>
      <c r="V49" s="25">
        <f t="shared" si="4"/>
        <v>6906.25</v>
      </c>
      <c r="W49" s="25">
        <f t="shared" si="5"/>
        <v>6906.25</v>
      </c>
    </row>
    <row r="50" spans="1:24" x14ac:dyDescent="0.3">
      <c r="A50" t="s">
        <v>342</v>
      </c>
      <c r="B50" t="s">
        <v>328</v>
      </c>
      <c r="C50" t="s">
        <v>329</v>
      </c>
      <c r="D50" t="s">
        <v>304</v>
      </c>
      <c r="E50" s="1" t="s">
        <v>36</v>
      </c>
      <c r="F50" s="1" t="s">
        <v>37</v>
      </c>
      <c r="G50" s="2186">
        <v>3</v>
      </c>
      <c r="H50" s="2186">
        <f>VLOOKUP(G50,Pesos!A:B,2,0)</f>
        <v>0.7</v>
      </c>
      <c r="I50" s="1" t="s">
        <v>308</v>
      </c>
      <c r="K50" s="1">
        <v>1</v>
      </c>
      <c r="L50" s="1">
        <v>3</v>
      </c>
      <c r="M50" s="1">
        <v>1</v>
      </c>
      <c r="N50" s="1" t="s">
        <v>24</v>
      </c>
      <c r="O50" s="1">
        <v>1</v>
      </c>
      <c r="S50" s="1">
        <v>1</v>
      </c>
      <c r="T50" s="26">
        <v>73000</v>
      </c>
      <c r="U50" s="1">
        <v>0</v>
      </c>
      <c r="V50" s="25">
        <f t="shared" si="4"/>
        <v>73000</v>
      </c>
      <c r="W50" s="25">
        <f t="shared" si="5"/>
        <v>73000</v>
      </c>
    </row>
    <row r="51" spans="1:24" x14ac:dyDescent="0.3">
      <c r="G51" s="2186"/>
      <c r="H51" s="2186"/>
      <c r="M51" s="2"/>
    </row>
    <row r="52" spans="1:24" x14ac:dyDescent="0.3">
      <c r="A52" t="s">
        <v>343</v>
      </c>
      <c r="B52" t="s">
        <v>328</v>
      </c>
      <c r="C52" t="s">
        <v>329</v>
      </c>
      <c r="D52" t="s">
        <v>304</v>
      </c>
      <c r="E52" s="1" t="s">
        <v>23</v>
      </c>
      <c r="F52" s="1" t="s">
        <v>21</v>
      </c>
      <c r="G52" s="2186">
        <v>1</v>
      </c>
      <c r="H52" s="2186">
        <f>VLOOKUP(G52,Pesos!A:B,2,0)</f>
        <v>0.9</v>
      </c>
      <c r="J52" s="1" t="s">
        <v>308</v>
      </c>
      <c r="K52" s="1">
        <v>4</v>
      </c>
      <c r="L52" s="1">
        <v>8</v>
      </c>
      <c r="M52" s="1">
        <v>1</v>
      </c>
      <c r="N52" s="1" t="s">
        <v>24</v>
      </c>
      <c r="O52" s="1">
        <v>1</v>
      </c>
      <c r="S52" s="1">
        <v>1</v>
      </c>
      <c r="T52" s="26">
        <v>27024.15</v>
      </c>
      <c r="U52" s="1">
        <v>0.75</v>
      </c>
      <c r="V52" s="25">
        <f t="shared" ref="V52:V57" si="6">T52*(1-U52)</f>
        <v>6756.0375000000004</v>
      </c>
      <c r="W52" s="25">
        <f t="shared" ref="W52:W57" si="7">V52*S52*M52</f>
        <v>6756.0375000000004</v>
      </c>
      <c r="X52" s="6"/>
    </row>
    <row r="53" spans="1:24" x14ac:dyDescent="0.3">
      <c r="A53" t="s">
        <v>343</v>
      </c>
      <c r="B53" t="s">
        <v>328</v>
      </c>
      <c r="C53" t="s">
        <v>329</v>
      </c>
      <c r="D53" t="s">
        <v>304</v>
      </c>
      <c r="E53" s="1" t="s">
        <v>25</v>
      </c>
      <c r="F53" s="1" t="s">
        <v>21</v>
      </c>
      <c r="G53" s="2186">
        <v>1</v>
      </c>
      <c r="H53" s="2186">
        <f>VLOOKUP(G53,Pesos!A:B,2,0)</f>
        <v>0.9</v>
      </c>
      <c r="J53" s="1" t="s">
        <v>308</v>
      </c>
      <c r="K53" s="1">
        <v>4</v>
      </c>
      <c r="L53" s="1">
        <v>8</v>
      </c>
      <c r="M53" s="1">
        <v>1</v>
      </c>
      <c r="N53" s="1" t="s">
        <v>24</v>
      </c>
      <c r="O53" s="1">
        <v>1</v>
      </c>
      <c r="S53" s="1">
        <v>1</v>
      </c>
      <c r="T53" s="26">
        <v>7000</v>
      </c>
      <c r="U53" s="1">
        <v>0.1</v>
      </c>
      <c r="V53" s="25">
        <f t="shared" si="6"/>
        <v>6300</v>
      </c>
      <c r="W53" s="25">
        <f t="shared" si="7"/>
        <v>6300</v>
      </c>
      <c r="X53" s="6"/>
    </row>
    <row r="54" spans="1:24" x14ac:dyDescent="0.3">
      <c r="A54" t="s">
        <v>343</v>
      </c>
      <c r="B54" t="s">
        <v>328</v>
      </c>
      <c r="C54" t="s">
        <v>329</v>
      </c>
      <c r="D54" t="s">
        <v>304</v>
      </c>
      <c r="E54" s="1" t="s">
        <v>25</v>
      </c>
      <c r="F54" s="1" t="s">
        <v>26</v>
      </c>
      <c r="G54" s="2186"/>
      <c r="H54" s="2186"/>
      <c r="I54" s="1" t="s">
        <v>308</v>
      </c>
      <c r="K54" s="1">
        <v>3</v>
      </c>
      <c r="L54" s="1">
        <v>6</v>
      </c>
      <c r="M54" s="1">
        <v>1</v>
      </c>
      <c r="N54" s="1" t="s">
        <v>24</v>
      </c>
      <c r="O54" s="1">
        <v>1</v>
      </c>
      <c r="S54" s="1">
        <v>1</v>
      </c>
      <c r="T54" s="26">
        <v>7500</v>
      </c>
      <c r="U54" s="1">
        <v>0.1</v>
      </c>
      <c r="V54" s="25">
        <f t="shared" si="6"/>
        <v>6750</v>
      </c>
      <c r="W54" s="25">
        <f t="shared" si="7"/>
        <v>6750</v>
      </c>
      <c r="X54" s="6"/>
    </row>
    <row r="55" spans="1:24" x14ac:dyDescent="0.3">
      <c r="A55" t="s">
        <v>343</v>
      </c>
      <c r="B55" t="s">
        <v>328</v>
      </c>
      <c r="C55" t="s">
        <v>329</v>
      </c>
      <c r="D55" t="s">
        <v>304</v>
      </c>
      <c r="E55" s="1" t="s">
        <v>25</v>
      </c>
      <c r="F55" s="1" t="s">
        <v>27</v>
      </c>
      <c r="G55" s="2186">
        <v>2</v>
      </c>
      <c r="H55" s="2186">
        <f>VLOOKUP(G55,Pesos!A:B,2,0)</f>
        <v>0.8</v>
      </c>
      <c r="I55" s="1" t="s">
        <v>308</v>
      </c>
      <c r="K55" s="1">
        <v>10</v>
      </c>
      <c r="L55" s="1">
        <v>20</v>
      </c>
      <c r="M55" s="1">
        <v>18</v>
      </c>
      <c r="N55" s="1" t="s">
        <v>24</v>
      </c>
      <c r="O55" s="1">
        <v>18</v>
      </c>
      <c r="S55" s="1">
        <v>1</v>
      </c>
      <c r="T55" s="26">
        <v>2650</v>
      </c>
      <c r="U55" s="1">
        <v>0.1</v>
      </c>
      <c r="V55" s="25">
        <f t="shared" si="6"/>
        <v>2385</v>
      </c>
      <c r="W55" s="25">
        <f t="shared" si="7"/>
        <v>42930</v>
      </c>
      <c r="X55" s="6"/>
    </row>
    <row r="56" spans="1:24" x14ac:dyDescent="0.3">
      <c r="A56" t="s">
        <v>343</v>
      </c>
      <c r="B56" t="s">
        <v>328</v>
      </c>
      <c r="C56" t="s">
        <v>329</v>
      </c>
      <c r="D56" t="s">
        <v>304</v>
      </c>
      <c r="E56" s="1" t="s">
        <v>28</v>
      </c>
      <c r="F56" s="1" t="s">
        <v>21</v>
      </c>
      <c r="G56" s="2186">
        <v>1</v>
      </c>
      <c r="H56" s="2186">
        <f>VLOOKUP(G56,Pesos!A:B,2,0)</f>
        <v>0.9</v>
      </c>
      <c r="J56" s="1" t="s">
        <v>308</v>
      </c>
      <c r="K56" s="1">
        <v>4</v>
      </c>
      <c r="L56" s="1">
        <v>8</v>
      </c>
      <c r="M56" s="1">
        <v>1</v>
      </c>
      <c r="N56" s="1" t="s">
        <v>24</v>
      </c>
      <c r="O56" s="1">
        <v>1</v>
      </c>
      <c r="S56" s="1">
        <v>1</v>
      </c>
      <c r="T56" s="26">
        <v>5593</v>
      </c>
      <c r="U56" s="1">
        <v>0.25</v>
      </c>
      <c r="V56" s="25">
        <f t="shared" si="6"/>
        <v>4194.75</v>
      </c>
      <c r="W56" s="25">
        <f t="shared" si="7"/>
        <v>4194.75</v>
      </c>
      <c r="X56" s="6"/>
    </row>
    <row r="57" spans="1:24" x14ac:dyDescent="0.3">
      <c r="A57" t="s">
        <v>343</v>
      </c>
      <c r="B57" t="s">
        <v>328</v>
      </c>
      <c r="C57" t="s">
        <v>329</v>
      </c>
      <c r="D57" t="s">
        <v>304</v>
      </c>
      <c r="E57" s="1" t="s">
        <v>28</v>
      </c>
      <c r="F57" s="1" t="s">
        <v>26</v>
      </c>
      <c r="G57" s="2186">
        <v>5</v>
      </c>
      <c r="H57" s="2186">
        <f>VLOOKUP(G57,Pesos!A:B,2,0)</f>
        <v>0.5</v>
      </c>
      <c r="I57" s="1" t="s">
        <v>308</v>
      </c>
      <c r="K57" s="1">
        <v>3</v>
      </c>
      <c r="L57" s="1">
        <v>6</v>
      </c>
      <c r="M57" s="1">
        <v>2</v>
      </c>
      <c r="N57" s="1" t="s">
        <v>24</v>
      </c>
      <c r="O57" s="1">
        <v>2</v>
      </c>
      <c r="S57" s="1">
        <v>1</v>
      </c>
      <c r="T57" s="26">
        <f>(10000+6680)/2</f>
        <v>8340</v>
      </c>
      <c r="U57" s="1">
        <v>0.3</v>
      </c>
      <c r="V57" s="25">
        <f t="shared" si="6"/>
        <v>5838</v>
      </c>
      <c r="W57" s="25">
        <f t="shared" si="7"/>
        <v>11676</v>
      </c>
      <c r="X57" s="6"/>
    </row>
    <row r="58" spans="1:24" x14ac:dyDescent="0.3">
      <c r="A58" t="s">
        <v>343</v>
      </c>
      <c r="B58" t="s">
        <v>328</v>
      </c>
      <c r="C58" t="s">
        <v>329</v>
      </c>
      <c r="D58" t="s">
        <v>304</v>
      </c>
      <c r="E58" s="1" t="s">
        <v>30</v>
      </c>
      <c r="F58" s="1" t="s">
        <v>21</v>
      </c>
      <c r="G58" s="2186">
        <v>1</v>
      </c>
      <c r="H58" s="2186">
        <f>VLOOKUP(G58,Pesos!A:B,2,0)</f>
        <v>0.9</v>
      </c>
      <c r="J58" s="1" t="s">
        <v>308</v>
      </c>
      <c r="K58" s="1">
        <v>4</v>
      </c>
      <c r="L58" s="1">
        <v>8</v>
      </c>
      <c r="M58" s="1">
        <v>1</v>
      </c>
      <c r="N58" s="1" t="s">
        <v>24</v>
      </c>
      <c r="O58" s="1">
        <v>1</v>
      </c>
      <c r="S58" s="1">
        <v>1</v>
      </c>
      <c r="T58" s="26">
        <v>2362</v>
      </c>
      <c r="U58" s="1">
        <v>0.2</v>
      </c>
      <c r="V58" s="25">
        <f t="shared" ref="V58:V64" si="8">T58*(1-U58)</f>
        <v>1889.6000000000001</v>
      </c>
      <c r="W58" s="25">
        <f t="shared" ref="W58:W66" si="9">V58*S58*M58</f>
        <v>1889.6000000000001</v>
      </c>
      <c r="X58" s="6"/>
    </row>
    <row r="59" spans="1:24" x14ac:dyDescent="0.3">
      <c r="A59" t="s">
        <v>343</v>
      </c>
      <c r="B59" t="s">
        <v>328</v>
      </c>
      <c r="C59" t="s">
        <v>329</v>
      </c>
      <c r="D59" t="s">
        <v>304</v>
      </c>
      <c r="E59" s="1" t="s">
        <v>30</v>
      </c>
      <c r="F59" s="1" t="s">
        <v>27</v>
      </c>
      <c r="G59" s="2186">
        <v>2</v>
      </c>
      <c r="H59" s="2186">
        <f>VLOOKUP(G59,Pesos!A:B,2,0)</f>
        <v>0.8</v>
      </c>
      <c r="I59" s="1" t="s">
        <v>308</v>
      </c>
      <c r="K59" s="1">
        <v>10</v>
      </c>
      <c r="L59" s="1">
        <v>20</v>
      </c>
      <c r="M59" s="1">
        <v>18</v>
      </c>
      <c r="N59" s="1" t="s">
        <v>24</v>
      </c>
      <c r="O59" s="1">
        <v>18</v>
      </c>
      <c r="S59" s="1">
        <v>1</v>
      </c>
      <c r="T59" s="26">
        <v>2650</v>
      </c>
      <c r="U59" s="1">
        <v>0.2</v>
      </c>
      <c r="V59" s="25">
        <f t="shared" si="8"/>
        <v>2120</v>
      </c>
      <c r="W59" s="25">
        <f t="shared" si="9"/>
        <v>38160</v>
      </c>
      <c r="X59" s="6"/>
    </row>
    <row r="60" spans="1:24" x14ac:dyDescent="0.3">
      <c r="A60" t="s">
        <v>343</v>
      </c>
      <c r="B60" t="s">
        <v>328</v>
      </c>
      <c r="C60" t="s">
        <v>329</v>
      </c>
      <c r="D60" t="s">
        <v>304</v>
      </c>
      <c r="E60" s="1" t="s">
        <v>31</v>
      </c>
      <c r="F60" s="1" t="s">
        <v>32</v>
      </c>
      <c r="G60" s="2186">
        <v>3</v>
      </c>
      <c r="H60" s="2186">
        <f>VLOOKUP(G60,Pesos!A:B,2,0)</f>
        <v>0.7</v>
      </c>
      <c r="I60" s="1" t="s">
        <v>308</v>
      </c>
      <c r="K60" s="1">
        <v>5</v>
      </c>
      <c r="L60" s="1">
        <v>20</v>
      </c>
      <c r="M60" s="1">
        <v>4</v>
      </c>
      <c r="N60" s="1" t="s">
        <v>33</v>
      </c>
      <c r="O60" s="1">
        <v>5</v>
      </c>
      <c r="Q60" s="1">
        <v>5</v>
      </c>
      <c r="S60" s="1">
        <v>2</v>
      </c>
      <c r="T60" s="26">
        <f>265*8</f>
        <v>2120</v>
      </c>
      <c r="U60" s="1">
        <v>0.4</v>
      </c>
      <c r="V60" s="25">
        <f t="shared" si="8"/>
        <v>1272</v>
      </c>
      <c r="W60" s="25">
        <f t="shared" si="9"/>
        <v>10176</v>
      </c>
      <c r="X60" s="6"/>
    </row>
    <row r="61" spans="1:24" x14ac:dyDescent="0.3">
      <c r="A61" t="s">
        <v>343</v>
      </c>
      <c r="B61" t="s">
        <v>328</v>
      </c>
      <c r="C61" t="s">
        <v>329</v>
      </c>
      <c r="D61" t="s">
        <v>304</v>
      </c>
      <c r="E61" s="1" t="s">
        <v>34</v>
      </c>
      <c r="F61" s="1" t="s">
        <v>21</v>
      </c>
      <c r="G61" s="2186">
        <v>1</v>
      </c>
      <c r="H61" s="2186">
        <f>VLOOKUP(G61,Pesos!A:B,2,0)</f>
        <v>0.9</v>
      </c>
      <c r="J61" s="1" t="s">
        <v>308</v>
      </c>
      <c r="K61" s="1">
        <v>4</v>
      </c>
      <c r="L61" s="1">
        <v>8</v>
      </c>
      <c r="M61" s="1">
        <v>1</v>
      </c>
      <c r="N61" s="1" t="s">
        <v>24</v>
      </c>
      <c r="O61" s="1">
        <v>1</v>
      </c>
      <c r="S61" s="1">
        <v>1</v>
      </c>
      <c r="T61" s="26">
        <v>7920</v>
      </c>
      <c r="U61" s="1">
        <v>0.25</v>
      </c>
      <c r="V61" s="25">
        <f t="shared" si="8"/>
        <v>5940</v>
      </c>
      <c r="W61" s="25">
        <f t="shared" si="9"/>
        <v>5940</v>
      </c>
      <c r="X61" s="6"/>
    </row>
    <row r="62" spans="1:24" x14ac:dyDescent="0.3">
      <c r="A62" t="s">
        <v>343</v>
      </c>
      <c r="B62" t="s">
        <v>328</v>
      </c>
      <c r="C62" t="s">
        <v>329</v>
      </c>
      <c r="D62" t="s">
        <v>304</v>
      </c>
      <c r="E62" s="1" t="s">
        <v>35</v>
      </c>
      <c r="F62" s="1" t="s">
        <v>21</v>
      </c>
      <c r="G62" s="2186">
        <v>1</v>
      </c>
      <c r="H62" s="2186">
        <f>VLOOKUP(G62,Pesos!A:B,2,0)</f>
        <v>0.9</v>
      </c>
      <c r="J62" s="1" t="s">
        <v>308</v>
      </c>
      <c r="K62" s="1">
        <v>4</v>
      </c>
      <c r="L62" s="1">
        <v>8</v>
      </c>
      <c r="M62" s="1">
        <v>1</v>
      </c>
      <c r="N62" s="1" t="s">
        <v>24</v>
      </c>
      <c r="O62" s="1">
        <v>1</v>
      </c>
      <c r="S62" s="1">
        <v>1</v>
      </c>
      <c r="T62" s="26">
        <v>18500</v>
      </c>
      <c r="U62" s="1">
        <v>0.6</v>
      </c>
      <c r="V62" s="25">
        <f t="shared" si="8"/>
        <v>7400</v>
      </c>
      <c r="W62" s="25">
        <f t="shared" si="9"/>
        <v>7400</v>
      </c>
      <c r="X62" s="6"/>
    </row>
    <row r="63" spans="1:24" x14ac:dyDescent="0.3">
      <c r="A63" t="s">
        <v>343</v>
      </c>
      <c r="B63" t="s">
        <v>328</v>
      </c>
      <c r="C63" t="s">
        <v>329</v>
      </c>
      <c r="D63" t="s">
        <v>304</v>
      </c>
      <c r="E63" s="1" t="s">
        <v>35</v>
      </c>
      <c r="F63" s="1" t="s">
        <v>26</v>
      </c>
      <c r="G63" s="2186">
        <v>5</v>
      </c>
      <c r="H63" s="2186">
        <f>VLOOKUP(G63,Pesos!A:B,2,0)</f>
        <v>0.5</v>
      </c>
      <c r="I63" s="1" t="s">
        <v>308</v>
      </c>
      <c r="K63" s="1">
        <v>3</v>
      </c>
      <c r="L63" s="1">
        <v>6</v>
      </c>
      <c r="M63" s="1">
        <v>1</v>
      </c>
      <c r="N63" s="1" t="s">
        <v>24</v>
      </c>
      <c r="O63" s="1">
        <v>1</v>
      </c>
      <c r="S63" s="1">
        <v>1</v>
      </c>
      <c r="T63" s="26">
        <v>20500</v>
      </c>
      <c r="U63" s="1">
        <v>0.57999999999999996</v>
      </c>
      <c r="V63" s="25">
        <f t="shared" si="8"/>
        <v>8610</v>
      </c>
      <c r="W63" s="25">
        <f t="shared" si="9"/>
        <v>8610</v>
      </c>
      <c r="X63" s="6"/>
    </row>
    <row r="64" spans="1:24" x14ac:dyDescent="0.3">
      <c r="A64" t="s">
        <v>343</v>
      </c>
      <c r="B64" t="s">
        <v>328</v>
      </c>
      <c r="C64" t="s">
        <v>329</v>
      </c>
      <c r="D64" t="s">
        <v>304</v>
      </c>
      <c r="E64" s="1" t="s">
        <v>36</v>
      </c>
      <c r="F64" s="1" t="s">
        <v>21</v>
      </c>
      <c r="G64" s="2186">
        <v>1</v>
      </c>
      <c r="H64" s="2186">
        <f>VLOOKUP(G64,Pesos!A:B,2,0)</f>
        <v>0.9</v>
      </c>
      <c r="J64" s="1" t="s">
        <v>308</v>
      </c>
      <c r="K64" s="1">
        <v>4</v>
      </c>
      <c r="L64" s="1">
        <v>8</v>
      </c>
      <c r="M64" s="1">
        <v>1</v>
      </c>
      <c r="N64" s="1" t="s">
        <v>24</v>
      </c>
      <c r="O64" s="1">
        <v>1</v>
      </c>
      <c r="S64" s="1">
        <v>1</v>
      </c>
      <c r="T64" s="26">
        <v>8125</v>
      </c>
      <c r="U64" s="1">
        <v>0.15</v>
      </c>
      <c r="V64" s="25">
        <f t="shared" si="8"/>
        <v>6906.25</v>
      </c>
      <c r="W64" s="25">
        <f t="shared" si="9"/>
        <v>6906.25</v>
      </c>
      <c r="X64" s="6"/>
    </row>
    <row r="65" spans="1:24" x14ac:dyDescent="0.3">
      <c r="A65" t="s">
        <v>343</v>
      </c>
      <c r="B65" t="s">
        <v>328</v>
      </c>
      <c r="C65" t="s">
        <v>329</v>
      </c>
      <c r="D65" t="s">
        <v>304</v>
      </c>
      <c r="E65" s="1" t="s">
        <v>36</v>
      </c>
      <c r="F65" s="1" t="s">
        <v>39</v>
      </c>
      <c r="G65" s="2186">
        <v>6</v>
      </c>
      <c r="H65" s="2186">
        <f>VLOOKUP(G65,Pesos!A:B,2,0)</f>
        <v>0.4</v>
      </c>
      <c r="I65" s="1" t="s">
        <v>308</v>
      </c>
      <c r="K65" s="1">
        <v>5</v>
      </c>
      <c r="L65" s="1">
        <v>10</v>
      </c>
      <c r="M65" s="1">
        <v>4</v>
      </c>
      <c r="N65" s="1" t="s">
        <v>40</v>
      </c>
      <c r="O65" s="1">
        <v>4</v>
      </c>
      <c r="P65" s="1">
        <v>4</v>
      </c>
      <c r="Q65" s="1">
        <v>4</v>
      </c>
      <c r="R65" s="1">
        <v>4</v>
      </c>
      <c r="S65" s="1">
        <v>4</v>
      </c>
      <c r="T65" s="26">
        <v>1944</v>
      </c>
      <c r="U65" s="1">
        <v>0.15</v>
      </c>
      <c r="V65" s="26">
        <f t="shared" ref="V65:V66" si="10">T65*(1-U65)</f>
        <v>1652.3999999999999</v>
      </c>
      <c r="W65" s="26">
        <f t="shared" si="9"/>
        <v>26438.399999999998</v>
      </c>
      <c r="X65" s="6"/>
    </row>
    <row r="66" spans="1:24" x14ac:dyDescent="0.3">
      <c r="A66" t="s">
        <v>343</v>
      </c>
      <c r="B66" t="s">
        <v>328</v>
      </c>
      <c r="C66" t="s">
        <v>329</v>
      </c>
      <c r="D66" t="s">
        <v>304</v>
      </c>
      <c r="E66" s="1" t="s">
        <v>41</v>
      </c>
      <c r="F66" s="1" t="s">
        <v>42</v>
      </c>
      <c r="G66" s="2186">
        <v>4</v>
      </c>
      <c r="H66" s="2186">
        <f>VLOOKUP(G66,Pesos!A:B,2,0)</f>
        <v>0.6</v>
      </c>
      <c r="I66" s="1" t="s">
        <v>308</v>
      </c>
      <c r="K66" s="1">
        <v>10</v>
      </c>
      <c r="L66" s="1">
        <v>35</v>
      </c>
      <c r="M66" s="1">
        <v>20</v>
      </c>
      <c r="N66" s="1" t="s">
        <v>24</v>
      </c>
      <c r="O66" s="1">
        <v>20</v>
      </c>
      <c r="S66" s="1">
        <v>1</v>
      </c>
      <c r="T66" s="26">
        <v>1600</v>
      </c>
      <c r="U66" s="1">
        <v>0.5</v>
      </c>
      <c r="V66" s="26">
        <f t="shared" si="10"/>
        <v>800</v>
      </c>
      <c r="W66" s="26">
        <f t="shared" si="9"/>
        <v>16000</v>
      </c>
      <c r="X66" s="6"/>
    </row>
    <row r="67" spans="1:24" x14ac:dyDescent="0.3">
      <c r="G67" s="2186"/>
      <c r="H67" s="2186"/>
    </row>
    <row r="68" spans="1:24" x14ac:dyDescent="0.3">
      <c r="A68" t="s">
        <v>326</v>
      </c>
      <c r="B68" t="s">
        <v>328</v>
      </c>
      <c r="C68" t="s">
        <v>329</v>
      </c>
      <c r="D68" t="s">
        <v>304</v>
      </c>
      <c r="E68" s="1" t="s">
        <v>23</v>
      </c>
      <c r="F68" s="1" t="s">
        <v>21</v>
      </c>
      <c r="G68" s="2186">
        <v>2</v>
      </c>
      <c r="H68" s="2186">
        <f>VLOOKUP(G68,Pesos!A:B,2,0)</f>
        <v>0.8</v>
      </c>
      <c r="J68" s="1" t="s">
        <v>308</v>
      </c>
      <c r="K68" s="1">
        <v>6</v>
      </c>
      <c r="L68" s="1">
        <v>12</v>
      </c>
      <c r="M68" s="1">
        <v>1</v>
      </c>
      <c r="N68" s="1" t="s">
        <v>24</v>
      </c>
      <c r="O68" s="1">
        <v>1</v>
      </c>
      <c r="S68" s="1">
        <v>1</v>
      </c>
      <c r="T68" s="26">
        <v>27024.15</v>
      </c>
      <c r="U68" s="1">
        <v>0.75</v>
      </c>
      <c r="V68" s="26">
        <f t="shared" ref="V68:V80" si="11">T68*(1-U68)</f>
        <v>6756.0375000000004</v>
      </c>
      <c r="W68" s="26">
        <f t="shared" ref="W68:W80" si="12">V68*S68*M68</f>
        <v>6756.0375000000004</v>
      </c>
      <c r="X68" s="6"/>
    </row>
    <row r="69" spans="1:24" x14ac:dyDescent="0.3">
      <c r="A69" t="s">
        <v>326</v>
      </c>
      <c r="B69" t="s">
        <v>328</v>
      </c>
      <c r="C69" t="s">
        <v>329</v>
      </c>
      <c r="D69" t="s">
        <v>304</v>
      </c>
      <c r="E69" s="1" t="s">
        <v>25</v>
      </c>
      <c r="F69" s="1" t="s">
        <v>21</v>
      </c>
      <c r="G69" s="2186">
        <v>2</v>
      </c>
      <c r="H69" s="2186">
        <f>VLOOKUP(G69,Pesos!A:B,2,0)</f>
        <v>0.8</v>
      </c>
      <c r="J69" s="1" t="s">
        <v>308</v>
      </c>
      <c r="K69" s="1">
        <v>6</v>
      </c>
      <c r="L69" s="1">
        <v>12</v>
      </c>
      <c r="M69" s="1">
        <v>1</v>
      </c>
      <c r="N69" s="1" t="s">
        <v>24</v>
      </c>
      <c r="O69" s="1">
        <v>1</v>
      </c>
      <c r="S69" s="1">
        <v>1</v>
      </c>
      <c r="T69" s="26">
        <v>7000</v>
      </c>
      <c r="U69" s="1">
        <v>0.1</v>
      </c>
      <c r="V69" s="26">
        <f t="shared" si="11"/>
        <v>6300</v>
      </c>
      <c r="W69" s="26">
        <f t="shared" si="12"/>
        <v>6300</v>
      </c>
      <c r="X69" s="6"/>
    </row>
    <row r="70" spans="1:24" x14ac:dyDescent="0.3">
      <c r="A70" t="s">
        <v>326</v>
      </c>
      <c r="B70" t="s">
        <v>328</v>
      </c>
      <c r="C70" t="s">
        <v>329</v>
      </c>
      <c r="D70" t="s">
        <v>304</v>
      </c>
      <c r="E70" s="1" t="s">
        <v>25</v>
      </c>
      <c r="F70" s="1" t="s">
        <v>26</v>
      </c>
      <c r="G70" s="2186">
        <v>3</v>
      </c>
      <c r="H70" s="2186">
        <f>VLOOKUP(G70,Pesos!A:B,2,0)</f>
        <v>0.7</v>
      </c>
      <c r="I70" s="1" t="s">
        <v>308</v>
      </c>
      <c r="K70" s="1">
        <v>4</v>
      </c>
      <c r="L70" s="1">
        <v>8</v>
      </c>
      <c r="M70" s="1">
        <v>1</v>
      </c>
      <c r="N70" s="1" t="s">
        <v>24</v>
      </c>
      <c r="O70" s="1">
        <v>1</v>
      </c>
      <c r="S70" s="1">
        <v>1</v>
      </c>
      <c r="T70" s="26">
        <v>7500</v>
      </c>
      <c r="U70" s="1">
        <v>0.1</v>
      </c>
      <c r="V70" s="26">
        <f t="shared" si="11"/>
        <v>6750</v>
      </c>
      <c r="W70" s="26">
        <f t="shared" si="12"/>
        <v>6750</v>
      </c>
      <c r="X70" s="6"/>
    </row>
    <row r="71" spans="1:24" x14ac:dyDescent="0.3">
      <c r="A71" t="s">
        <v>326</v>
      </c>
      <c r="B71" t="s">
        <v>328</v>
      </c>
      <c r="C71" t="s">
        <v>329</v>
      </c>
      <c r="D71" t="s">
        <v>304</v>
      </c>
      <c r="E71" s="1" t="s">
        <v>25</v>
      </c>
      <c r="F71" s="1" t="s">
        <v>27</v>
      </c>
      <c r="G71" s="2186">
        <v>1</v>
      </c>
      <c r="H71" s="2186">
        <f>VLOOKUP(G71,Pesos!A:B,2,0)</f>
        <v>0.9</v>
      </c>
      <c r="I71" s="1" t="s">
        <v>308</v>
      </c>
      <c r="K71" s="1">
        <v>15</v>
      </c>
      <c r="L71" s="1">
        <v>30</v>
      </c>
      <c r="M71" s="1">
        <v>13</v>
      </c>
      <c r="N71" s="1" t="s">
        <v>24</v>
      </c>
      <c r="O71" s="1">
        <v>13</v>
      </c>
      <c r="S71" s="1">
        <v>1</v>
      </c>
      <c r="T71" s="26">
        <v>2650</v>
      </c>
      <c r="U71" s="1">
        <v>0.1</v>
      </c>
      <c r="V71" s="26">
        <f t="shared" si="11"/>
        <v>2385</v>
      </c>
      <c r="W71" s="26">
        <f t="shared" si="12"/>
        <v>31005</v>
      </c>
      <c r="X71" s="6"/>
    </row>
    <row r="72" spans="1:24" x14ac:dyDescent="0.3">
      <c r="A72" t="s">
        <v>326</v>
      </c>
      <c r="B72" t="s">
        <v>328</v>
      </c>
      <c r="C72" t="s">
        <v>329</v>
      </c>
      <c r="D72" t="s">
        <v>304</v>
      </c>
      <c r="E72" s="1" t="s">
        <v>28</v>
      </c>
      <c r="F72" s="1" t="s">
        <v>21</v>
      </c>
      <c r="G72" s="2186">
        <v>2</v>
      </c>
      <c r="H72" s="2186">
        <f>VLOOKUP(G72,Pesos!A:B,2,0)</f>
        <v>0.8</v>
      </c>
      <c r="J72" s="1" t="s">
        <v>308</v>
      </c>
      <c r="K72" s="1">
        <v>6</v>
      </c>
      <c r="L72" s="1">
        <v>12</v>
      </c>
      <c r="M72" s="1">
        <v>1</v>
      </c>
      <c r="N72" s="1" t="s">
        <v>24</v>
      </c>
      <c r="O72" s="1">
        <v>1</v>
      </c>
      <c r="S72" s="1">
        <v>1</v>
      </c>
      <c r="T72" s="26">
        <v>5593</v>
      </c>
      <c r="U72" s="1">
        <v>0.25</v>
      </c>
      <c r="V72" s="26">
        <f t="shared" si="11"/>
        <v>4194.75</v>
      </c>
      <c r="W72" s="26">
        <f t="shared" si="12"/>
        <v>4194.75</v>
      </c>
      <c r="X72" s="6"/>
    </row>
    <row r="73" spans="1:24" x14ac:dyDescent="0.3">
      <c r="A73" t="s">
        <v>326</v>
      </c>
      <c r="B73" t="s">
        <v>328</v>
      </c>
      <c r="C73" t="s">
        <v>329</v>
      </c>
      <c r="D73" t="s">
        <v>304</v>
      </c>
      <c r="E73" s="1" t="s">
        <v>28</v>
      </c>
      <c r="F73" s="1" t="s">
        <v>26</v>
      </c>
      <c r="G73" s="2186">
        <v>3</v>
      </c>
      <c r="H73" s="2186">
        <f>VLOOKUP(G73,Pesos!A:B,2,0)</f>
        <v>0.7</v>
      </c>
      <c r="I73" s="1" t="s">
        <v>308</v>
      </c>
      <c r="K73" s="1">
        <v>4</v>
      </c>
      <c r="L73" s="1">
        <v>8</v>
      </c>
      <c r="M73" s="1">
        <v>2</v>
      </c>
      <c r="N73" s="1" t="s">
        <v>24</v>
      </c>
      <c r="O73" s="1">
        <v>2</v>
      </c>
      <c r="S73" s="1">
        <v>1</v>
      </c>
      <c r="T73" s="26">
        <f>(10000+6680)/2</f>
        <v>8340</v>
      </c>
      <c r="U73" s="1">
        <v>0.3</v>
      </c>
      <c r="V73" s="26">
        <f t="shared" si="11"/>
        <v>5838</v>
      </c>
      <c r="W73" s="26">
        <f t="shared" si="12"/>
        <v>11676</v>
      </c>
      <c r="X73" s="6"/>
    </row>
    <row r="74" spans="1:24" x14ac:dyDescent="0.3">
      <c r="A74" t="s">
        <v>326</v>
      </c>
      <c r="B74" t="s">
        <v>328</v>
      </c>
      <c r="C74" t="s">
        <v>329</v>
      </c>
      <c r="D74" t="s">
        <v>304</v>
      </c>
      <c r="E74" s="1" t="s">
        <v>30</v>
      </c>
      <c r="F74" s="1" t="s">
        <v>21</v>
      </c>
      <c r="G74" s="2186">
        <v>2</v>
      </c>
      <c r="H74" s="2186">
        <f>VLOOKUP(G74,Pesos!A:B,2,0)</f>
        <v>0.8</v>
      </c>
      <c r="J74" s="1" t="s">
        <v>308</v>
      </c>
      <c r="K74" s="1">
        <v>6</v>
      </c>
      <c r="L74" s="1">
        <v>12</v>
      </c>
      <c r="M74" s="1">
        <v>1</v>
      </c>
      <c r="N74" s="1" t="s">
        <v>24</v>
      </c>
      <c r="O74" s="1">
        <v>1</v>
      </c>
      <c r="S74" s="1">
        <v>1</v>
      </c>
      <c r="T74" s="26">
        <v>2362</v>
      </c>
      <c r="U74" s="1">
        <v>0.2</v>
      </c>
      <c r="V74" s="26">
        <f t="shared" si="11"/>
        <v>1889.6000000000001</v>
      </c>
      <c r="W74" s="26">
        <f t="shared" si="12"/>
        <v>1889.6000000000001</v>
      </c>
      <c r="X74" s="6"/>
    </row>
    <row r="75" spans="1:24" x14ac:dyDescent="0.3">
      <c r="A75" t="s">
        <v>326</v>
      </c>
      <c r="B75" t="s">
        <v>328</v>
      </c>
      <c r="C75" t="s">
        <v>329</v>
      </c>
      <c r="D75" t="s">
        <v>304</v>
      </c>
      <c r="E75" s="1" t="s">
        <v>30</v>
      </c>
      <c r="F75" s="1" t="s">
        <v>27</v>
      </c>
      <c r="G75" s="2186">
        <v>1</v>
      </c>
      <c r="H75" s="2186">
        <f>VLOOKUP(G75,Pesos!A:B,2,0)</f>
        <v>0.9</v>
      </c>
      <c r="I75" s="1" t="s">
        <v>308</v>
      </c>
      <c r="K75" s="1">
        <v>15</v>
      </c>
      <c r="L75" s="1">
        <v>30</v>
      </c>
      <c r="M75" s="1">
        <v>13</v>
      </c>
      <c r="N75" s="1" t="s">
        <v>24</v>
      </c>
      <c r="O75" s="1">
        <v>13</v>
      </c>
      <c r="S75" s="1">
        <v>1</v>
      </c>
      <c r="T75" s="26">
        <v>2650</v>
      </c>
      <c r="U75" s="1">
        <v>0.2</v>
      </c>
      <c r="V75" s="26">
        <f t="shared" si="11"/>
        <v>2120</v>
      </c>
      <c r="W75" s="26">
        <f t="shared" si="12"/>
        <v>27560</v>
      </c>
      <c r="X75" s="6"/>
    </row>
    <row r="76" spans="1:24" x14ac:dyDescent="0.3">
      <c r="A76" t="s">
        <v>326</v>
      </c>
      <c r="B76" t="s">
        <v>328</v>
      </c>
      <c r="C76" t="s">
        <v>329</v>
      </c>
      <c r="D76" t="s">
        <v>304</v>
      </c>
      <c r="E76" s="1" t="s">
        <v>31</v>
      </c>
      <c r="F76" s="1" t="s">
        <v>32</v>
      </c>
      <c r="G76" s="2186">
        <v>4</v>
      </c>
      <c r="H76" s="2186">
        <f>VLOOKUP(G76,Pesos!A:B,2,0)</f>
        <v>0.6</v>
      </c>
      <c r="I76" s="1" t="s">
        <v>308</v>
      </c>
      <c r="K76" s="1">
        <v>7</v>
      </c>
      <c r="L76" s="1">
        <v>30</v>
      </c>
      <c r="M76" s="1">
        <v>2</v>
      </c>
      <c r="N76" s="1" t="s">
        <v>33</v>
      </c>
      <c r="O76" s="1">
        <v>2</v>
      </c>
      <c r="Q76" s="1">
        <v>2</v>
      </c>
      <c r="S76" s="1">
        <v>4</v>
      </c>
      <c r="T76" s="26">
        <f>265*8</f>
        <v>2120</v>
      </c>
      <c r="U76" s="1">
        <v>0.4</v>
      </c>
      <c r="V76" s="26">
        <f t="shared" si="11"/>
        <v>1272</v>
      </c>
      <c r="W76" s="26">
        <f t="shared" si="12"/>
        <v>10176</v>
      </c>
      <c r="X76" s="6"/>
    </row>
    <row r="77" spans="1:24" x14ac:dyDescent="0.3">
      <c r="A77" t="s">
        <v>326</v>
      </c>
      <c r="B77" t="s">
        <v>328</v>
      </c>
      <c r="C77" t="s">
        <v>329</v>
      </c>
      <c r="D77" t="s">
        <v>304</v>
      </c>
      <c r="E77" s="1" t="s">
        <v>34</v>
      </c>
      <c r="F77" s="1" t="s">
        <v>21</v>
      </c>
      <c r="G77" s="2186">
        <v>2</v>
      </c>
      <c r="H77" s="2186">
        <f>VLOOKUP(G77,Pesos!A:B,2,0)</f>
        <v>0.8</v>
      </c>
      <c r="J77" s="1" t="s">
        <v>308</v>
      </c>
      <c r="K77" s="1">
        <v>6</v>
      </c>
      <c r="L77" s="1">
        <v>12</v>
      </c>
      <c r="M77" s="1">
        <v>2</v>
      </c>
      <c r="N77" s="1" t="s">
        <v>24</v>
      </c>
      <c r="O77" s="1">
        <v>2</v>
      </c>
      <c r="S77" s="1">
        <v>1</v>
      </c>
      <c r="T77" s="26">
        <v>7920</v>
      </c>
      <c r="U77" s="1">
        <v>0.25</v>
      </c>
      <c r="V77" s="26">
        <f t="shared" si="11"/>
        <v>5940</v>
      </c>
      <c r="W77" s="26">
        <f t="shared" si="12"/>
        <v>11880</v>
      </c>
      <c r="X77" s="6"/>
    </row>
    <row r="78" spans="1:24" x14ac:dyDescent="0.3">
      <c r="A78" t="s">
        <v>326</v>
      </c>
      <c r="B78" t="s">
        <v>328</v>
      </c>
      <c r="C78" t="s">
        <v>329</v>
      </c>
      <c r="D78" t="s">
        <v>304</v>
      </c>
      <c r="E78" s="1" t="s">
        <v>35</v>
      </c>
      <c r="F78" s="1" t="s">
        <v>21</v>
      </c>
      <c r="G78" s="2186">
        <v>2</v>
      </c>
      <c r="H78" s="2186">
        <f>VLOOKUP(G78,Pesos!A:B,2,0)</f>
        <v>0.8</v>
      </c>
      <c r="J78" s="1" t="s">
        <v>308</v>
      </c>
      <c r="K78" s="1">
        <v>6</v>
      </c>
      <c r="L78" s="1">
        <v>12</v>
      </c>
      <c r="M78" s="1">
        <v>2</v>
      </c>
      <c r="N78" s="1" t="s">
        <v>24</v>
      </c>
      <c r="O78" s="1">
        <v>2</v>
      </c>
      <c r="S78" s="1">
        <v>1</v>
      </c>
      <c r="T78" s="26">
        <v>18500</v>
      </c>
      <c r="U78" s="1">
        <v>0.6</v>
      </c>
      <c r="V78" s="26">
        <f t="shared" si="11"/>
        <v>7400</v>
      </c>
      <c r="W78" s="26">
        <f t="shared" si="12"/>
        <v>14800</v>
      </c>
      <c r="X78" s="6"/>
    </row>
    <row r="79" spans="1:24" x14ac:dyDescent="0.3">
      <c r="A79" t="s">
        <v>326</v>
      </c>
      <c r="B79" t="s">
        <v>328</v>
      </c>
      <c r="C79" t="s">
        <v>329</v>
      </c>
      <c r="D79" t="s">
        <v>304</v>
      </c>
      <c r="E79" s="1" t="s">
        <v>35</v>
      </c>
      <c r="F79" s="1" t="s">
        <v>26</v>
      </c>
      <c r="G79" s="2186">
        <v>3</v>
      </c>
      <c r="H79" s="2186">
        <f>VLOOKUP(G79,Pesos!A:B,2,0)</f>
        <v>0.7</v>
      </c>
      <c r="I79" s="1" t="s">
        <v>308</v>
      </c>
      <c r="K79" s="1">
        <v>4</v>
      </c>
      <c r="L79" s="1">
        <v>8</v>
      </c>
      <c r="M79" s="1">
        <v>2</v>
      </c>
      <c r="N79" s="1" t="s">
        <v>24</v>
      </c>
      <c r="O79" s="1">
        <v>2</v>
      </c>
      <c r="S79" s="1">
        <v>1</v>
      </c>
      <c r="T79" s="26">
        <v>20500</v>
      </c>
      <c r="U79" s="1">
        <v>0.57999999999999996</v>
      </c>
      <c r="V79" s="26">
        <f t="shared" si="11"/>
        <v>8610</v>
      </c>
      <c r="W79" s="26">
        <f t="shared" si="12"/>
        <v>17220</v>
      </c>
      <c r="X79" s="6"/>
    </row>
    <row r="80" spans="1:24" x14ac:dyDescent="0.3">
      <c r="A80" t="s">
        <v>326</v>
      </c>
      <c r="B80" t="s">
        <v>328</v>
      </c>
      <c r="C80" t="s">
        <v>329</v>
      </c>
      <c r="D80" t="s">
        <v>304</v>
      </c>
      <c r="E80" s="1" t="s">
        <v>36</v>
      </c>
      <c r="F80" s="1" t="s">
        <v>21</v>
      </c>
      <c r="G80" s="2186">
        <v>2</v>
      </c>
      <c r="H80" s="2186">
        <f>VLOOKUP(G80,Pesos!A:B,2,0)</f>
        <v>0.8</v>
      </c>
      <c r="J80" s="1" t="s">
        <v>308</v>
      </c>
      <c r="K80" s="1">
        <v>6</v>
      </c>
      <c r="L80" s="1">
        <v>12</v>
      </c>
      <c r="M80" s="1">
        <v>1</v>
      </c>
      <c r="N80" s="1" t="s">
        <v>24</v>
      </c>
      <c r="O80" s="1">
        <v>1</v>
      </c>
      <c r="S80" s="1">
        <v>1</v>
      </c>
      <c r="T80" s="26">
        <v>8125</v>
      </c>
      <c r="U80" s="1">
        <v>0.15</v>
      </c>
      <c r="V80" s="26">
        <f t="shared" si="11"/>
        <v>6906.25</v>
      </c>
      <c r="W80" s="26">
        <f t="shared" si="12"/>
        <v>6906.25</v>
      </c>
      <c r="X80" s="6"/>
    </row>
    <row r="81" spans="1:14" x14ac:dyDescent="0.3">
      <c r="N81" s="2"/>
    </row>
    <row r="86" spans="1:14" x14ac:dyDescent="0.3">
      <c r="A86" s="47"/>
      <c r="E86" s="43" t="s">
        <v>1158</v>
      </c>
      <c r="F86" s="43" t="s">
        <v>1159</v>
      </c>
      <c r="G86" s="43" t="s">
        <v>1160</v>
      </c>
    </row>
    <row r="87" spans="1:14" x14ac:dyDescent="0.3">
      <c r="A87" s="47" t="s">
        <v>1161</v>
      </c>
      <c r="B87" s="2174"/>
      <c r="C87" s="2174"/>
      <c r="D87" s="2174"/>
      <c r="E87" s="2181">
        <f>F87*(1-10%)</f>
        <v>4352.4346875000001</v>
      </c>
      <c r="F87" s="427">
        <f>BELEM!S62</f>
        <v>4836.0385416666668</v>
      </c>
      <c r="G87" s="427">
        <f>F87*(1+15%)</f>
        <v>5561.4443229166664</v>
      </c>
    </row>
    <row r="88" spans="1:14" x14ac:dyDescent="0.3">
      <c r="A88" s="47" t="s">
        <v>1162</v>
      </c>
      <c r="B88" s="2174"/>
      <c r="C88" s="2174"/>
      <c r="D88" s="2174"/>
      <c r="E88" s="2181">
        <f>F88*(1-25%)</f>
        <v>2116.2027343750005</v>
      </c>
      <c r="F88" s="427">
        <f>BELEM!S102</f>
        <v>2821.6036458333338</v>
      </c>
      <c r="G88" s="427">
        <f>F88*(1+5%)</f>
        <v>2962.6838281250007</v>
      </c>
    </row>
    <row r="89" spans="1:14" x14ac:dyDescent="0.3">
      <c r="A89" s="47" t="s">
        <v>550</v>
      </c>
      <c r="B89" s="2174"/>
      <c r="C89" s="2174"/>
      <c r="D89" s="2174"/>
      <c r="E89" s="2181">
        <f>F89*(1-15%)</f>
        <v>4587.7515061475415</v>
      </c>
      <c r="F89" s="427">
        <f>BELEM!S150</f>
        <v>5397.3547131147543</v>
      </c>
      <c r="G89" s="427">
        <f>F89*(1+15%)</f>
        <v>6206.9579200819671</v>
      </c>
    </row>
    <row r="90" spans="1:14" x14ac:dyDescent="0.3">
      <c r="A90" s="47" t="s">
        <v>679</v>
      </c>
      <c r="B90" s="2174"/>
      <c r="C90" s="2174"/>
      <c r="D90" s="2174"/>
      <c r="E90" s="2181">
        <f>F90*(1-25%)</f>
        <v>2267.0035837155961</v>
      </c>
      <c r="F90" s="427">
        <f>BELEM!S192</f>
        <v>3022.6714449541282</v>
      </c>
      <c r="G90" s="427">
        <f>F90*(1+5%)</f>
        <v>3173.8050172018347</v>
      </c>
    </row>
    <row r="91" spans="1:14" x14ac:dyDescent="0.3">
      <c r="A91" s="47" t="s">
        <v>568</v>
      </c>
      <c r="B91" s="2174"/>
      <c r="C91" s="2174"/>
      <c r="D91" s="2174"/>
      <c r="E91" s="2181">
        <f>F91*(1-25%)</f>
        <v>3189.4370028409094</v>
      </c>
      <c r="F91" s="427">
        <f>BELEM!S234</f>
        <v>4252.5826704545461</v>
      </c>
      <c r="G91" s="427">
        <f>F91*(1+5%)</f>
        <v>4465.211803977274</v>
      </c>
    </row>
    <row r="92" spans="1:14" x14ac:dyDescent="0.3">
      <c r="A92" s="47"/>
      <c r="B92" s="47"/>
      <c r="C92" s="47"/>
      <c r="D92" s="47"/>
      <c r="E92" s="48"/>
    </row>
    <row r="93" spans="1:14" x14ac:dyDescent="0.3">
      <c r="A93" s="47"/>
      <c r="B93" s="46"/>
      <c r="C93" s="46"/>
      <c r="D93" s="46"/>
      <c r="E93" s="2314" t="s">
        <v>1163</v>
      </c>
      <c r="F93" s="2315"/>
      <c r="G93" s="2315"/>
      <c r="H93" s="2316"/>
    </row>
    <row r="94" spans="1:14" x14ac:dyDescent="0.3">
      <c r="A94" s="47" t="s">
        <v>1161</v>
      </c>
      <c r="B94" s="2175"/>
      <c r="C94" s="2175"/>
      <c r="D94" s="2175"/>
      <c r="E94" s="2175">
        <f>BELEM!I58</f>
        <v>0.6071428571428571</v>
      </c>
      <c r="G94" s="304">
        <f>BELEM!K58</f>
        <v>0.39285714285714285</v>
      </c>
    </row>
    <row r="95" spans="1:14" x14ac:dyDescent="0.3">
      <c r="A95" s="47" t="s">
        <v>1162</v>
      </c>
      <c r="B95" s="2175"/>
      <c r="C95" s="2175"/>
      <c r="D95" s="2175"/>
      <c r="E95" s="2175">
        <v>0.55555555555555558</v>
      </c>
      <c r="F95" s="3">
        <v>7.6388888888888895E-2</v>
      </c>
      <c r="G95" s="3">
        <v>0.29166666666666669</v>
      </c>
      <c r="H95" s="3">
        <v>7.6388888888888895E-2</v>
      </c>
    </row>
    <row r="96" spans="1:14" x14ac:dyDescent="0.3">
      <c r="A96" s="47" t="s">
        <v>550</v>
      </c>
      <c r="B96" s="2175"/>
      <c r="C96" s="2175"/>
      <c r="D96" s="2175"/>
      <c r="E96" s="2175">
        <v>0.62295081967213117</v>
      </c>
      <c r="G96" s="3">
        <v>0.37704918032786883</v>
      </c>
    </row>
    <row r="97" spans="1:9" x14ac:dyDescent="0.3">
      <c r="A97" s="47" t="s">
        <v>679</v>
      </c>
      <c r="B97" s="2175"/>
      <c r="C97" s="2175"/>
      <c r="D97" s="2175"/>
      <c r="E97" s="2183">
        <v>0.55045871559633031</v>
      </c>
      <c r="F97" s="3">
        <v>0.08</v>
      </c>
      <c r="G97" s="3">
        <v>0.37</v>
      </c>
      <c r="H97" s="3"/>
      <c r="I97" s="3"/>
    </row>
    <row r="98" spans="1:9" x14ac:dyDescent="0.3">
      <c r="A98" s="47" t="s">
        <v>568</v>
      </c>
      <c r="B98" s="47"/>
      <c r="C98" s="47"/>
      <c r="D98" s="47"/>
      <c r="E98" s="2183">
        <v>0.65909090909090906</v>
      </c>
      <c r="F98" s="3"/>
      <c r="G98" s="3">
        <v>0.34090909090909088</v>
      </c>
    </row>
    <row r="99" spans="1:9" x14ac:dyDescent="0.3">
      <c r="A99" s="47"/>
      <c r="B99" s="47"/>
      <c r="C99" s="47"/>
      <c r="D99" s="47"/>
      <c r="E99" s="48"/>
    </row>
    <row r="100" spans="1:9" x14ac:dyDescent="0.3">
      <c r="A100" s="47"/>
      <c r="B100" s="47"/>
      <c r="C100" s="47"/>
      <c r="D100" s="47"/>
      <c r="E100" s="48"/>
    </row>
    <row r="101" spans="1:9" x14ac:dyDescent="0.3">
      <c r="A101" s="47"/>
      <c r="B101" s="47"/>
      <c r="C101" s="47"/>
      <c r="D101" s="47"/>
      <c r="E101" s="48"/>
    </row>
    <row r="102" spans="1:9" x14ac:dyDescent="0.3">
      <c r="A102" s="47"/>
      <c r="B102" s="46"/>
      <c r="C102" s="46"/>
      <c r="D102" s="46"/>
      <c r="E102" s="2314" t="s">
        <v>1164</v>
      </c>
      <c r="F102" s="2315"/>
      <c r="G102" s="2315"/>
      <c r="H102" s="2316"/>
    </row>
    <row r="103" spans="1:9" x14ac:dyDescent="0.3">
      <c r="A103" s="47" t="s">
        <v>1161</v>
      </c>
      <c r="B103" s="2175"/>
      <c r="C103" s="2175"/>
      <c r="D103" s="2175"/>
      <c r="E103" s="2175">
        <f>BELEM!I61</f>
        <v>0.27127659574468083</v>
      </c>
      <c r="F103" s="304">
        <f>BELEM!J61</f>
        <v>0.22872340425531915</v>
      </c>
      <c r="G103" s="304">
        <f>BELEM!K61</f>
        <v>0.27127659574468083</v>
      </c>
      <c r="H103" s="304">
        <f>BELEM!L61</f>
        <v>0.22872340425531915</v>
      </c>
    </row>
    <row r="104" spans="1:9" x14ac:dyDescent="0.3">
      <c r="A104" s="47" t="s">
        <v>1162</v>
      </c>
      <c r="B104" s="6"/>
      <c r="C104" s="6"/>
      <c r="D104" s="6"/>
      <c r="E104" s="6">
        <v>0.2484472049689441</v>
      </c>
      <c r="F104" s="3">
        <v>0.25776397515527949</v>
      </c>
      <c r="G104" s="3">
        <v>0.2484472049689441</v>
      </c>
      <c r="H104" s="3">
        <v>0.24534161490683229</v>
      </c>
    </row>
    <row r="105" spans="1:9" x14ac:dyDescent="0.3">
      <c r="A105" s="47" t="s">
        <v>550</v>
      </c>
      <c r="B105" s="2175"/>
      <c r="C105" s="2175"/>
      <c r="D105" s="2175"/>
      <c r="E105" s="2183">
        <v>0.35</v>
      </c>
      <c r="F105" s="3">
        <v>0.3</v>
      </c>
      <c r="G105" s="3">
        <v>0.35</v>
      </c>
      <c r="H105" s="3"/>
    </row>
    <row r="106" spans="1:9" x14ac:dyDescent="0.3">
      <c r="A106" s="47" t="s">
        <v>679</v>
      </c>
      <c r="B106" s="2175"/>
      <c r="C106" s="2175"/>
      <c r="D106" s="2175"/>
      <c r="E106" s="2183">
        <v>0.35</v>
      </c>
      <c r="F106" s="3">
        <v>0.28999999999999998</v>
      </c>
      <c r="G106" s="3">
        <v>0.36</v>
      </c>
      <c r="H106" s="3"/>
    </row>
    <row r="107" spans="1:9" x14ac:dyDescent="0.3">
      <c r="A107" s="47" t="s">
        <v>568</v>
      </c>
      <c r="B107" s="47"/>
      <c r="C107" s="47"/>
      <c r="D107" s="47"/>
      <c r="E107" s="2183">
        <v>0.35</v>
      </c>
      <c r="F107" s="3">
        <v>0.28999999999999998</v>
      </c>
      <c r="G107" s="3">
        <v>0.36</v>
      </c>
      <c r="H10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74"/>
  <sheetViews>
    <sheetView workbookViewId="0"/>
  </sheetViews>
  <sheetFormatPr defaultRowHeight="14.4" x14ac:dyDescent="0.3"/>
  <sheetData>
    <row r="1" spans="1:9" ht="21" x14ac:dyDescent="0.4">
      <c r="A1" s="92" t="s">
        <v>1171</v>
      </c>
    </row>
    <row r="2" spans="1:9" x14ac:dyDescent="0.3">
      <c r="A2" t="s">
        <v>452</v>
      </c>
    </row>
    <row r="3" spans="1:9" x14ac:dyDescent="0.3">
      <c r="A3" s="93"/>
      <c r="B3" s="94"/>
    </row>
    <row r="5" spans="1:9" x14ac:dyDescent="0.3">
      <c r="B5" s="95"/>
    </row>
    <row r="6" spans="1:9" x14ac:dyDescent="0.3">
      <c r="B6" s="96"/>
      <c r="C6" s="97"/>
      <c r="F6" s="98"/>
      <c r="G6" s="98"/>
      <c r="H6" s="98"/>
      <c r="I6" s="99"/>
    </row>
    <row r="7" spans="1:9" x14ac:dyDescent="0.3">
      <c r="A7" s="100" t="s">
        <v>572</v>
      </c>
      <c r="B7" s="101">
        <v>249713.29</v>
      </c>
      <c r="C7" s="102"/>
      <c r="F7" s="98"/>
      <c r="G7" s="98"/>
      <c r="H7" s="98"/>
      <c r="I7" s="99"/>
    </row>
    <row r="8" spans="1:9" x14ac:dyDescent="0.3">
      <c r="A8" s="100" t="s">
        <v>573</v>
      </c>
      <c r="B8" s="101">
        <v>249713.29</v>
      </c>
      <c r="C8" s="97"/>
      <c r="F8" s="98"/>
      <c r="G8" s="98"/>
      <c r="H8" s="98"/>
      <c r="I8" s="99"/>
    </row>
    <row r="9" spans="1:9" x14ac:dyDescent="0.3">
      <c r="C9" s="97"/>
      <c r="F9" s="98"/>
      <c r="G9" s="98"/>
      <c r="H9" s="98"/>
      <c r="I9" s="99"/>
    </row>
    <row r="10" spans="1:9" x14ac:dyDescent="0.3">
      <c r="A10" s="103" t="s">
        <v>574</v>
      </c>
      <c r="B10" s="104">
        <v>657396.25</v>
      </c>
      <c r="C10" s="105"/>
      <c r="F10" s="98"/>
      <c r="G10" s="98"/>
      <c r="H10" s="98"/>
      <c r="I10" s="99"/>
    </row>
    <row r="11" spans="1:9" x14ac:dyDescent="0.3">
      <c r="A11" s="100" t="s">
        <v>575</v>
      </c>
      <c r="B11" s="101">
        <v>657396.25</v>
      </c>
      <c r="C11" s="3"/>
      <c r="F11" s="98"/>
      <c r="G11" s="98"/>
      <c r="H11" s="98"/>
      <c r="I11" s="99"/>
    </row>
    <row r="12" spans="1:9" x14ac:dyDescent="0.3">
      <c r="D12" s="449"/>
      <c r="E12" s="450"/>
      <c r="F12" s="98"/>
      <c r="G12" s="98"/>
      <c r="H12" s="98"/>
      <c r="I12" s="99"/>
    </row>
    <row r="13" spans="1:9" x14ac:dyDescent="0.3">
      <c r="F13" s="98"/>
      <c r="G13" s="98"/>
      <c r="H13" s="98"/>
      <c r="I13" s="99"/>
    </row>
    <row r="14" spans="1:9" x14ac:dyDescent="0.3">
      <c r="A14" s="4" t="s">
        <v>457</v>
      </c>
      <c r="F14" s="98"/>
      <c r="G14" s="98"/>
      <c r="H14" s="98"/>
      <c r="I14" s="99"/>
    </row>
    <row r="15" spans="1:9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  <c r="F15" s="98"/>
      <c r="G15" s="98"/>
      <c r="H15" s="98"/>
      <c r="I15" s="99"/>
    </row>
    <row r="16" spans="1:9" x14ac:dyDescent="0.3">
      <c r="A16" s="107" t="s">
        <v>576</v>
      </c>
      <c r="B16" s="108" t="s">
        <v>463</v>
      </c>
      <c r="C16" s="109">
        <v>0.44</v>
      </c>
      <c r="D16" s="110">
        <v>289254.34999999998</v>
      </c>
      <c r="E16" s="110">
        <v>96418.116666666654</v>
      </c>
      <c r="F16" s="98"/>
      <c r="G16" s="98"/>
      <c r="H16" s="98"/>
      <c r="I16" s="99"/>
    </row>
    <row r="17" spans="1:30" x14ac:dyDescent="0.3">
      <c r="A17" s="107" t="s">
        <v>464</v>
      </c>
      <c r="B17" s="108" t="s">
        <v>465</v>
      </c>
      <c r="C17" s="109">
        <v>0.48</v>
      </c>
      <c r="D17" s="110">
        <v>315550.2</v>
      </c>
      <c r="E17" s="110">
        <v>63110.04</v>
      </c>
      <c r="F17" s="98"/>
      <c r="G17" s="98"/>
      <c r="H17" s="98"/>
      <c r="I17" s="99"/>
    </row>
    <row r="18" spans="1:30" x14ac:dyDescent="0.3">
      <c r="A18" s="107" t="s">
        <v>466</v>
      </c>
      <c r="B18" s="108">
        <v>2</v>
      </c>
      <c r="C18" s="109">
        <v>0.08</v>
      </c>
      <c r="D18" s="110">
        <v>52591.700000000004</v>
      </c>
      <c r="E18" s="110">
        <v>26295.850000000002</v>
      </c>
      <c r="F18" s="98"/>
      <c r="G18" s="98"/>
      <c r="H18" s="98"/>
      <c r="I18" s="99"/>
    </row>
    <row r="19" spans="1:30" x14ac:dyDescent="0.3">
      <c r="B19" s="1" t="s">
        <v>577</v>
      </c>
      <c r="C19" s="3">
        <v>0.99999999999999989</v>
      </c>
      <c r="D19" s="112">
        <v>657396.25</v>
      </c>
      <c r="F19" s="98"/>
      <c r="G19" s="98"/>
      <c r="H19" s="98"/>
      <c r="I19" s="99"/>
    </row>
    <row r="20" spans="1:30" x14ac:dyDescent="0.3">
      <c r="F20" s="98"/>
      <c r="G20" s="98"/>
      <c r="H20" s="98"/>
      <c r="I20" s="99"/>
    </row>
    <row r="21" spans="1:30" ht="15.6" x14ac:dyDescent="0.3">
      <c r="A21" s="451" t="s">
        <v>578</v>
      </c>
      <c r="B21" s="452">
        <v>413486</v>
      </c>
      <c r="F21" s="98"/>
      <c r="G21" s="98"/>
      <c r="H21" s="98"/>
      <c r="I21" s="99"/>
    </row>
    <row r="22" spans="1:30" ht="15.6" x14ac:dyDescent="0.3">
      <c r="A22" s="453" t="s">
        <v>579</v>
      </c>
      <c r="B22" s="452">
        <v>223605</v>
      </c>
      <c r="Q22" s="115"/>
      <c r="R22" s="115"/>
    </row>
    <row r="23" spans="1:30" x14ac:dyDescent="0.3">
      <c r="E23" s="1" t="s">
        <v>470</v>
      </c>
      <c r="F23" s="2" t="s">
        <v>580</v>
      </c>
      <c r="H23" s="1" t="s">
        <v>472</v>
      </c>
      <c r="J23" s="2305">
        <v>0.49</v>
      </c>
      <c r="K23" s="98"/>
      <c r="L23" s="98"/>
    </row>
    <row r="24" spans="1:30" x14ac:dyDescent="0.3">
      <c r="E24" s="1" t="s">
        <v>473</v>
      </c>
      <c r="F24" s="2" t="s">
        <v>581</v>
      </c>
      <c r="H24" s="1" t="s">
        <v>473</v>
      </c>
      <c r="J24" s="1">
        <v>35</v>
      </c>
      <c r="K24" s="1"/>
      <c r="L24" s="1"/>
    </row>
    <row r="25" spans="1:30" x14ac:dyDescent="0.3">
      <c r="E25" s="1" t="s">
        <v>475</v>
      </c>
      <c r="F25" s="2" t="s">
        <v>582</v>
      </c>
      <c r="H25" s="1" t="s">
        <v>475</v>
      </c>
      <c r="J25" s="95">
        <v>590</v>
      </c>
      <c r="K25" s="95"/>
      <c r="L25" s="95"/>
      <c r="P25" s="115"/>
    </row>
    <row r="26" spans="1:30" x14ac:dyDescent="0.3">
      <c r="E26" s="1" t="s">
        <v>477</v>
      </c>
      <c r="F26" s="2" t="s">
        <v>583</v>
      </c>
      <c r="H26" s="1" t="s">
        <v>477</v>
      </c>
      <c r="J26" s="95">
        <v>2145987</v>
      </c>
      <c r="K26" s="95"/>
      <c r="L26" s="95"/>
      <c r="O26" s="98"/>
      <c r="T26" s="116"/>
    </row>
    <row r="27" spans="1:30" x14ac:dyDescent="0.3">
      <c r="O27" s="98"/>
      <c r="P27" s="117"/>
    </row>
    <row r="28" spans="1:30" ht="18" x14ac:dyDescent="0.35">
      <c r="A28" s="118" t="s">
        <v>479</v>
      </c>
      <c r="O28" s="119"/>
      <c r="S28" s="98"/>
    </row>
    <row r="30" spans="1:30" x14ac:dyDescent="0.3">
      <c r="A30" s="2335" t="s">
        <v>480</v>
      </c>
      <c r="B30" s="2336"/>
      <c r="C30" s="2336"/>
      <c r="D30" s="2336"/>
      <c r="E30" s="2336"/>
      <c r="F30" s="2336"/>
      <c r="G30" s="2336"/>
      <c r="H30" s="2336"/>
      <c r="I30" s="2336"/>
      <c r="J30" s="2336"/>
      <c r="K30" s="2336"/>
      <c r="L30" s="2336"/>
      <c r="M30" s="2336"/>
      <c r="N30" s="2336"/>
      <c r="O30" s="2336"/>
      <c r="P30" s="2336"/>
      <c r="Q30" s="2336"/>
      <c r="R30" s="2336"/>
      <c r="S30" s="2337"/>
      <c r="T30" s="2338" t="s">
        <v>584</v>
      </c>
      <c r="U30" s="2339"/>
      <c r="V30" s="2339"/>
      <c r="W30" s="2339"/>
      <c r="X30" s="2339"/>
      <c r="Y30" s="2339"/>
      <c r="Z30" s="2339"/>
      <c r="AA30" s="2339"/>
      <c r="AB30" s="2339"/>
      <c r="AC30" s="2339"/>
      <c r="AD30" s="2340"/>
    </row>
    <row r="31" spans="1:30" ht="15.6" x14ac:dyDescent="0.3">
      <c r="A31" s="2310" t="s">
        <v>482</v>
      </c>
      <c r="B31" s="2290" t="s">
        <v>483</v>
      </c>
      <c r="C31" s="2290" t="s">
        <v>484</v>
      </c>
      <c r="D31" s="2290" t="s">
        <v>485</v>
      </c>
      <c r="E31" s="2290" t="s">
        <v>486</v>
      </c>
      <c r="F31" s="2312" t="s">
        <v>487</v>
      </c>
      <c r="G31" s="2290" t="s">
        <v>488</v>
      </c>
      <c r="H31" s="2290" t="s">
        <v>489</v>
      </c>
      <c r="I31" s="2292" t="s">
        <v>490</v>
      </c>
      <c r="J31" s="2292"/>
      <c r="K31" s="2292"/>
      <c r="L31" s="2292"/>
      <c r="M31" s="121" t="s">
        <v>491</v>
      </c>
      <c r="N31" s="122" t="s">
        <v>492</v>
      </c>
      <c r="O31" s="123" t="s">
        <v>493</v>
      </c>
      <c r="P31" s="122" t="s">
        <v>492</v>
      </c>
      <c r="Q31" s="122" t="s">
        <v>494</v>
      </c>
      <c r="R31" s="454" t="s">
        <v>585</v>
      </c>
      <c r="S31" s="2367" t="s">
        <v>495</v>
      </c>
      <c r="T31" s="124" t="s">
        <v>496</v>
      </c>
      <c r="U31" s="2364" t="s">
        <v>497</v>
      </c>
      <c r="V31" s="2365"/>
      <c r="W31" s="2365"/>
      <c r="X31" s="2365"/>
      <c r="Y31" s="2366"/>
      <c r="Z31" s="2361" t="s">
        <v>498</v>
      </c>
      <c r="AA31" s="2363"/>
      <c r="AB31" s="2361" t="s">
        <v>499</v>
      </c>
      <c r="AC31" s="2362"/>
      <c r="AD31" s="2363"/>
    </row>
    <row r="32" spans="1:30" ht="15.6" x14ac:dyDescent="0.3">
      <c r="A32" s="2311"/>
      <c r="B32" s="2291"/>
      <c r="C32" s="2291"/>
      <c r="D32" s="2291"/>
      <c r="E32" s="2291"/>
      <c r="F32" s="2313"/>
      <c r="G32" s="2291"/>
      <c r="H32" s="2291"/>
      <c r="I32" s="126" t="s">
        <v>500</v>
      </c>
      <c r="J32" s="126" t="s">
        <v>501</v>
      </c>
      <c r="K32" s="126" t="s">
        <v>502</v>
      </c>
      <c r="L32" s="126" t="s">
        <v>503</v>
      </c>
      <c r="M32" s="127" t="s">
        <v>504</v>
      </c>
      <c r="N32" s="128" t="s">
        <v>505</v>
      </c>
      <c r="O32" s="129" t="s">
        <v>506</v>
      </c>
      <c r="P32" s="128" t="s">
        <v>507</v>
      </c>
      <c r="Q32" s="128" t="s">
        <v>507</v>
      </c>
      <c r="R32" s="455"/>
      <c r="S32" s="2368"/>
      <c r="T32" s="130" t="s">
        <v>508</v>
      </c>
      <c r="U32" s="2298"/>
      <c r="V32" s="2299"/>
      <c r="W32" s="2299"/>
      <c r="X32" s="2299"/>
      <c r="Y32" s="2300"/>
      <c r="Z32" s="2303"/>
      <c r="AA32" s="2304"/>
      <c r="AB32" s="2303"/>
      <c r="AC32" s="2307"/>
      <c r="AD32" s="2304"/>
    </row>
    <row r="33" spans="1:30" x14ac:dyDescent="0.3">
      <c r="A33" s="2369" t="s">
        <v>509</v>
      </c>
      <c r="B33" s="2370"/>
      <c r="C33" s="2370"/>
      <c r="D33" s="2370"/>
      <c r="E33" s="2370"/>
      <c r="F33" s="2370"/>
      <c r="G33" s="2370"/>
      <c r="H33" s="2370"/>
      <c r="I33" s="2370"/>
      <c r="J33" s="2370"/>
      <c r="K33" s="2370"/>
      <c r="L33" s="2370"/>
      <c r="M33" s="2370"/>
      <c r="N33" s="2370"/>
      <c r="O33" s="2370"/>
      <c r="P33" s="2370"/>
      <c r="Q33" s="2370"/>
      <c r="R33" s="2370"/>
      <c r="S33" s="2371"/>
      <c r="T33" s="456"/>
      <c r="U33" s="457" t="s">
        <v>510</v>
      </c>
      <c r="V33" s="458" t="s">
        <v>11</v>
      </c>
      <c r="W33" s="458" t="s">
        <v>511</v>
      </c>
      <c r="X33" s="458" t="s">
        <v>512</v>
      </c>
      <c r="Y33" s="459" t="s">
        <v>513</v>
      </c>
      <c r="Z33" s="460" t="s">
        <v>514</v>
      </c>
      <c r="AA33" s="459" t="s">
        <v>515</v>
      </c>
      <c r="AB33" s="458" t="s">
        <v>44</v>
      </c>
      <c r="AC33" s="458" t="s">
        <v>45</v>
      </c>
      <c r="AD33" s="461" t="s">
        <v>5</v>
      </c>
    </row>
    <row r="34" spans="1:30" x14ac:dyDescent="0.3">
      <c r="A34" s="153"/>
      <c r="B34" s="462"/>
      <c r="C34" s="462"/>
      <c r="D34" s="462"/>
      <c r="E34" s="462"/>
      <c r="F34" s="463"/>
      <c r="G34" s="462"/>
      <c r="H34" s="462"/>
      <c r="I34" s="464"/>
      <c r="J34" s="465"/>
      <c r="K34" s="465"/>
      <c r="L34" s="466"/>
      <c r="M34" s="467"/>
      <c r="N34" s="468"/>
      <c r="O34" s="469"/>
      <c r="P34" s="468"/>
      <c r="Q34" s="468"/>
      <c r="R34" s="470"/>
      <c r="S34" s="471"/>
      <c r="T34" s="149"/>
      <c r="U34" s="7"/>
      <c r="Y34" s="286"/>
      <c r="Z34" s="188"/>
      <c r="AA34" s="286"/>
      <c r="AD34" s="152"/>
    </row>
    <row r="35" spans="1:30" x14ac:dyDescent="0.3">
      <c r="A35" s="156" t="s">
        <v>586</v>
      </c>
      <c r="B35" s="157" t="s">
        <v>46</v>
      </c>
      <c r="C35" s="157" t="s">
        <v>517</v>
      </c>
      <c r="D35" s="157" t="s">
        <v>26</v>
      </c>
      <c r="E35" s="157" t="s">
        <v>520</v>
      </c>
      <c r="F35" s="158" t="s">
        <v>587</v>
      </c>
      <c r="G35" s="157">
        <v>3</v>
      </c>
      <c r="H35" s="157" t="s">
        <v>24</v>
      </c>
      <c r="I35" s="159">
        <v>3</v>
      </c>
      <c r="J35" s="161"/>
      <c r="K35" s="161"/>
      <c r="L35" s="2209"/>
      <c r="M35" s="163">
        <v>1</v>
      </c>
      <c r="N35" s="166">
        <v>4480</v>
      </c>
      <c r="O35" s="165">
        <v>0.2</v>
      </c>
      <c r="P35" s="166">
        <f>N35*(1-O35)</f>
        <v>3584</v>
      </c>
      <c r="Q35" s="166">
        <f t="shared" ref="Q35:Q38" si="0">P35*M35*G35</f>
        <v>10752</v>
      </c>
      <c r="R35" s="206" t="e">
        <f>(Q35+Q36+#REF!+#REF!)/E11*1000</f>
        <v>#REF!</v>
      </c>
      <c r="S35" s="318">
        <f>Q35/$Q$43</f>
        <v>0.25844911302341234</v>
      </c>
      <c r="T35" s="168">
        <f t="shared" ref="T35:T38" si="1">Q35*2</f>
        <v>21504</v>
      </c>
      <c r="U35" s="7">
        <f t="shared" ref="U35:U36" si="2">T35</f>
        <v>21504</v>
      </c>
      <c r="V35" s="169"/>
      <c r="W35" s="169"/>
      <c r="X35" s="169"/>
      <c r="Y35" s="395"/>
      <c r="Z35" s="394"/>
      <c r="AA35" s="395">
        <f>T35</f>
        <v>21504</v>
      </c>
      <c r="AB35" s="169">
        <f>T35</f>
        <v>21504</v>
      </c>
      <c r="AD35" s="152"/>
    </row>
    <row r="36" spans="1:30" x14ac:dyDescent="0.3">
      <c r="A36" s="156" t="s">
        <v>586</v>
      </c>
      <c r="B36" s="157" t="s">
        <v>47</v>
      </c>
      <c r="C36" s="157" t="s">
        <v>517</v>
      </c>
      <c r="D36" s="157" t="s">
        <v>21</v>
      </c>
      <c r="E36" s="157" t="s">
        <v>518</v>
      </c>
      <c r="F36" s="158" t="s">
        <v>588</v>
      </c>
      <c r="G36" s="157">
        <v>2</v>
      </c>
      <c r="H36" s="157" t="s">
        <v>24</v>
      </c>
      <c r="I36" s="159">
        <v>2</v>
      </c>
      <c r="J36" s="161"/>
      <c r="K36" s="161"/>
      <c r="L36" s="2209"/>
      <c r="M36" s="163">
        <v>1</v>
      </c>
      <c r="N36" s="166">
        <v>5000</v>
      </c>
      <c r="O36" s="173">
        <v>0.25</v>
      </c>
      <c r="P36" s="166">
        <f>N36*(1-O36)</f>
        <v>3750</v>
      </c>
      <c r="Q36" s="166">
        <f t="shared" si="0"/>
        <v>7500</v>
      </c>
      <c r="R36" s="206" t="e">
        <f>(Q36+Q37+#REF!+#REF!)/E12*1000</f>
        <v>#REF!</v>
      </c>
      <c r="S36" s="472">
        <f>Q36/$Q$43</f>
        <v>0.18027979424066151</v>
      </c>
      <c r="T36" s="168">
        <f t="shared" si="1"/>
        <v>15000</v>
      </c>
      <c r="U36" s="7">
        <f t="shared" si="2"/>
        <v>15000</v>
      </c>
      <c r="V36" s="169"/>
      <c r="Y36" s="286"/>
      <c r="Z36" s="394">
        <f>T36</f>
        <v>15000</v>
      </c>
      <c r="AA36" s="395"/>
      <c r="AC36" s="169">
        <f>T36</f>
        <v>15000</v>
      </c>
      <c r="AD36" s="152"/>
    </row>
    <row r="37" spans="1:30" x14ac:dyDescent="0.3">
      <c r="A37" s="156" t="s">
        <v>586</v>
      </c>
      <c r="B37" s="157" t="s">
        <v>47</v>
      </c>
      <c r="C37" s="157" t="s">
        <v>517</v>
      </c>
      <c r="D37" s="157" t="s">
        <v>48</v>
      </c>
      <c r="E37" s="157" t="s">
        <v>518</v>
      </c>
      <c r="F37" s="158" t="s">
        <v>589</v>
      </c>
      <c r="G37" s="157">
        <v>2</v>
      </c>
      <c r="H37" s="157" t="s">
        <v>24</v>
      </c>
      <c r="I37" s="159">
        <v>2</v>
      </c>
      <c r="J37" s="161"/>
      <c r="K37" s="161"/>
      <c r="L37" s="2209"/>
      <c r="M37" s="163">
        <v>1</v>
      </c>
      <c r="N37" s="166">
        <v>5000</v>
      </c>
      <c r="O37" s="173">
        <v>0.25</v>
      </c>
      <c r="P37" s="166">
        <f t="shared" ref="P37:P38" si="3">N37*(1-O37)</f>
        <v>3750</v>
      </c>
      <c r="Q37" s="166">
        <f t="shared" si="0"/>
        <v>7500</v>
      </c>
      <c r="R37" s="206"/>
      <c r="S37" s="472">
        <f>Q37/$Q$43</f>
        <v>0.18027979424066151</v>
      </c>
      <c r="T37" s="168">
        <f t="shared" si="1"/>
        <v>15000</v>
      </c>
      <c r="U37" s="7"/>
      <c r="V37" s="169">
        <f>T37</f>
        <v>15000</v>
      </c>
      <c r="Y37" s="286"/>
      <c r="Z37" s="394">
        <f>T37</f>
        <v>15000</v>
      </c>
      <c r="AA37" s="395"/>
      <c r="AC37" s="169">
        <f>T37</f>
        <v>15000</v>
      </c>
      <c r="AD37" s="152"/>
    </row>
    <row r="38" spans="1:30" x14ac:dyDescent="0.3">
      <c r="A38" s="156" t="s">
        <v>586</v>
      </c>
      <c r="B38" s="157" t="s">
        <v>47</v>
      </c>
      <c r="C38" s="157" t="s">
        <v>517</v>
      </c>
      <c r="D38" s="157" t="s">
        <v>26</v>
      </c>
      <c r="E38" s="157" t="s">
        <v>520</v>
      </c>
      <c r="F38" s="158" t="s">
        <v>587</v>
      </c>
      <c r="G38" s="157">
        <v>2</v>
      </c>
      <c r="H38" s="157" t="s">
        <v>24</v>
      </c>
      <c r="I38" s="159">
        <v>2</v>
      </c>
      <c r="J38" s="161"/>
      <c r="K38" s="161"/>
      <c r="L38" s="2209"/>
      <c r="M38" s="163">
        <v>1</v>
      </c>
      <c r="N38" s="473">
        <v>5500</v>
      </c>
      <c r="O38" s="165">
        <v>0.25</v>
      </c>
      <c r="P38" s="166">
        <f t="shared" si="3"/>
        <v>4125</v>
      </c>
      <c r="Q38" s="166">
        <f t="shared" si="0"/>
        <v>8250</v>
      </c>
      <c r="R38" s="206"/>
      <c r="S38" s="318">
        <f>Q38/$Q$43</f>
        <v>0.19830777366472765</v>
      </c>
      <c r="T38" s="168">
        <f t="shared" si="1"/>
        <v>16500</v>
      </c>
      <c r="U38" s="7">
        <f>T38</f>
        <v>16500</v>
      </c>
      <c r="Y38" s="286"/>
      <c r="Z38" s="394"/>
      <c r="AA38" s="395">
        <f>T38</f>
        <v>16500</v>
      </c>
      <c r="AC38" s="169">
        <f>U38</f>
        <v>16500</v>
      </c>
      <c r="AD38" s="152"/>
    </row>
    <row r="39" spans="1:30" x14ac:dyDescent="0.3">
      <c r="A39" s="156"/>
      <c r="B39" s="157"/>
      <c r="C39" s="157"/>
      <c r="D39" s="157"/>
      <c r="E39" s="157"/>
      <c r="F39" s="158"/>
      <c r="G39" s="157"/>
      <c r="H39" s="157"/>
      <c r="I39" s="474"/>
      <c r="J39" s="1"/>
      <c r="K39" s="1"/>
      <c r="L39" s="475"/>
      <c r="M39" s="163"/>
      <c r="N39" s="473"/>
      <c r="O39" s="165"/>
      <c r="P39" s="476"/>
      <c r="Q39" s="473"/>
      <c r="R39" s="9"/>
      <c r="S39" s="477"/>
      <c r="T39" s="478"/>
      <c r="U39" s="15"/>
      <c r="Y39" s="286"/>
      <c r="Z39" s="394"/>
      <c r="AA39" s="395"/>
      <c r="AD39" s="171">
        <f>T39</f>
        <v>0</v>
      </c>
    </row>
    <row r="40" spans="1:30" x14ac:dyDescent="0.3">
      <c r="A40" s="189" t="s">
        <v>586</v>
      </c>
      <c r="B40" s="190" t="s">
        <v>528</v>
      </c>
      <c r="C40" s="190"/>
      <c r="D40" s="190"/>
      <c r="E40" s="190"/>
      <c r="F40" s="191"/>
      <c r="G40" s="190"/>
      <c r="H40" s="190"/>
      <c r="I40" s="192"/>
      <c r="J40" s="193"/>
      <c r="K40" s="193"/>
      <c r="L40" s="193"/>
      <c r="M40" s="190"/>
      <c r="N40" s="194"/>
      <c r="O40" s="195"/>
      <c r="P40" s="186"/>
      <c r="Q40" s="166"/>
      <c r="R40" s="288"/>
      <c r="S40" s="323"/>
      <c r="T40" s="168">
        <f t="shared" ref="T40:T41" si="4">Q40*2</f>
        <v>0</v>
      </c>
      <c r="U40" s="7"/>
      <c r="X40" s="169">
        <f>T40</f>
        <v>0</v>
      </c>
      <c r="Y40" s="286"/>
      <c r="Z40" s="188"/>
      <c r="AA40" s="395"/>
      <c r="AD40" s="152"/>
    </row>
    <row r="41" spans="1:30" x14ac:dyDescent="0.3">
      <c r="A41" s="365" t="s">
        <v>586</v>
      </c>
      <c r="B41" s="108" t="s">
        <v>529</v>
      </c>
      <c r="C41" s="108"/>
      <c r="D41" s="108" t="s">
        <v>530</v>
      </c>
      <c r="E41" s="108"/>
      <c r="F41" s="479"/>
      <c r="G41" s="108"/>
      <c r="H41" s="108"/>
      <c r="I41" s="254"/>
      <c r="J41" s="254"/>
      <c r="K41" s="254"/>
      <c r="L41" s="254"/>
      <c r="M41" s="108"/>
      <c r="N41" s="257"/>
      <c r="O41" s="109"/>
      <c r="P41" s="290"/>
      <c r="Q41" s="257">
        <v>7600</v>
      </c>
      <c r="R41" s="480"/>
      <c r="S41" s="367">
        <f>Q41/Q43</f>
        <v>0.18268352483053699</v>
      </c>
      <c r="T41" s="168">
        <f t="shared" si="4"/>
        <v>15200</v>
      </c>
      <c r="U41" s="7"/>
      <c r="Y41" s="395">
        <f>T41</f>
        <v>15200</v>
      </c>
      <c r="Z41" s="188"/>
      <c r="AA41" s="286"/>
      <c r="AD41" s="152"/>
    </row>
    <row r="42" spans="1:30" x14ac:dyDescent="0.3">
      <c r="A42" s="368"/>
      <c r="B42" s="369"/>
      <c r="C42" s="369"/>
      <c r="D42" s="369"/>
      <c r="E42" s="369"/>
      <c r="F42" s="370"/>
      <c r="G42" s="369"/>
      <c r="H42" s="369"/>
      <c r="I42" s="208"/>
      <c r="J42" s="208"/>
      <c r="K42" s="208"/>
      <c r="L42" s="208"/>
      <c r="M42" s="369"/>
      <c r="N42" s="371"/>
      <c r="O42" s="372"/>
      <c r="P42" s="371"/>
      <c r="Q42" s="371"/>
      <c r="R42" s="371"/>
      <c r="S42" s="261"/>
      <c r="T42" s="149"/>
      <c r="U42" s="7"/>
      <c r="Y42" s="286"/>
      <c r="Z42" s="188"/>
      <c r="AA42" s="286"/>
      <c r="AD42" s="152"/>
    </row>
    <row r="43" spans="1:30" x14ac:dyDescent="0.3">
      <c r="A43" s="212" t="s">
        <v>531</v>
      </c>
      <c r="B43" s="213"/>
      <c r="C43" s="213"/>
      <c r="D43" s="213"/>
      <c r="E43" s="213"/>
      <c r="F43" s="214"/>
      <c r="G43" s="213"/>
      <c r="H43" s="213"/>
      <c r="I43" s="213">
        <f>I38+I37+I36+I35</f>
        <v>9</v>
      </c>
      <c r="J43" s="213"/>
      <c r="K43" s="213"/>
      <c r="L43" s="213"/>
      <c r="M43" s="213">
        <f>SUM(I43:L43)</f>
        <v>9</v>
      </c>
      <c r="N43" s="215"/>
      <c r="O43" s="216"/>
      <c r="P43" s="215"/>
      <c r="Q43" s="481">
        <f>SUM(Q35:Q42)</f>
        <v>41602</v>
      </c>
      <c r="R43" s="481"/>
      <c r="S43" s="218">
        <f>SUM(S35:S41)</f>
        <v>1</v>
      </c>
      <c r="T43" s="292">
        <f>SUM(T35:T42)</f>
        <v>83204</v>
      </c>
      <c r="U43" s="294">
        <f t="shared" ref="U43:AA43" si="5">SUM(U35:U41)</f>
        <v>53004</v>
      </c>
      <c r="V43" s="294">
        <f t="shared" si="5"/>
        <v>15000</v>
      </c>
      <c r="W43" s="294">
        <f t="shared" si="5"/>
        <v>0</v>
      </c>
      <c r="X43" s="294">
        <f t="shared" si="5"/>
        <v>0</v>
      </c>
      <c r="Y43" s="294">
        <f t="shared" si="5"/>
        <v>15200</v>
      </c>
      <c r="Z43" s="482">
        <f t="shared" si="5"/>
        <v>30000</v>
      </c>
      <c r="AA43" s="483">
        <f t="shared" si="5"/>
        <v>38004</v>
      </c>
      <c r="AB43" s="294">
        <f>SUM(AB35:AB42)</f>
        <v>21504</v>
      </c>
      <c r="AC43" s="294">
        <f>SUM(AC34:AC40)</f>
        <v>46500</v>
      </c>
      <c r="AD43" s="295">
        <f>SUM(AD34:AD40)</f>
        <v>0</v>
      </c>
    </row>
    <row r="44" spans="1:30" x14ac:dyDescent="0.3">
      <c r="A44" s="228" t="s">
        <v>532</v>
      </c>
      <c r="B44" s="229"/>
      <c r="C44" s="229"/>
      <c r="D44" s="229"/>
      <c r="E44" s="229"/>
      <c r="F44" s="230"/>
      <c r="G44" s="229"/>
      <c r="H44" s="229"/>
      <c r="I44" s="229">
        <f>I38+I37+I36+I35</f>
        <v>9</v>
      </c>
      <c r="J44" s="229">
        <f>I38+I37+I36+I35</f>
        <v>9</v>
      </c>
      <c r="K44" s="229">
        <f>I38+I37+I36+I35</f>
        <v>9</v>
      </c>
      <c r="L44" s="229">
        <f>I38+I37+I36+I35</f>
        <v>9</v>
      </c>
      <c r="M44" s="229">
        <f>SUM(I44:L44)</f>
        <v>36</v>
      </c>
      <c r="N44" s="231"/>
      <c r="O44" s="232"/>
      <c r="P44" s="231"/>
      <c r="Q44" s="231"/>
      <c r="R44" s="231"/>
      <c r="S44" s="233"/>
      <c r="T44" s="234"/>
      <c r="U44" s="484">
        <f>U43/T43</f>
        <v>0.6370366809288015</v>
      </c>
      <c r="V44" s="236">
        <f>V43/T43</f>
        <v>0.18027979424066151</v>
      </c>
      <c r="W44" s="236">
        <f>W43/T43</f>
        <v>0</v>
      </c>
      <c r="X44" s="236">
        <f>X43/T43</f>
        <v>0</v>
      </c>
      <c r="Y44" s="236">
        <f>Y43/T43</f>
        <v>0.18268352483053699</v>
      </c>
      <c r="Z44" s="272">
        <f>Z43/T43</f>
        <v>0.36055958848132302</v>
      </c>
      <c r="AA44" s="485">
        <f>AA43/T43</f>
        <v>0.45675688668814002</v>
      </c>
      <c r="AB44" s="486"/>
      <c r="AC44" s="487"/>
      <c r="AD44" s="242"/>
    </row>
    <row r="45" spans="1:30" x14ac:dyDescent="0.3">
      <c r="A45" s="243" t="s">
        <v>533</v>
      </c>
      <c r="B45" s="193"/>
      <c r="C45" s="193"/>
      <c r="D45" s="193"/>
      <c r="E45" s="193"/>
      <c r="F45" s="244"/>
      <c r="G45" s="193"/>
      <c r="H45" s="193"/>
      <c r="I45" s="245"/>
      <c r="J45" s="245"/>
      <c r="K45" s="245"/>
      <c r="L45" s="245"/>
      <c r="M45" s="193"/>
      <c r="N45" s="246"/>
      <c r="O45" s="196"/>
      <c r="P45" s="246"/>
      <c r="Q45" s="194">
        <f>U43/2</f>
        <v>26502</v>
      </c>
      <c r="R45" s="288"/>
      <c r="S45" s="247">
        <f>Q45/Q50</f>
        <v>0.6370366809288015</v>
      </c>
      <c r="Y45" s="248">
        <f>SUM(U35:Y42)</f>
        <v>83204</v>
      </c>
      <c r="Z45" s="357">
        <f>I36+I37</f>
        <v>4</v>
      </c>
      <c r="AA45" s="358">
        <f>I35+I38</f>
        <v>5</v>
      </c>
    </row>
    <row r="46" spans="1:30" x14ac:dyDescent="0.3">
      <c r="A46" s="251" t="s">
        <v>11</v>
      </c>
      <c r="B46" s="252"/>
      <c r="C46" s="252"/>
      <c r="D46" s="252"/>
      <c r="E46" s="252"/>
      <c r="F46" s="253"/>
      <c r="G46" s="252"/>
      <c r="H46" s="252"/>
      <c r="I46" s="254"/>
      <c r="J46" s="254"/>
      <c r="K46" s="254"/>
      <c r="L46" s="254"/>
      <c r="M46" s="252"/>
      <c r="N46" s="255"/>
      <c r="O46" s="256"/>
      <c r="P46" s="255"/>
      <c r="Q46" s="257">
        <f>V43/2</f>
        <v>7500</v>
      </c>
      <c r="R46" s="290"/>
      <c r="S46" s="256">
        <f>Q46/Q50</f>
        <v>0.18027979424066151</v>
      </c>
      <c r="T46" s="488">
        <f>Q43/M43</f>
        <v>4622.4444444444443</v>
      </c>
      <c r="U46" s="489" t="s">
        <v>535</v>
      </c>
      <c r="Z46" s="195">
        <f>Z45/M43</f>
        <v>0.44444444444444442</v>
      </c>
      <c r="AA46" s="247">
        <f>AA45/M43</f>
        <v>0.55555555555555558</v>
      </c>
    </row>
    <row r="47" spans="1:30" x14ac:dyDescent="0.3">
      <c r="A47" s="251" t="s">
        <v>536</v>
      </c>
      <c r="B47" s="252"/>
      <c r="C47" s="252"/>
      <c r="D47" s="252"/>
      <c r="E47" s="252"/>
      <c r="F47" s="253"/>
      <c r="G47" s="252"/>
      <c r="H47" s="252"/>
      <c r="I47" s="254"/>
      <c r="J47" s="254"/>
      <c r="K47" s="254"/>
      <c r="L47" s="254"/>
      <c r="M47" s="252"/>
      <c r="N47" s="255"/>
      <c r="O47" s="256"/>
      <c r="P47" s="255"/>
      <c r="Q47" s="257">
        <f>W43/2</f>
        <v>0</v>
      </c>
      <c r="R47" s="290"/>
      <c r="S47" s="262">
        <f>Q47/Q50</f>
        <v>0</v>
      </c>
      <c r="V47" s="263"/>
      <c r="X47" s="99"/>
      <c r="Z47" s="2265" t="s">
        <v>537</v>
      </c>
      <c r="AA47" s="2265"/>
    </row>
    <row r="48" spans="1:30" x14ac:dyDescent="0.3">
      <c r="A48" s="251" t="s">
        <v>529</v>
      </c>
      <c r="B48" s="252"/>
      <c r="C48" s="252"/>
      <c r="D48" s="252"/>
      <c r="E48" s="252"/>
      <c r="F48" s="253"/>
      <c r="G48" s="252"/>
      <c r="H48" s="252"/>
      <c r="I48" s="254"/>
      <c r="J48" s="254"/>
      <c r="K48" s="254"/>
      <c r="L48" s="254"/>
      <c r="M48" s="252"/>
      <c r="N48" s="255"/>
      <c r="O48" s="256"/>
      <c r="P48" s="255"/>
      <c r="Q48" s="257">
        <f>Y43/2</f>
        <v>7600</v>
      </c>
      <c r="R48" s="290"/>
      <c r="S48" s="262">
        <f>Q48/Q50</f>
        <v>0.18268352483053699</v>
      </c>
      <c r="V48" s="263"/>
    </row>
    <row r="49" spans="1:30" x14ac:dyDescent="0.3">
      <c r="A49" s="251" t="s">
        <v>528</v>
      </c>
      <c r="B49" s="252"/>
      <c r="C49" s="252"/>
      <c r="D49" s="252"/>
      <c r="E49" s="252"/>
      <c r="F49" s="253"/>
      <c r="G49" s="252"/>
      <c r="H49" s="252"/>
      <c r="I49" s="254"/>
      <c r="J49" s="254"/>
      <c r="K49" s="254"/>
      <c r="L49" s="254"/>
      <c r="M49" s="252"/>
      <c r="N49" s="255"/>
      <c r="O49" s="256"/>
      <c r="P49" s="255"/>
      <c r="Q49" s="257">
        <f>X43/2</f>
        <v>0</v>
      </c>
      <c r="R49" s="290"/>
      <c r="S49" s="262">
        <f>Q49/Q50</f>
        <v>0</v>
      </c>
    </row>
    <row r="50" spans="1:30" x14ac:dyDescent="0.3">
      <c r="A50" s="251"/>
      <c r="B50" s="252"/>
      <c r="C50" s="252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55"/>
      <c r="Q50" s="264">
        <f>SUM(Q45:Q49)</f>
        <v>41602</v>
      </c>
      <c r="R50" s="490"/>
      <c r="S50" s="262">
        <f>SUM(S45:S49)</f>
        <v>1</v>
      </c>
    </row>
    <row r="52" spans="1:30" ht="18" x14ac:dyDescent="0.35">
      <c r="A52" s="118" t="s">
        <v>538</v>
      </c>
      <c r="S52" s="98"/>
    </row>
    <row r="54" spans="1:30" x14ac:dyDescent="0.3">
      <c r="A54" s="2335" t="s">
        <v>480</v>
      </c>
      <c r="B54" s="2336"/>
      <c r="C54" s="2336"/>
      <c r="D54" s="2336"/>
      <c r="E54" s="2336"/>
      <c r="F54" s="2336"/>
      <c r="G54" s="2336"/>
      <c r="H54" s="2336"/>
      <c r="I54" s="2336"/>
      <c r="J54" s="2336"/>
      <c r="K54" s="2336"/>
      <c r="L54" s="2336"/>
      <c r="M54" s="2336"/>
      <c r="N54" s="2336"/>
      <c r="O54" s="2336"/>
      <c r="P54" s="2336"/>
      <c r="Q54" s="2336"/>
      <c r="R54" s="2336"/>
      <c r="S54" s="2337"/>
      <c r="T54" s="2338" t="s">
        <v>584</v>
      </c>
      <c r="U54" s="2339"/>
      <c r="V54" s="2339"/>
      <c r="W54" s="2339"/>
      <c r="X54" s="2339"/>
      <c r="Y54" s="2339"/>
      <c r="Z54" s="2339"/>
      <c r="AA54" s="2339"/>
      <c r="AB54" s="2339"/>
      <c r="AC54" s="2339"/>
      <c r="AD54" s="2340"/>
    </row>
    <row r="55" spans="1:30" ht="15.6" x14ac:dyDescent="0.3">
      <c r="A55" s="2284" t="s">
        <v>482</v>
      </c>
      <c r="B55" s="2286" t="s">
        <v>483</v>
      </c>
      <c r="C55" s="2286" t="s">
        <v>484</v>
      </c>
      <c r="D55" s="2286" t="s">
        <v>485</v>
      </c>
      <c r="E55" s="2286" t="s">
        <v>486</v>
      </c>
      <c r="F55" s="2288" t="s">
        <v>487</v>
      </c>
      <c r="G55" s="2286" t="s">
        <v>488</v>
      </c>
      <c r="H55" s="2286" t="s">
        <v>489</v>
      </c>
      <c r="I55" s="2266" t="s">
        <v>490</v>
      </c>
      <c r="J55" s="2266"/>
      <c r="K55" s="2266"/>
      <c r="L55" s="2266"/>
      <c r="M55" s="265" t="s">
        <v>491</v>
      </c>
      <c r="N55" s="266" t="s">
        <v>492</v>
      </c>
      <c r="O55" s="267" t="s">
        <v>493</v>
      </c>
      <c r="P55" s="266" t="s">
        <v>492</v>
      </c>
      <c r="Q55" s="266" t="s">
        <v>494</v>
      </c>
      <c r="R55" s="491" t="s">
        <v>585</v>
      </c>
      <c r="S55" s="2267" t="s">
        <v>495</v>
      </c>
      <c r="T55" s="492" t="s">
        <v>496</v>
      </c>
      <c r="U55" s="2364" t="s">
        <v>497</v>
      </c>
      <c r="V55" s="2365"/>
      <c r="W55" s="2365"/>
      <c r="X55" s="2365"/>
      <c r="Y55" s="2366"/>
      <c r="Z55" s="2361" t="s">
        <v>498</v>
      </c>
      <c r="AA55" s="2363"/>
      <c r="AB55" s="2361" t="s">
        <v>499</v>
      </c>
      <c r="AC55" s="2362"/>
      <c r="AD55" s="2363"/>
    </row>
    <row r="56" spans="1:30" ht="15.6" x14ac:dyDescent="0.3">
      <c r="A56" s="2285"/>
      <c r="B56" s="2287"/>
      <c r="C56" s="2287"/>
      <c r="D56" s="2287"/>
      <c r="E56" s="2287"/>
      <c r="F56" s="2289"/>
      <c r="G56" s="2287"/>
      <c r="H56" s="2287"/>
      <c r="I56" s="269" t="s">
        <v>500</v>
      </c>
      <c r="J56" s="269" t="s">
        <v>501</v>
      </c>
      <c r="K56" s="269" t="s">
        <v>502</v>
      </c>
      <c r="L56" s="269" t="s">
        <v>503</v>
      </c>
      <c r="M56" s="270" t="s">
        <v>504</v>
      </c>
      <c r="N56" s="271" t="s">
        <v>505</v>
      </c>
      <c r="O56" s="272" t="s">
        <v>506</v>
      </c>
      <c r="P56" s="271" t="s">
        <v>507</v>
      </c>
      <c r="Q56" s="271" t="s">
        <v>507</v>
      </c>
      <c r="R56" s="271"/>
      <c r="S56" s="2268"/>
      <c r="T56" s="493" t="s">
        <v>508</v>
      </c>
      <c r="U56" s="2298"/>
      <c r="V56" s="2299"/>
      <c r="W56" s="2299"/>
      <c r="X56" s="2299"/>
      <c r="Y56" s="2300"/>
      <c r="Z56" s="2303"/>
      <c r="AA56" s="2304"/>
      <c r="AB56" s="2303"/>
      <c r="AC56" s="2307"/>
      <c r="AD56" s="2304"/>
    </row>
    <row r="57" spans="1:30" ht="18" x14ac:dyDescent="0.35">
      <c r="A57" s="2359" t="s">
        <v>540</v>
      </c>
      <c r="B57" s="2360"/>
      <c r="C57" s="2360"/>
      <c r="D57" s="2360"/>
      <c r="E57" s="2360"/>
      <c r="F57" s="2360"/>
      <c r="G57" s="2360"/>
      <c r="H57" s="2360"/>
      <c r="I57" s="2360"/>
      <c r="J57" s="2360"/>
      <c r="K57" s="2360"/>
      <c r="L57" s="2360"/>
      <c r="M57" s="2360"/>
      <c r="N57" s="2360"/>
      <c r="O57" s="2360"/>
      <c r="P57" s="2360"/>
      <c r="Q57" s="2360"/>
      <c r="R57" s="2360"/>
      <c r="S57" s="2360"/>
      <c r="T57" s="494"/>
      <c r="U57" s="495" t="s">
        <v>510</v>
      </c>
      <c r="V57" s="496" t="s">
        <v>11</v>
      </c>
      <c r="W57" s="496" t="s">
        <v>511</v>
      </c>
      <c r="X57" s="496" t="s">
        <v>512</v>
      </c>
      <c r="Y57" s="497" t="s">
        <v>513</v>
      </c>
      <c r="Z57" s="498" t="s">
        <v>514</v>
      </c>
      <c r="AA57" s="497" t="s">
        <v>515</v>
      </c>
      <c r="AB57" s="458" t="s">
        <v>44</v>
      </c>
      <c r="AC57" s="499" t="s">
        <v>45</v>
      </c>
      <c r="AD57" s="500" t="s">
        <v>5</v>
      </c>
    </row>
    <row r="58" spans="1:30" x14ac:dyDescent="0.3">
      <c r="A58" s="154"/>
      <c r="B58" s="462"/>
      <c r="C58" s="462"/>
      <c r="D58" s="462"/>
      <c r="E58" s="462"/>
      <c r="F58" s="463"/>
      <c r="G58" s="462"/>
      <c r="H58" s="462"/>
      <c r="I58" s="465"/>
      <c r="J58" s="465"/>
      <c r="K58" s="465"/>
      <c r="L58" s="465"/>
      <c r="M58" s="462"/>
      <c r="N58" s="468"/>
      <c r="O58" s="469"/>
      <c r="P58" s="468"/>
      <c r="Q58" s="468"/>
      <c r="R58" s="470"/>
      <c r="S58" s="501"/>
      <c r="T58" s="166"/>
      <c r="U58" s="502"/>
      <c r="Y58" s="286"/>
      <c r="Z58" s="188"/>
      <c r="AA58" s="286"/>
      <c r="AD58" s="152"/>
    </row>
    <row r="59" spans="1:30" x14ac:dyDescent="0.3">
      <c r="A59" s="157" t="s">
        <v>586</v>
      </c>
      <c r="B59" s="157" t="s">
        <v>46</v>
      </c>
      <c r="C59" s="157" t="s">
        <v>517</v>
      </c>
      <c r="D59" s="157" t="s">
        <v>26</v>
      </c>
      <c r="E59" s="157" t="s">
        <v>520</v>
      </c>
      <c r="F59" s="158" t="s">
        <v>590</v>
      </c>
      <c r="G59" s="157">
        <v>2</v>
      </c>
      <c r="H59" s="157" t="s">
        <v>24</v>
      </c>
      <c r="I59" s="159">
        <v>2</v>
      </c>
      <c r="J59" s="161"/>
      <c r="K59" s="161"/>
      <c r="L59" s="2209"/>
      <c r="M59" s="163">
        <v>1</v>
      </c>
      <c r="N59" s="166">
        <v>4480</v>
      </c>
      <c r="O59" s="165">
        <v>0.2</v>
      </c>
      <c r="P59" s="166">
        <f>N59*(1-O59)</f>
        <v>3584</v>
      </c>
      <c r="Q59" s="166">
        <f t="shared" ref="Q59:Q64" si="6">P59*M59*G59</f>
        <v>7168</v>
      </c>
      <c r="R59" s="206" t="e">
        <f>(Q59+Q60+#REF!+#REF!)/E35*1000</f>
        <v>#REF!</v>
      </c>
      <c r="S59" s="167">
        <f t="shared" ref="S59:S64" si="7">Q59/$Q$70</f>
        <v>0.17012792822728029</v>
      </c>
      <c r="T59" s="503">
        <f t="shared" ref="T59:T64" si="8">Q59</f>
        <v>7168</v>
      </c>
      <c r="U59" s="502">
        <f t="shared" ref="U59:U60" si="9">T59</f>
        <v>7168</v>
      </c>
      <c r="V59" s="169"/>
      <c r="W59" s="169"/>
      <c r="X59" s="169"/>
      <c r="Y59" s="395"/>
      <c r="Z59" s="394"/>
      <c r="AA59" s="395">
        <f>T59</f>
        <v>7168</v>
      </c>
      <c r="AB59" s="169">
        <f>T59</f>
        <v>7168</v>
      </c>
      <c r="AD59" s="152"/>
    </row>
    <row r="60" spans="1:30" x14ac:dyDescent="0.3">
      <c r="A60" s="157" t="s">
        <v>586</v>
      </c>
      <c r="B60" s="157" t="s">
        <v>47</v>
      </c>
      <c r="C60" s="157" t="s">
        <v>517</v>
      </c>
      <c r="D60" s="157" t="s">
        <v>21</v>
      </c>
      <c r="E60" s="157" t="s">
        <v>518</v>
      </c>
      <c r="F60" s="158" t="s">
        <v>588</v>
      </c>
      <c r="G60" s="157">
        <v>2</v>
      </c>
      <c r="H60" s="157" t="s">
        <v>24</v>
      </c>
      <c r="I60" s="159">
        <v>2</v>
      </c>
      <c r="J60" s="161"/>
      <c r="K60" s="161"/>
      <c r="L60" s="2209"/>
      <c r="M60" s="163">
        <v>1</v>
      </c>
      <c r="N60" s="166">
        <v>5000</v>
      </c>
      <c r="O60" s="173">
        <v>0.25</v>
      </c>
      <c r="P60" s="166">
        <f>N60*(1-O60)</f>
        <v>3750</v>
      </c>
      <c r="Q60" s="166">
        <f t="shared" si="6"/>
        <v>7500</v>
      </c>
      <c r="R60" s="206" t="e">
        <f>(Q60+Q61+#REF!+#REF!)/E36*1000</f>
        <v>#REF!</v>
      </c>
      <c r="S60" s="504">
        <f t="shared" si="7"/>
        <v>0.17800773740298578</v>
      </c>
      <c r="T60" s="503">
        <f t="shared" si="8"/>
        <v>7500</v>
      </c>
      <c r="U60" s="502">
        <f t="shared" si="9"/>
        <v>7500</v>
      </c>
      <c r="V60" s="169"/>
      <c r="Y60" s="286"/>
      <c r="Z60" s="394">
        <f>T60</f>
        <v>7500</v>
      </c>
      <c r="AA60" s="395"/>
      <c r="AC60" s="169">
        <f>T60</f>
        <v>7500</v>
      </c>
      <c r="AD60" s="152"/>
    </row>
    <row r="61" spans="1:30" x14ac:dyDescent="0.3">
      <c r="A61" s="157" t="s">
        <v>586</v>
      </c>
      <c r="B61" s="157" t="s">
        <v>47</v>
      </c>
      <c r="C61" s="157" t="s">
        <v>517</v>
      </c>
      <c r="D61" s="157" t="s">
        <v>48</v>
      </c>
      <c r="E61" s="157" t="s">
        <v>518</v>
      </c>
      <c r="F61" s="158" t="s">
        <v>589</v>
      </c>
      <c r="G61" s="157">
        <v>2</v>
      </c>
      <c r="H61" s="157" t="s">
        <v>24</v>
      </c>
      <c r="I61" s="175">
        <v>2</v>
      </c>
      <c r="J61" s="176"/>
      <c r="K61" s="176"/>
      <c r="L61" s="177"/>
      <c r="M61" s="163">
        <v>1</v>
      </c>
      <c r="N61" s="166">
        <v>5000</v>
      </c>
      <c r="O61" s="173">
        <v>0.25</v>
      </c>
      <c r="P61" s="166">
        <f t="shared" ref="P61:P64" si="10">N61*(1-O61)</f>
        <v>3750</v>
      </c>
      <c r="Q61" s="166">
        <f t="shared" si="6"/>
        <v>7500</v>
      </c>
      <c r="R61" s="206"/>
      <c r="S61" s="504">
        <f t="shared" si="7"/>
        <v>0.17800773740298578</v>
      </c>
      <c r="T61" s="503">
        <f t="shared" si="8"/>
        <v>7500</v>
      </c>
      <c r="U61" s="502"/>
      <c r="V61" s="169">
        <f>T61</f>
        <v>7500</v>
      </c>
      <c r="Y61" s="286"/>
      <c r="Z61" s="394">
        <f>T61</f>
        <v>7500</v>
      </c>
      <c r="AA61" s="395"/>
      <c r="AC61" s="169">
        <f>T61</f>
        <v>7500</v>
      </c>
      <c r="AD61" s="152"/>
    </row>
    <row r="62" spans="1:30" x14ac:dyDescent="0.3">
      <c r="A62" s="157" t="s">
        <v>586</v>
      </c>
      <c r="B62" s="157" t="s">
        <v>47</v>
      </c>
      <c r="C62" s="157" t="s">
        <v>517</v>
      </c>
      <c r="D62" s="157" t="s">
        <v>26</v>
      </c>
      <c r="E62" s="157" t="s">
        <v>520</v>
      </c>
      <c r="F62" s="158" t="s">
        <v>589</v>
      </c>
      <c r="G62" s="157">
        <v>1</v>
      </c>
      <c r="H62" s="157" t="s">
        <v>24</v>
      </c>
      <c r="I62" s="159">
        <v>1</v>
      </c>
      <c r="J62" s="161"/>
      <c r="K62" s="161"/>
      <c r="L62" s="2209"/>
      <c r="M62" s="163">
        <v>1</v>
      </c>
      <c r="N62" s="473">
        <v>5500</v>
      </c>
      <c r="O62" s="165">
        <v>0.25</v>
      </c>
      <c r="P62" s="166">
        <f t="shared" si="10"/>
        <v>4125</v>
      </c>
      <c r="Q62" s="166">
        <f t="shared" si="6"/>
        <v>4125</v>
      </c>
      <c r="R62" s="206"/>
      <c r="S62" s="167">
        <f t="shared" si="7"/>
        <v>9.7904255571642188E-2</v>
      </c>
      <c r="T62" s="503">
        <f t="shared" si="8"/>
        <v>4125</v>
      </c>
      <c r="U62" s="502">
        <f>T62</f>
        <v>4125</v>
      </c>
      <c r="Y62" s="286"/>
      <c r="Z62" s="394"/>
      <c r="AA62" s="395">
        <f>T62</f>
        <v>4125</v>
      </c>
      <c r="AC62" s="169">
        <f>T62</f>
        <v>4125</v>
      </c>
      <c r="AD62" s="152"/>
    </row>
    <row r="63" spans="1:30" x14ac:dyDescent="0.3">
      <c r="A63" s="157" t="s">
        <v>586</v>
      </c>
      <c r="B63" s="157" t="s">
        <v>41</v>
      </c>
      <c r="C63" s="157" t="s">
        <v>525</v>
      </c>
      <c r="D63" s="157" t="s">
        <v>49</v>
      </c>
      <c r="E63" s="157" t="s">
        <v>520</v>
      </c>
      <c r="F63" s="505" t="s">
        <v>591</v>
      </c>
      <c r="G63" s="157">
        <v>8</v>
      </c>
      <c r="H63" s="157" t="s">
        <v>24</v>
      </c>
      <c r="I63" s="159">
        <v>8</v>
      </c>
      <c r="J63" s="161"/>
      <c r="K63" s="161"/>
      <c r="L63" s="2209"/>
      <c r="M63" s="163">
        <v>1</v>
      </c>
      <c r="N63" s="473">
        <v>1600</v>
      </c>
      <c r="O63" s="165">
        <v>0.7</v>
      </c>
      <c r="P63" s="476">
        <f t="shared" si="10"/>
        <v>480.00000000000006</v>
      </c>
      <c r="Q63" s="473">
        <f t="shared" si="6"/>
        <v>3840.0000000000005</v>
      </c>
      <c r="R63" s="9"/>
      <c r="S63" s="506">
        <f t="shared" si="7"/>
        <v>9.1139961550328732E-2</v>
      </c>
      <c r="T63" s="164">
        <f t="shared" si="8"/>
        <v>3840.0000000000005</v>
      </c>
      <c r="U63" s="507"/>
      <c r="W63" s="169">
        <f>T63</f>
        <v>3840.0000000000005</v>
      </c>
      <c r="Y63" s="286"/>
      <c r="Z63" s="394"/>
      <c r="AA63" s="395"/>
      <c r="AD63" s="171">
        <f>T63</f>
        <v>3840.0000000000005</v>
      </c>
    </row>
    <row r="64" spans="1:30" x14ac:dyDescent="0.3">
      <c r="A64" s="157" t="s">
        <v>586</v>
      </c>
      <c r="B64" s="157" t="s">
        <v>47</v>
      </c>
      <c r="C64" s="157" t="s">
        <v>592</v>
      </c>
      <c r="D64" s="157" t="s">
        <v>50</v>
      </c>
      <c r="E64" s="157" t="s">
        <v>520</v>
      </c>
      <c r="F64" s="158" t="s">
        <v>523</v>
      </c>
      <c r="G64" s="157">
        <v>4</v>
      </c>
      <c r="H64" s="157" t="s">
        <v>24</v>
      </c>
      <c r="I64" s="159">
        <v>4</v>
      </c>
      <c r="J64" s="161"/>
      <c r="K64" s="161"/>
      <c r="L64" s="2209"/>
      <c r="M64" s="163">
        <v>1</v>
      </c>
      <c r="N64" s="473">
        <v>2000</v>
      </c>
      <c r="O64" s="165">
        <v>0.45</v>
      </c>
      <c r="P64" s="476">
        <f t="shared" si="10"/>
        <v>1100</v>
      </c>
      <c r="Q64" s="473">
        <f t="shared" si="6"/>
        <v>4400</v>
      </c>
      <c r="R64" s="9"/>
      <c r="S64" s="506">
        <f t="shared" si="7"/>
        <v>0.104431205943085</v>
      </c>
      <c r="T64" s="164">
        <f t="shared" si="8"/>
        <v>4400</v>
      </c>
      <c r="U64" s="507"/>
      <c r="W64" s="169">
        <f>T64</f>
        <v>4400</v>
      </c>
      <c r="Y64" s="286"/>
      <c r="Z64" s="394"/>
      <c r="AA64" s="395"/>
      <c r="AC64" s="169">
        <f>T64</f>
        <v>4400</v>
      </c>
      <c r="AD64" s="152"/>
    </row>
    <row r="65" spans="1:30" x14ac:dyDescent="0.3">
      <c r="A65" s="157"/>
      <c r="B65" s="157"/>
      <c r="C65" s="157"/>
      <c r="D65" s="157"/>
      <c r="E65" s="157"/>
      <c r="F65" s="158"/>
      <c r="G65" s="157"/>
      <c r="H65" s="157"/>
      <c r="I65" s="474"/>
      <c r="J65" s="1"/>
      <c r="K65" s="1"/>
      <c r="L65" s="163"/>
      <c r="M65" s="163"/>
      <c r="N65" s="473"/>
      <c r="O65" s="165"/>
      <c r="P65" s="476"/>
      <c r="Q65" s="473"/>
      <c r="R65" s="9"/>
      <c r="S65" s="506"/>
      <c r="T65" s="164"/>
      <c r="U65" s="507"/>
      <c r="Y65" s="286"/>
      <c r="Z65" s="394"/>
      <c r="AA65" s="395"/>
      <c r="AD65" s="152"/>
    </row>
    <row r="66" spans="1:30" x14ac:dyDescent="0.3">
      <c r="A66" s="157"/>
      <c r="B66" s="157"/>
      <c r="C66" s="157"/>
      <c r="D66" s="157"/>
      <c r="E66" s="157"/>
      <c r="F66" s="158"/>
      <c r="G66" s="157"/>
      <c r="H66" s="157"/>
      <c r="I66" s="474"/>
      <c r="J66" s="1"/>
      <c r="K66" s="1"/>
      <c r="L66" s="163"/>
      <c r="M66" s="163"/>
      <c r="N66" s="473"/>
      <c r="O66" s="165"/>
      <c r="P66" s="476"/>
      <c r="Q66" s="473"/>
      <c r="R66" s="9"/>
      <c r="S66" s="506"/>
      <c r="T66" s="164"/>
      <c r="U66" s="507"/>
      <c r="Y66" s="286"/>
      <c r="Z66" s="394"/>
      <c r="AA66" s="395"/>
      <c r="AD66" s="152"/>
    </row>
    <row r="67" spans="1:30" x14ac:dyDescent="0.3">
      <c r="A67" s="190" t="s">
        <v>586</v>
      </c>
      <c r="B67" s="190" t="s">
        <v>528</v>
      </c>
      <c r="C67" s="190"/>
      <c r="D67" s="190"/>
      <c r="E67" s="190"/>
      <c r="F67" s="191"/>
      <c r="G67" s="190"/>
      <c r="H67" s="190"/>
      <c r="I67" s="192"/>
      <c r="J67" s="193"/>
      <c r="K67" s="193"/>
      <c r="L67" s="193"/>
      <c r="M67" s="190"/>
      <c r="N67" s="194"/>
      <c r="O67" s="195"/>
      <c r="P67" s="186"/>
      <c r="Q67" s="166"/>
      <c r="R67" s="288"/>
      <c r="S67" s="247"/>
      <c r="T67" s="503">
        <f t="shared" ref="T67" si="11">Q67*2</f>
        <v>0</v>
      </c>
      <c r="U67" s="502"/>
      <c r="X67" s="169">
        <f>T67</f>
        <v>0</v>
      </c>
      <c r="Y67" s="286"/>
      <c r="Z67" s="188"/>
      <c r="AA67" s="395"/>
      <c r="AD67" s="152"/>
    </row>
    <row r="68" spans="1:30" x14ac:dyDescent="0.3">
      <c r="A68" s="108" t="s">
        <v>586</v>
      </c>
      <c r="B68" s="108" t="s">
        <v>529</v>
      </c>
      <c r="C68" s="108"/>
      <c r="D68" s="108" t="s">
        <v>530</v>
      </c>
      <c r="E68" s="108"/>
      <c r="F68" s="479"/>
      <c r="G68" s="108"/>
      <c r="H68" s="108"/>
      <c r="I68" s="254"/>
      <c r="J68" s="254"/>
      <c r="K68" s="254"/>
      <c r="L68" s="254"/>
      <c r="M68" s="108"/>
      <c r="N68" s="257"/>
      <c r="O68" s="109"/>
      <c r="P68" s="290"/>
      <c r="Q68" s="257">
        <v>7600</v>
      </c>
      <c r="R68" s="480"/>
      <c r="S68" s="291">
        <f>Q68/Q70</f>
        <v>0.18038117390169225</v>
      </c>
      <c r="T68" s="503">
        <f>Q68</f>
        <v>7600</v>
      </c>
      <c r="U68" s="502"/>
      <c r="Y68" s="395">
        <f>T68</f>
        <v>7600</v>
      </c>
      <c r="Z68" s="188"/>
      <c r="AA68" s="286"/>
      <c r="AD68" s="152"/>
    </row>
    <row r="69" spans="1:30" x14ac:dyDescent="0.3">
      <c r="T69" s="166"/>
      <c r="U69" s="502"/>
      <c r="Y69" s="286"/>
      <c r="Z69" s="188"/>
      <c r="AA69" s="286"/>
      <c r="AD69" s="152"/>
    </row>
    <row r="70" spans="1:30" x14ac:dyDescent="0.3">
      <c r="A70" s="212" t="s">
        <v>531</v>
      </c>
      <c r="B70" s="213"/>
      <c r="C70" s="213"/>
      <c r="D70" s="213"/>
      <c r="E70" s="213"/>
      <c r="F70" s="214"/>
      <c r="G70" s="213"/>
      <c r="H70" s="213"/>
      <c r="I70" s="213">
        <f>I62+I61+I60+I59+I63+I64</f>
        <v>19</v>
      </c>
      <c r="J70" s="213"/>
      <c r="K70" s="213"/>
      <c r="L70" s="213"/>
      <c r="M70" s="213">
        <f>SUM(I70:L70)</f>
        <v>19</v>
      </c>
      <c r="N70" s="215"/>
      <c r="O70" s="216"/>
      <c r="P70" s="215"/>
      <c r="Q70" s="481">
        <f>SUM(Q59:Q69)</f>
        <v>42133</v>
      </c>
      <c r="R70" s="481"/>
      <c r="S70" s="218">
        <f>SUM(S59:S68)</f>
        <v>1</v>
      </c>
      <c r="T70" s="508">
        <f>SUM(T59:T69)</f>
        <v>42133</v>
      </c>
      <c r="U70" s="509">
        <f t="shared" ref="U70:AA70" si="12">SUM(U59:U68)</f>
        <v>18793</v>
      </c>
      <c r="V70" s="294">
        <f t="shared" si="12"/>
        <v>7500</v>
      </c>
      <c r="W70" s="294">
        <f t="shared" si="12"/>
        <v>8240</v>
      </c>
      <c r="X70" s="294">
        <f t="shared" si="12"/>
        <v>0</v>
      </c>
      <c r="Y70" s="294">
        <f t="shared" si="12"/>
        <v>7600</v>
      </c>
      <c r="Z70" s="482">
        <f t="shared" si="12"/>
        <v>15000</v>
      </c>
      <c r="AA70" s="483">
        <f t="shared" si="12"/>
        <v>11293</v>
      </c>
      <c r="AB70" s="294">
        <f>SUM(AB59:AB69)</f>
        <v>7168</v>
      </c>
      <c r="AC70" s="294">
        <f>SUM(AC59:AC69)</f>
        <v>23525</v>
      </c>
      <c r="AD70" s="295">
        <f>SUM(AD59:AD69)</f>
        <v>3840.0000000000005</v>
      </c>
    </row>
    <row r="71" spans="1:30" x14ac:dyDescent="0.3">
      <c r="A71" s="228" t="s">
        <v>532</v>
      </c>
      <c r="B71" s="229"/>
      <c r="C71" s="229"/>
      <c r="D71" s="229"/>
      <c r="E71" s="229"/>
      <c r="F71" s="230"/>
      <c r="G71" s="229"/>
      <c r="H71" s="229"/>
      <c r="I71" s="229">
        <f>I62+I61+I60+I59+I63+I64</f>
        <v>19</v>
      </c>
      <c r="J71" s="229">
        <f>I62+I61+I60+I59+I63+I64</f>
        <v>19</v>
      </c>
      <c r="K71" s="229">
        <f>I62+I61+I60+I59+I63+I64</f>
        <v>19</v>
      </c>
      <c r="L71" s="229">
        <f>I62+I61+I60+I59+I63+I64</f>
        <v>19</v>
      </c>
      <c r="M71" s="229">
        <f>SUM(I71:L71)</f>
        <v>76</v>
      </c>
      <c r="N71" s="231"/>
      <c r="O71" s="232"/>
      <c r="P71" s="231"/>
      <c r="Q71" s="231"/>
      <c r="R71" s="231"/>
      <c r="S71" s="233"/>
      <c r="T71" s="510"/>
      <c r="U71" s="511">
        <f>U70/T70</f>
        <v>0.44603992120190822</v>
      </c>
      <c r="V71" s="236">
        <f>V70/T70</f>
        <v>0.17800773740298578</v>
      </c>
      <c r="W71" s="236">
        <f>W70/T70</f>
        <v>0.19557116749341372</v>
      </c>
      <c r="X71" s="236">
        <f>X70/T70</f>
        <v>0</v>
      </c>
      <c r="Y71" s="236">
        <f>Y70/T70</f>
        <v>0.18038117390169225</v>
      </c>
      <c r="Z71" s="272">
        <f>Z70/T70</f>
        <v>0.35601547480597157</v>
      </c>
      <c r="AA71" s="485">
        <f>AA70/T70</f>
        <v>0.26803218379892246</v>
      </c>
      <c r="AB71" s="486"/>
      <c r="AC71" s="487"/>
      <c r="AD71" s="242"/>
    </row>
    <row r="72" spans="1:30" x14ac:dyDescent="0.3">
      <c r="A72" s="243" t="s">
        <v>533</v>
      </c>
      <c r="B72" s="193"/>
      <c r="C72" s="193"/>
      <c r="D72" s="193"/>
      <c r="E72" s="193"/>
      <c r="F72" s="244"/>
      <c r="G72" s="193"/>
      <c r="H72" s="193"/>
      <c r="I72" s="245"/>
      <c r="J72" s="245"/>
      <c r="K72" s="245"/>
      <c r="L72" s="245"/>
      <c r="M72" s="193"/>
      <c r="N72" s="246"/>
      <c r="O72" s="196"/>
      <c r="P72" s="246"/>
      <c r="Q72" s="194">
        <f>U70/2</f>
        <v>9396.5</v>
      </c>
      <c r="R72" s="288"/>
      <c r="S72" s="247">
        <f>Q72/Q77</f>
        <v>0.44603992120190822</v>
      </c>
      <c r="Y72" s="248">
        <f>SUM(U59:Y69)</f>
        <v>42133</v>
      </c>
      <c r="Z72" s="357">
        <f>I60+I61+I63+I64</f>
        <v>16</v>
      </c>
      <c r="AA72" s="358">
        <f>I59+I62</f>
        <v>3</v>
      </c>
    </row>
    <row r="73" spans="1:30" x14ac:dyDescent="0.3">
      <c r="A73" s="251" t="s">
        <v>11</v>
      </c>
      <c r="B73" s="252"/>
      <c r="C73" s="252"/>
      <c r="D73" s="252"/>
      <c r="E73" s="252"/>
      <c r="F73" s="253"/>
      <c r="G73" s="252"/>
      <c r="H73" s="252"/>
      <c r="I73" s="254"/>
      <c r="J73" s="254"/>
      <c r="K73" s="254"/>
      <c r="L73" s="254"/>
      <c r="M73" s="252"/>
      <c r="N73" s="255"/>
      <c r="O73" s="256"/>
      <c r="P73" s="255"/>
      <c r="Q73" s="257">
        <f>V70/2</f>
        <v>3750</v>
      </c>
      <c r="R73" s="290"/>
      <c r="S73" s="256">
        <f>Q73/Q77</f>
        <v>0.17800773740298578</v>
      </c>
      <c r="T73" s="488">
        <f>Q70/M70</f>
        <v>2217.5263157894738</v>
      </c>
      <c r="U73" s="489" t="s">
        <v>535</v>
      </c>
      <c r="Z73" s="195">
        <f>Z72/M70</f>
        <v>0.84210526315789469</v>
      </c>
      <c r="AA73" s="247">
        <f>AA72/M70</f>
        <v>0.15789473684210525</v>
      </c>
    </row>
    <row r="74" spans="1:30" x14ac:dyDescent="0.3">
      <c r="A74" s="251" t="s">
        <v>536</v>
      </c>
      <c r="B74" s="252"/>
      <c r="C74" s="252"/>
      <c r="D74" s="252"/>
      <c r="E74" s="252"/>
      <c r="F74" s="253"/>
      <c r="G74" s="252"/>
      <c r="H74" s="252"/>
      <c r="I74" s="254"/>
      <c r="J74" s="254"/>
      <c r="K74" s="254"/>
      <c r="L74" s="254"/>
      <c r="M74" s="252"/>
      <c r="N74" s="255"/>
      <c r="O74" s="256"/>
      <c r="P74" s="255"/>
      <c r="Q74" s="257">
        <f>W70/2</f>
        <v>4120</v>
      </c>
      <c r="R74" s="290"/>
      <c r="S74" s="262">
        <f>Q74/Q77</f>
        <v>0.19557116749341372</v>
      </c>
      <c r="V74" s="263"/>
      <c r="X74" s="99"/>
      <c r="Z74" s="2265" t="s">
        <v>537</v>
      </c>
      <c r="AA74" s="2265"/>
    </row>
    <row r="75" spans="1:30" x14ac:dyDescent="0.3">
      <c r="A75" s="251" t="s">
        <v>529</v>
      </c>
      <c r="B75" s="252"/>
      <c r="C75" s="252"/>
      <c r="D75" s="252"/>
      <c r="E75" s="252"/>
      <c r="F75" s="253"/>
      <c r="G75" s="252"/>
      <c r="H75" s="252"/>
      <c r="I75" s="254"/>
      <c r="J75" s="254"/>
      <c r="K75" s="254"/>
      <c r="L75" s="254"/>
      <c r="M75" s="252"/>
      <c r="N75" s="255"/>
      <c r="O75" s="256"/>
      <c r="P75" s="255"/>
      <c r="Q75" s="257">
        <f>Y70/2</f>
        <v>3800</v>
      </c>
      <c r="R75" s="290"/>
      <c r="S75" s="262">
        <f>Q75/Q77</f>
        <v>0.18038117390169225</v>
      </c>
      <c r="V75" s="263"/>
    </row>
    <row r="76" spans="1:30" x14ac:dyDescent="0.3">
      <c r="A76" s="251" t="s">
        <v>528</v>
      </c>
      <c r="B76" s="252"/>
      <c r="C76" s="252"/>
      <c r="D76" s="252"/>
      <c r="E76" s="252"/>
      <c r="F76" s="253"/>
      <c r="G76" s="252"/>
      <c r="H76" s="252"/>
      <c r="I76" s="254"/>
      <c r="J76" s="254"/>
      <c r="K76" s="254"/>
      <c r="L76" s="254"/>
      <c r="M76" s="252"/>
      <c r="N76" s="255"/>
      <c r="O76" s="256"/>
      <c r="P76" s="255"/>
      <c r="Q76" s="257">
        <f>X70/2</f>
        <v>0</v>
      </c>
      <c r="R76" s="290"/>
      <c r="S76" s="262">
        <f>Q76/Q77</f>
        <v>0</v>
      </c>
    </row>
    <row r="77" spans="1:30" x14ac:dyDescent="0.3">
      <c r="A77" s="251"/>
      <c r="B77" s="252"/>
      <c r="C77" s="252"/>
      <c r="D77" s="252"/>
      <c r="E77" s="252"/>
      <c r="F77" s="253"/>
      <c r="G77" s="252"/>
      <c r="H77" s="252"/>
      <c r="I77" s="254"/>
      <c r="J77" s="254"/>
      <c r="K77" s="254"/>
      <c r="L77" s="254"/>
      <c r="M77" s="252"/>
      <c r="N77" s="255"/>
      <c r="O77" s="256"/>
      <c r="P77" s="255"/>
      <c r="Q77" s="264">
        <f>SUM(Q72:Q76)</f>
        <v>21066.5</v>
      </c>
      <c r="R77" s="490"/>
      <c r="S77" s="262">
        <f>SUM(S72:S76)</f>
        <v>1</v>
      </c>
    </row>
    <row r="78" spans="1:30" x14ac:dyDescent="0.3">
      <c r="B78" s="2"/>
    </row>
    <row r="79" spans="1:30" x14ac:dyDescent="0.3">
      <c r="B79" s="2"/>
      <c r="E79" s="1" t="s">
        <v>543</v>
      </c>
      <c r="F79" s="2" t="s">
        <v>593</v>
      </c>
      <c r="G79" s="1" t="s">
        <v>545</v>
      </c>
      <c r="H79" s="1"/>
      <c r="I79" s="2305">
        <v>0.42</v>
      </c>
      <c r="J79" s="98"/>
      <c r="K79" s="98"/>
    </row>
    <row r="80" spans="1:30" x14ac:dyDescent="0.3">
      <c r="B80" s="2"/>
      <c r="E80" s="1" t="s">
        <v>473</v>
      </c>
      <c r="F80" s="2" t="s">
        <v>51</v>
      </c>
      <c r="G80" s="1" t="s">
        <v>473</v>
      </c>
      <c r="H80" s="1"/>
      <c r="I80" s="1">
        <v>28</v>
      </c>
      <c r="J80" s="1"/>
      <c r="K80" s="1"/>
    </row>
    <row r="81" spans="1:30" x14ac:dyDescent="0.3">
      <c r="B81" s="2"/>
      <c r="E81" s="1" t="s">
        <v>475</v>
      </c>
      <c r="F81" s="2" t="s">
        <v>594</v>
      </c>
      <c r="G81" s="1" t="s">
        <v>475</v>
      </c>
      <c r="H81" s="1"/>
      <c r="I81" s="95">
        <v>412</v>
      </c>
      <c r="J81" s="95"/>
      <c r="K81" s="95"/>
    </row>
    <row r="82" spans="1:30" x14ac:dyDescent="0.3">
      <c r="B82" s="2"/>
      <c r="E82" s="1" t="s">
        <v>477</v>
      </c>
      <c r="F82" s="2" t="s">
        <v>595</v>
      </c>
      <c r="G82" s="1" t="s">
        <v>477</v>
      </c>
      <c r="H82" s="1"/>
      <c r="I82" s="95">
        <v>1894560</v>
      </c>
      <c r="J82" s="95"/>
      <c r="K82" s="95"/>
    </row>
    <row r="83" spans="1:30" x14ac:dyDescent="0.3">
      <c r="B83" s="2"/>
    </row>
    <row r="84" spans="1:30" ht="18" x14ac:dyDescent="0.35">
      <c r="A84" s="118" t="s">
        <v>596</v>
      </c>
      <c r="S84" s="98"/>
    </row>
    <row r="86" spans="1:30" x14ac:dyDescent="0.3">
      <c r="A86" s="2335" t="s">
        <v>480</v>
      </c>
      <c r="B86" s="2336"/>
      <c r="C86" s="2336"/>
      <c r="D86" s="2336"/>
      <c r="E86" s="2336"/>
      <c r="F86" s="2336"/>
      <c r="G86" s="2336"/>
      <c r="H86" s="2336"/>
      <c r="I86" s="2336"/>
      <c r="J86" s="2336"/>
      <c r="K86" s="2336"/>
      <c r="L86" s="2336"/>
      <c r="M86" s="2336"/>
      <c r="N86" s="2336"/>
      <c r="O86" s="2336"/>
      <c r="P86" s="2336"/>
      <c r="Q86" s="2336"/>
      <c r="R86" s="2336"/>
      <c r="S86" s="2337"/>
      <c r="T86" s="2338" t="s">
        <v>584</v>
      </c>
      <c r="U86" s="2339"/>
      <c r="V86" s="2339"/>
      <c r="W86" s="2339"/>
      <c r="X86" s="2339"/>
      <c r="Y86" s="2339"/>
      <c r="Z86" s="2339"/>
      <c r="AA86" s="2339"/>
      <c r="AB86" s="2339"/>
      <c r="AC86" s="2339"/>
      <c r="AD86" s="2340"/>
    </row>
    <row r="87" spans="1:30" ht="15.6" x14ac:dyDescent="0.3">
      <c r="A87" s="2256" t="s">
        <v>482</v>
      </c>
      <c r="B87" s="2258" t="s">
        <v>483</v>
      </c>
      <c r="C87" s="2258" t="s">
        <v>484</v>
      </c>
      <c r="D87" s="2258" t="s">
        <v>485</v>
      </c>
      <c r="E87" s="2258" t="s">
        <v>486</v>
      </c>
      <c r="F87" s="2260" t="s">
        <v>487</v>
      </c>
      <c r="G87" s="2258" t="s">
        <v>488</v>
      </c>
      <c r="H87" s="2258" t="s">
        <v>489</v>
      </c>
      <c r="I87" s="2240" t="s">
        <v>490</v>
      </c>
      <c r="J87" s="2240"/>
      <c r="K87" s="2240"/>
      <c r="L87" s="2240"/>
      <c r="M87" s="305" t="s">
        <v>491</v>
      </c>
      <c r="N87" s="306" t="s">
        <v>492</v>
      </c>
      <c r="O87" s="307" t="s">
        <v>493</v>
      </c>
      <c r="P87" s="306" t="s">
        <v>492</v>
      </c>
      <c r="Q87" s="306" t="s">
        <v>494</v>
      </c>
      <c r="R87" s="512" t="s">
        <v>585</v>
      </c>
      <c r="S87" s="2343" t="s">
        <v>495</v>
      </c>
      <c r="T87" s="513" t="s">
        <v>496</v>
      </c>
      <c r="U87" s="2345" t="s">
        <v>497</v>
      </c>
      <c r="V87" s="2346"/>
      <c r="W87" s="2346"/>
      <c r="X87" s="2346"/>
      <c r="Y87" s="2347"/>
      <c r="Z87" s="2351" t="s">
        <v>498</v>
      </c>
      <c r="AA87" s="2352"/>
      <c r="AB87" s="2351" t="s">
        <v>499</v>
      </c>
      <c r="AC87" s="2355"/>
      <c r="AD87" s="2352"/>
    </row>
    <row r="88" spans="1:30" ht="15.6" x14ac:dyDescent="0.3">
      <c r="A88" s="2257"/>
      <c r="B88" s="2259"/>
      <c r="C88" s="2259"/>
      <c r="D88" s="2259"/>
      <c r="E88" s="2259"/>
      <c r="F88" s="2261"/>
      <c r="G88" s="2259"/>
      <c r="H88" s="2259"/>
      <c r="I88" s="310" t="s">
        <v>500</v>
      </c>
      <c r="J88" s="310" t="s">
        <v>501</v>
      </c>
      <c r="K88" s="310" t="s">
        <v>502</v>
      </c>
      <c r="L88" s="310" t="s">
        <v>503</v>
      </c>
      <c r="M88" s="311" t="s">
        <v>504</v>
      </c>
      <c r="N88" s="312" t="s">
        <v>505</v>
      </c>
      <c r="O88" s="313" t="s">
        <v>506</v>
      </c>
      <c r="P88" s="312" t="s">
        <v>507</v>
      </c>
      <c r="Q88" s="312" t="s">
        <v>507</v>
      </c>
      <c r="R88" s="514"/>
      <c r="S88" s="2344"/>
      <c r="T88" s="515" t="s">
        <v>508</v>
      </c>
      <c r="U88" s="2348"/>
      <c r="V88" s="2349"/>
      <c r="W88" s="2349"/>
      <c r="X88" s="2349"/>
      <c r="Y88" s="2350"/>
      <c r="Z88" s="2353"/>
      <c r="AA88" s="2354"/>
      <c r="AB88" s="2353"/>
      <c r="AC88" s="2356"/>
      <c r="AD88" s="2354"/>
    </row>
    <row r="89" spans="1:30" ht="18" x14ac:dyDescent="0.35">
      <c r="A89" s="2359" t="s">
        <v>550</v>
      </c>
      <c r="B89" s="2360"/>
      <c r="C89" s="2360"/>
      <c r="D89" s="2360"/>
      <c r="E89" s="2360"/>
      <c r="F89" s="2360"/>
      <c r="G89" s="2360"/>
      <c r="H89" s="2360"/>
      <c r="I89" s="2360"/>
      <c r="J89" s="2360"/>
      <c r="K89" s="2360"/>
      <c r="L89" s="2360"/>
      <c r="M89" s="2360"/>
      <c r="N89" s="2360"/>
      <c r="O89" s="2360"/>
      <c r="P89" s="2360"/>
      <c r="Q89" s="2360"/>
      <c r="R89" s="2360"/>
      <c r="S89" s="2360"/>
      <c r="T89" s="494"/>
      <c r="U89" s="495" t="s">
        <v>510</v>
      </c>
      <c r="V89" s="496" t="s">
        <v>11</v>
      </c>
      <c r="W89" s="496" t="s">
        <v>511</v>
      </c>
      <c r="X89" s="496" t="s">
        <v>512</v>
      </c>
      <c r="Y89" s="497" t="s">
        <v>513</v>
      </c>
      <c r="Z89" s="498" t="s">
        <v>514</v>
      </c>
      <c r="AA89" s="497" t="s">
        <v>515</v>
      </c>
      <c r="AB89" s="458" t="s">
        <v>44</v>
      </c>
      <c r="AC89" s="499" t="s">
        <v>45</v>
      </c>
      <c r="AD89" s="500" t="s">
        <v>5</v>
      </c>
    </row>
    <row r="90" spans="1:30" x14ac:dyDescent="0.3">
      <c r="A90" s="154"/>
      <c r="B90" s="462"/>
      <c r="C90" s="462"/>
      <c r="D90" s="462"/>
      <c r="E90" s="462"/>
      <c r="F90" s="463"/>
      <c r="G90" s="462"/>
      <c r="H90" s="462"/>
      <c r="I90" s="464"/>
      <c r="J90" s="465"/>
      <c r="K90" s="465"/>
      <c r="L90" s="466"/>
      <c r="M90" s="467"/>
      <c r="N90" s="468"/>
      <c r="O90" s="469"/>
      <c r="P90" s="468"/>
      <c r="Q90" s="468"/>
      <c r="R90" s="470"/>
      <c r="S90" s="501"/>
      <c r="T90" s="166"/>
      <c r="U90" s="502"/>
      <c r="Y90" s="286"/>
      <c r="Z90" s="188"/>
      <c r="AA90" s="286"/>
      <c r="AD90" s="152"/>
    </row>
    <row r="91" spans="1:30" x14ac:dyDescent="0.3">
      <c r="A91" s="157" t="s">
        <v>586</v>
      </c>
      <c r="B91" s="157" t="s">
        <v>46</v>
      </c>
      <c r="C91" s="157" t="s">
        <v>517</v>
      </c>
      <c r="D91" s="157" t="s">
        <v>26</v>
      </c>
      <c r="E91" s="157" t="s">
        <v>520</v>
      </c>
      <c r="F91" s="158" t="s">
        <v>590</v>
      </c>
      <c r="G91" s="157">
        <v>2</v>
      </c>
      <c r="H91" s="157" t="s">
        <v>24</v>
      </c>
      <c r="I91" s="159">
        <v>2</v>
      </c>
      <c r="J91" s="161"/>
      <c r="K91" s="161"/>
      <c r="L91" s="2209"/>
      <c r="M91" s="163">
        <v>1</v>
      </c>
      <c r="N91" s="166">
        <v>4480</v>
      </c>
      <c r="O91" s="165">
        <v>0.2</v>
      </c>
      <c r="P91" s="166">
        <f>N91*(1-O91)</f>
        <v>3584</v>
      </c>
      <c r="Q91" s="166">
        <f t="shared" ref="Q91:Q94" si="13">P91*M91*G91</f>
        <v>7168</v>
      </c>
      <c r="R91" s="206" t="e">
        <f>(Q91+Q92+#REF!+#REF!)/E67*1000</f>
        <v>#REF!</v>
      </c>
      <c r="S91" s="167">
        <f>Q91/$Q$99</f>
        <v>0.22545843424653225</v>
      </c>
      <c r="T91" s="503">
        <f>Q91*4</f>
        <v>28672</v>
      </c>
      <c r="U91" s="502">
        <f t="shared" ref="U91:U92" si="14">T91</f>
        <v>28672</v>
      </c>
      <c r="V91" s="169"/>
      <c r="W91" s="169"/>
      <c r="X91" s="169"/>
      <c r="Y91" s="395"/>
      <c r="Z91" s="394"/>
      <c r="AA91" s="395">
        <f>T91</f>
        <v>28672</v>
      </c>
      <c r="AB91" s="169">
        <f>T91</f>
        <v>28672</v>
      </c>
      <c r="AD91" s="152"/>
    </row>
    <row r="92" spans="1:30" x14ac:dyDescent="0.3">
      <c r="A92" s="157" t="s">
        <v>586</v>
      </c>
      <c r="B92" s="157" t="s">
        <v>47</v>
      </c>
      <c r="C92" s="157" t="s">
        <v>517</v>
      </c>
      <c r="D92" s="157" t="s">
        <v>21</v>
      </c>
      <c r="E92" s="157" t="s">
        <v>518</v>
      </c>
      <c r="F92" s="158" t="s">
        <v>588</v>
      </c>
      <c r="G92" s="157">
        <v>2</v>
      </c>
      <c r="H92" s="157" t="s">
        <v>24</v>
      </c>
      <c r="I92" s="159">
        <v>2</v>
      </c>
      <c r="J92" s="161"/>
      <c r="K92" s="161"/>
      <c r="L92" s="2209"/>
      <c r="M92" s="163">
        <v>1</v>
      </c>
      <c r="N92" s="166">
        <v>5000</v>
      </c>
      <c r="O92" s="173">
        <v>0.25</v>
      </c>
      <c r="P92" s="166">
        <f>N92*(1-O92)</f>
        <v>3750</v>
      </c>
      <c r="Q92" s="166">
        <f t="shared" si="13"/>
        <v>7500</v>
      </c>
      <c r="R92" s="206" t="e">
        <f>(Q92+Q93+#REF!+#REF!)/E68*1000</f>
        <v>#REF!</v>
      </c>
      <c r="S92" s="504">
        <f>Q92/$Q$99</f>
        <v>0.23590098449344196</v>
      </c>
      <c r="T92" s="503">
        <f t="shared" ref="T92:T94" si="15">Q92*4</f>
        <v>30000</v>
      </c>
      <c r="U92" s="502">
        <f t="shared" si="14"/>
        <v>30000</v>
      </c>
      <c r="V92" s="169"/>
      <c r="Y92" s="286"/>
      <c r="Z92" s="394">
        <f>T92</f>
        <v>30000</v>
      </c>
      <c r="AA92" s="395"/>
      <c r="AC92" s="169">
        <f>T92</f>
        <v>30000</v>
      </c>
      <c r="AD92" s="152"/>
    </row>
    <row r="93" spans="1:30" x14ac:dyDescent="0.3">
      <c r="A93" s="157" t="s">
        <v>586</v>
      </c>
      <c r="B93" s="157" t="s">
        <v>47</v>
      </c>
      <c r="C93" s="157" t="s">
        <v>517</v>
      </c>
      <c r="D93" s="157" t="s">
        <v>48</v>
      </c>
      <c r="E93" s="157" t="s">
        <v>518</v>
      </c>
      <c r="F93" s="158" t="s">
        <v>589</v>
      </c>
      <c r="G93" s="157">
        <v>2</v>
      </c>
      <c r="H93" s="157" t="s">
        <v>24</v>
      </c>
      <c r="I93" s="159">
        <v>2</v>
      </c>
      <c r="J93" s="161"/>
      <c r="K93" s="161"/>
      <c r="L93" s="2209"/>
      <c r="M93" s="163">
        <v>1</v>
      </c>
      <c r="N93" s="166">
        <v>5000</v>
      </c>
      <c r="O93" s="173">
        <v>0.25</v>
      </c>
      <c r="P93" s="166">
        <f t="shared" ref="P93:P94" si="16">N93*(1-O93)</f>
        <v>3750</v>
      </c>
      <c r="Q93" s="166">
        <f t="shared" si="13"/>
        <v>7500</v>
      </c>
      <c r="R93" s="206"/>
      <c r="S93" s="504">
        <f>Q93/$Q$99</f>
        <v>0.23590098449344196</v>
      </c>
      <c r="T93" s="503">
        <f t="shared" si="15"/>
        <v>30000</v>
      </c>
      <c r="U93" s="502"/>
      <c r="V93" s="169">
        <f>T93</f>
        <v>30000</v>
      </c>
      <c r="Y93" s="286"/>
      <c r="Z93" s="394">
        <f>T93</f>
        <v>30000</v>
      </c>
      <c r="AA93" s="395"/>
      <c r="AC93" s="169">
        <f>T93</f>
        <v>30000</v>
      </c>
      <c r="AD93" s="152"/>
    </row>
    <row r="94" spans="1:30" x14ac:dyDescent="0.3">
      <c r="A94" s="157" t="s">
        <v>586</v>
      </c>
      <c r="B94" s="157" t="s">
        <v>47</v>
      </c>
      <c r="C94" s="157" t="s">
        <v>517</v>
      </c>
      <c r="D94" s="157" t="s">
        <v>26</v>
      </c>
      <c r="E94" s="157" t="s">
        <v>520</v>
      </c>
      <c r="F94" s="158" t="s">
        <v>589</v>
      </c>
      <c r="G94" s="157">
        <v>1</v>
      </c>
      <c r="H94" s="157" t="s">
        <v>24</v>
      </c>
      <c r="I94" s="159">
        <v>1</v>
      </c>
      <c r="J94" s="161"/>
      <c r="K94" s="161"/>
      <c r="L94" s="2209"/>
      <c r="M94" s="163">
        <v>1</v>
      </c>
      <c r="N94" s="473">
        <v>5500</v>
      </c>
      <c r="O94" s="165">
        <v>0.25</v>
      </c>
      <c r="P94" s="166">
        <f t="shared" si="16"/>
        <v>4125</v>
      </c>
      <c r="Q94" s="166">
        <f t="shared" si="13"/>
        <v>4125</v>
      </c>
      <c r="R94" s="206"/>
      <c r="S94" s="167">
        <f>Q94/$Q$99</f>
        <v>0.12974554147139308</v>
      </c>
      <c r="T94" s="503">
        <f t="shared" si="15"/>
        <v>16500</v>
      </c>
      <c r="U94" s="503">
        <f>T94</f>
        <v>16500</v>
      </c>
      <c r="Y94" s="286"/>
      <c r="Z94" s="394"/>
      <c r="AA94" s="395">
        <f>T94</f>
        <v>16500</v>
      </c>
      <c r="AC94" s="169">
        <f>T94</f>
        <v>16500</v>
      </c>
      <c r="AD94" s="152"/>
    </row>
    <row r="95" spans="1:30" x14ac:dyDescent="0.3">
      <c r="A95" s="157"/>
      <c r="B95" s="157"/>
      <c r="C95" s="157"/>
      <c r="D95" s="157"/>
      <c r="E95" s="157"/>
      <c r="F95" s="158"/>
      <c r="G95" s="157"/>
      <c r="H95" s="157"/>
      <c r="I95" s="474"/>
      <c r="J95" s="1"/>
      <c r="K95" s="1"/>
      <c r="L95" s="475"/>
      <c r="M95" s="163"/>
      <c r="N95" s="473"/>
      <c r="O95" s="165"/>
      <c r="P95" s="476"/>
      <c r="Q95" s="473"/>
      <c r="R95" s="9"/>
      <c r="S95" s="506"/>
      <c r="T95" s="164"/>
      <c r="U95" s="507"/>
      <c r="Y95" s="286"/>
      <c r="Z95" s="394"/>
      <c r="AA95" s="395"/>
      <c r="AD95" s="152"/>
    </row>
    <row r="96" spans="1:30" x14ac:dyDescent="0.3">
      <c r="A96" s="190" t="s">
        <v>586</v>
      </c>
      <c r="B96" s="190" t="s">
        <v>528</v>
      </c>
      <c r="C96" s="190"/>
      <c r="D96" s="190"/>
      <c r="E96" s="190"/>
      <c r="F96" s="191"/>
      <c r="G96" s="190"/>
      <c r="H96" s="190"/>
      <c r="I96" s="192"/>
      <c r="J96" s="193"/>
      <c r="K96" s="193"/>
      <c r="L96" s="193"/>
      <c r="M96" s="190"/>
      <c r="N96" s="194"/>
      <c r="O96" s="195"/>
      <c r="P96" s="186"/>
      <c r="Q96" s="166"/>
      <c r="R96" s="288"/>
      <c r="S96" s="247"/>
      <c r="T96" s="503">
        <f>Q96*4</f>
        <v>0</v>
      </c>
      <c r="U96" s="502"/>
      <c r="X96" s="169">
        <f>T96</f>
        <v>0</v>
      </c>
      <c r="Y96" s="286"/>
      <c r="Z96" s="188"/>
      <c r="AA96" s="395"/>
      <c r="AD96" s="152"/>
    </row>
    <row r="97" spans="1:30" x14ac:dyDescent="0.3">
      <c r="A97" s="108" t="s">
        <v>586</v>
      </c>
      <c r="B97" s="108" t="s">
        <v>529</v>
      </c>
      <c r="C97" s="108"/>
      <c r="D97" s="108" t="s">
        <v>530</v>
      </c>
      <c r="E97" s="108"/>
      <c r="F97" s="479"/>
      <c r="G97" s="108"/>
      <c r="H97" s="108"/>
      <c r="I97" s="254"/>
      <c r="J97" s="254"/>
      <c r="K97" s="254"/>
      <c r="L97" s="254"/>
      <c r="M97" s="108"/>
      <c r="N97" s="257"/>
      <c r="O97" s="109"/>
      <c r="P97" s="290"/>
      <c r="Q97" s="257">
        <v>5500</v>
      </c>
      <c r="R97" s="480"/>
      <c r="S97" s="291">
        <f>Q97/Q99</f>
        <v>0.17299405529519077</v>
      </c>
      <c r="T97" s="503">
        <f>Q97*4</f>
        <v>22000</v>
      </c>
      <c r="U97" s="502"/>
      <c r="Y97" s="395">
        <f>T97</f>
        <v>22000</v>
      </c>
      <c r="Z97" s="188"/>
      <c r="AA97" s="286"/>
      <c r="AD97" s="152"/>
    </row>
    <row r="98" spans="1:30" x14ac:dyDescent="0.3">
      <c r="T98" s="166"/>
      <c r="U98" s="502"/>
      <c r="Y98" s="286"/>
      <c r="Z98" s="188"/>
      <c r="AA98" s="286"/>
      <c r="AD98" s="152"/>
    </row>
    <row r="99" spans="1:30" x14ac:dyDescent="0.3">
      <c r="A99" s="326" t="s">
        <v>531</v>
      </c>
      <c r="B99" s="327"/>
      <c r="C99" s="327"/>
      <c r="D99" s="327"/>
      <c r="E99" s="327"/>
      <c r="F99" s="328"/>
      <c r="G99" s="327"/>
      <c r="H99" s="327"/>
      <c r="I99" s="327">
        <f>I94+I93+I92+I91</f>
        <v>7</v>
      </c>
      <c r="J99" s="327"/>
      <c r="K99" s="327"/>
      <c r="L99" s="327"/>
      <c r="M99" s="327">
        <f>SUM(I99:L99)</f>
        <v>7</v>
      </c>
      <c r="N99" s="329"/>
      <c r="O99" s="330"/>
      <c r="P99" s="329"/>
      <c r="Q99" s="331">
        <f>SUM(Q91:Q98)</f>
        <v>31793</v>
      </c>
      <c r="R99" s="331"/>
      <c r="S99" s="332">
        <f>SUM(S91:S97)</f>
        <v>1</v>
      </c>
      <c r="T99" s="516">
        <f>SUM(T88:T98)</f>
        <v>127172</v>
      </c>
      <c r="U99" s="517">
        <f t="shared" ref="U99:AA99" si="17">SUM(U88:U97)</f>
        <v>75172</v>
      </c>
      <c r="V99" s="335">
        <f t="shared" si="17"/>
        <v>30000</v>
      </c>
      <c r="W99" s="335">
        <f t="shared" si="17"/>
        <v>0</v>
      </c>
      <c r="X99" s="335">
        <f t="shared" si="17"/>
        <v>0</v>
      </c>
      <c r="Y99" s="335">
        <f t="shared" si="17"/>
        <v>22000</v>
      </c>
      <c r="Z99" s="518">
        <f t="shared" si="17"/>
        <v>60000</v>
      </c>
      <c r="AA99" s="519">
        <f t="shared" si="17"/>
        <v>45172</v>
      </c>
      <c r="AB99" s="335">
        <f>SUM(AB88:AB98)</f>
        <v>28672</v>
      </c>
      <c r="AC99" s="335">
        <f>SUM(AC88:AC98)</f>
        <v>76500</v>
      </c>
      <c r="AD99" s="337">
        <f>SUM(AD88:AD98)</f>
        <v>0</v>
      </c>
    </row>
    <row r="100" spans="1:30" x14ac:dyDescent="0.3">
      <c r="A100" s="342" t="s">
        <v>532</v>
      </c>
      <c r="B100" s="343"/>
      <c r="C100" s="343"/>
      <c r="D100" s="343"/>
      <c r="E100" s="343"/>
      <c r="F100" s="344"/>
      <c r="G100" s="343"/>
      <c r="H100" s="343"/>
      <c r="I100" s="343">
        <f>I94+I93+I92+I91</f>
        <v>7</v>
      </c>
      <c r="J100" s="343">
        <f>I94+I93+I92+I91</f>
        <v>7</v>
      </c>
      <c r="K100" s="343">
        <f>I94+I93+I92+I91</f>
        <v>7</v>
      </c>
      <c r="L100" s="343">
        <f>I94+I93+I92+I91</f>
        <v>7</v>
      </c>
      <c r="M100" s="343">
        <f>SUM(I100:L100)</f>
        <v>28</v>
      </c>
      <c r="N100" s="345"/>
      <c r="O100" s="346"/>
      <c r="P100" s="345"/>
      <c r="Q100" s="345"/>
      <c r="R100" s="345"/>
      <c r="S100" s="347"/>
      <c r="T100" s="520"/>
      <c r="U100" s="521">
        <f>U99/T99</f>
        <v>0.59110496021136727</v>
      </c>
      <c r="V100" s="350">
        <f>V99/T99</f>
        <v>0.23590098449344196</v>
      </c>
      <c r="W100" s="350">
        <f>W99/T99</f>
        <v>0</v>
      </c>
      <c r="X100" s="350">
        <f>X99/T99</f>
        <v>0</v>
      </c>
      <c r="Y100" s="350">
        <f>Y99/T99</f>
        <v>0.17299405529519077</v>
      </c>
      <c r="Z100" s="313">
        <f>Z99/T99</f>
        <v>0.47180196898688392</v>
      </c>
      <c r="AA100" s="522">
        <f>AA99/T99</f>
        <v>0.35520397571792534</v>
      </c>
      <c r="AB100" s="523"/>
      <c r="AC100" s="524"/>
      <c r="AD100" s="356"/>
    </row>
    <row r="101" spans="1:30" x14ac:dyDescent="0.3">
      <c r="A101" s="243" t="s">
        <v>533</v>
      </c>
      <c r="B101" s="193"/>
      <c r="C101" s="193"/>
      <c r="D101" s="193"/>
      <c r="E101" s="193"/>
      <c r="F101" s="244"/>
      <c r="G101" s="193"/>
      <c r="H101" s="193"/>
      <c r="I101" s="245"/>
      <c r="J101" s="245"/>
      <c r="K101" s="245"/>
      <c r="L101" s="245"/>
      <c r="M101" s="193"/>
      <c r="N101" s="246"/>
      <c r="O101" s="196"/>
      <c r="P101" s="246"/>
      <c r="Q101" s="194">
        <f>U99/4</f>
        <v>18793</v>
      </c>
      <c r="R101" s="288"/>
      <c r="S101" s="247">
        <f>Q101/Q106</f>
        <v>0.59110496021136727</v>
      </c>
      <c r="Y101" s="248">
        <f>SUM(U91:Y98)</f>
        <v>127172</v>
      </c>
      <c r="Z101" s="357">
        <f>I92+I93</f>
        <v>4</v>
      </c>
      <c r="AA101" s="358">
        <f>I91+I94</f>
        <v>3</v>
      </c>
    </row>
    <row r="102" spans="1:30" x14ac:dyDescent="0.3">
      <c r="A102" s="251" t="s">
        <v>11</v>
      </c>
      <c r="B102" s="252"/>
      <c r="C102" s="252"/>
      <c r="D102" s="252"/>
      <c r="E102" s="252"/>
      <c r="F102" s="253"/>
      <c r="G102" s="252"/>
      <c r="H102" s="252"/>
      <c r="I102" s="254"/>
      <c r="J102" s="254"/>
      <c r="K102" s="254"/>
      <c r="L102" s="254"/>
      <c r="M102" s="252"/>
      <c r="N102" s="255"/>
      <c r="O102" s="256"/>
      <c r="P102" s="255"/>
      <c r="Q102" s="257">
        <f>V99/4</f>
        <v>7500</v>
      </c>
      <c r="R102" s="290"/>
      <c r="S102" s="256">
        <f>Q102/Q106</f>
        <v>0.23590098449344196</v>
      </c>
      <c r="T102" s="525">
        <f>Q99/M99</f>
        <v>4541.8571428571431</v>
      </c>
      <c r="U102" s="526" t="s">
        <v>535</v>
      </c>
      <c r="Z102" s="195">
        <f>Z101/M99</f>
        <v>0.5714285714285714</v>
      </c>
      <c r="AA102" s="247">
        <f>AA101/M99</f>
        <v>0.42857142857142855</v>
      </c>
    </row>
    <row r="103" spans="1:30" x14ac:dyDescent="0.3">
      <c r="A103" s="251" t="s">
        <v>536</v>
      </c>
      <c r="B103" s="252"/>
      <c r="C103" s="252"/>
      <c r="D103" s="252"/>
      <c r="E103" s="252"/>
      <c r="F103" s="253"/>
      <c r="G103" s="252"/>
      <c r="H103" s="252"/>
      <c r="I103" s="254"/>
      <c r="J103" s="254"/>
      <c r="K103" s="254"/>
      <c r="L103" s="254"/>
      <c r="M103" s="252"/>
      <c r="N103" s="255"/>
      <c r="O103" s="256"/>
      <c r="P103" s="255"/>
      <c r="Q103" s="257">
        <f>W99/4</f>
        <v>0</v>
      </c>
      <c r="R103" s="290"/>
      <c r="S103" s="262">
        <f>Q103/Q106</f>
        <v>0</v>
      </c>
      <c r="V103" s="263"/>
      <c r="X103" s="99"/>
      <c r="Z103" s="2265" t="s">
        <v>537</v>
      </c>
      <c r="AA103" s="2265"/>
    </row>
    <row r="104" spans="1:30" x14ac:dyDescent="0.3">
      <c r="A104" s="251" t="s">
        <v>529</v>
      </c>
      <c r="B104" s="252"/>
      <c r="C104" s="252"/>
      <c r="D104" s="252"/>
      <c r="E104" s="252"/>
      <c r="F104" s="253"/>
      <c r="G104" s="252"/>
      <c r="H104" s="252"/>
      <c r="I104" s="254"/>
      <c r="J104" s="254"/>
      <c r="K104" s="254"/>
      <c r="L104" s="254"/>
      <c r="M104" s="252"/>
      <c r="N104" s="255"/>
      <c r="O104" s="256"/>
      <c r="P104" s="255"/>
      <c r="Q104" s="257">
        <f>Y99/4</f>
        <v>5500</v>
      </c>
      <c r="R104" s="290"/>
      <c r="S104" s="262">
        <f>Q104/Q106</f>
        <v>0.17299405529519077</v>
      </c>
      <c r="V104" s="263"/>
    </row>
    <row r="105" spans="1:30" x14ac:dyDescent="0.3">
      <c r="A105" s="251" t="s">
        <v>528</v>
      </c>
      <c r="B105" s="252"/>
      <c r="C105" s="252"/>
      <c r="D105" s="252"/>
      <c r="E105" s="252"/>
      <c r="F105" s="253"/>
      <c r="G105" s="252"/>
      <c r="H105" s="252"/>
      <c r="I105" s="254"/>
      <c r="J105" s="254"/>
      <c r="K105" s="254"/>
      <c r="L105" s="254"/>
      <c r="M105" s="252"/>
      <c r="N105" s="255"/>
      <c r="O105" s="256"/>
      <c r="P105" s="255"/>
      <c r="Q105" s="257">
        <f>X99/4</f>
        <v>0</v>
      </c>
      <c r="R105" s="290"/>
      <c r="S105" s="262">
        <f>Q105/Q106</f>
        <v>0</v>
      </c>
    </row>
    <row r="106" spans="1:30" x14ac:dyDescent="0.3">
      <c r="A106" s="251"/>
      <c r="B106" s="252"/>
      <c r="C106" s="252"/>
      <c r="D106" s="252"/>
      <c r="E106" s="252"/>
      <c r="F106" s="253"/>
      <c r="G106" s="252"/>
      <c r="H106" s="252"/>
      <c r="I106" s="254"/>
      <c r="J106" s="254"/>
      <c r="K106" s="254"/>
      <c r="L106" s="254"/>
      <c r="M106" s="252"/>
      <c r="N106" s="255"/>
      <c r="O106" s="256"/>
      <c r="P106" s="255"/>
      <c r="Q106" s="264">
        <f>SUM(Q101:Q105)</f>
        <v>31793</v>
      </c>
      <c r="R106" s="490"/>
      <c r="S106" s="262">
        <f>SUM(S101:S105)</f>
        <v>1</v>
      </c>
    </row>
    <row r="107" spans="1:30" x14ac:dyDescent="0.3">
      <c r="A107" s="465"/>
      <c r="B107" s="527"/>
      <c r="C107" s="527"/>
      <c r="D107" s="527"/>
      <c r="E107" s="527"/>
      <c r="F107" s="528"/>
      <c r="G107" s="527"/>
      <c r="H107" s="527"/>
      <c r="I107" s="465"/>
      <c r="J107" s="465"/>
      <c r="K107" s="465"/>
      <c r="L107" s="465"/>
      <c r="M107" s="527"/>
      <c r="N107" s="529"/>
      <c r="O107" s="530"/>
      <c r="P107" s="529"/>
      <c r="Q107" s="531"/>
      <c r="R107" s="531"/>
      <c r="S107" s="530"/>
      <c r="T107" s="5"/>
      <c r="U107" s="7"/>
    </row>
    <row r="108" spans="1:30" x14ac:dyDescent="0.3">
      <c r="A108" s="188"/>
      <c r="N108" s="5"/>
      <c r="O108" s="6"/>
      <c r="P108" s="5"/>
      <c r="Q108" s="7"/>
      <c r="R108" s="7"/>
      <c r="S108" s="8"/>
      <c r="T108" s="5"/>
    </row>
    <row r="109" spans="1:30" x14ac:dyDescent="0.3">
      <c r="A109" s="188"/>
      <c r="N109" s="5"/>
      <c r="O109" s="6"/>
      <c r="P109" s="5"/>
      <c r="Q109" s="7"/>
      <c r="R109" s="7"/>
      <c r="S109" s="8"/>
      <c r="T109" s="5"/>
    </row>
    <row r="110" spans="1:30" x14ac:dyDescent="0.3">
      <c r="A110" s="188"/>
      <c r="N110" s="5"/>
      <c r="O110" s="6"/>
      <c r="P110" s="5"/>
      <c r="Q110" s="7"/>
      <c r="R110" s="7"/>
      <c r="S110" s="8"/>
      <c r="T110" s="5"/>
    </row>
    <row r="111" spans="1:30" x14ac:dyDescent="0.3">
      <c r="A111" s="188"/>
      <c r="N111" s="5"/>
      <c r="O111" s="6"/>
      <c r="P111" s="5"/>
      <c r="Q111" s="7"/>
      <c r="R111" s="7"/>
      <c r="S111" s="8"/>
      <c r="T111" s="5"/>
    </row>
    <row r="112" spans="1:30" ht="18" x14ac:dyDescent="0.35">
      <c r="A112" s="118" t="s">
        <v>597</v>
      </c>
      <c r="N112" s="5"/>
      <c r="O112" s="6"/>
      <c r="P112" s="5"/>
      <c r="Q112" s="7"/>
      <c r="R112" s="7"/>
      <c r="S112" s="8"/>
      <c r="T112" s="5"/>
    </row>
    <row r="113" spans="1:30" x14ac:dyDescent="0.3">
      <c r="A113" s="188"/>
      <c r="N113" s="5"/>
      <c r="O113" s="6"/>
      <c r="P113" s="5"/>
      <c r="Q113" s="7"/>
      <c r="R113" s="7"/>
      <c r="S113" s="6"/>
      <c r="T113" s="5"/>
    </row>
    <row r="114" spans="1:30" x14ac:dyDescent="0.3">
      <c r="A114" s="2335" t="s">
        <v>480</v>
      </c>
      <c r="B114" s="2336"/>
      <c r="C114" s="2336"/>
      <c r="D114" s="2336"/>
      <c r="E114" s="2336"/>
      <c r="F114" s="2336"/>
      <c r="G114" s="2336"/>
      <c r="H114" s="2336"/>
      <c r="I114" s="2336"/>
      <c r="J114" s="2336"/>
      <c r="K114" s="2336"/>
      <c r="L114" s="2336"/>
      <c r="M114" s="2336"/>
      <c r="N114" s="2336"/>
      <c r="O114" s="2336"/>
      <c r="P114" s="2336"/>
      <c r="Q114" s="2336"/>
      <c r="R114" s="2336"/>
      <c r="S114" s="2337"/>
      <c r="T114" s="2338" t="s">
        <v>584</v>
      </c>
      <c r="U114" s="2339"/>
      <c r="V114" s="2339"/>
      <c r="W114" s="2339"/>
      <c r="X114" s="2339"/>
      <c r="Y114" s="2339"/>
      <c r="Z114" s="2339"/>
      <c r="AA114" s="2339"/>
      <c r="AB114" s="2339"/>
      <c r="AC114" s="2339"/>
      <c r="AD114" s="2340"/>
    </row>
    <row r="115" spans="1:30" ht="15.6" x14ac:dyDescent="0.3">
      <c r="A115" s="2256" t="s">
        <v>482</v>
      </c>
      <c r="B115" s="2258" t="s">
        <v>483</v>
      </c>
      <c r="C115" s="2258" t="s">
        <v>484</v>
      </c>
      <c r="D115" s="2258" t="s">
        <v>555</v>
      </c>
      <c r="E115" s="2258" t="s">
        <v>556</v>
      </c>
      <c r="F115" s="2260" t="s">
        <v>487</v>
      </c>
      <c r="G115" s="2258" t="s">
        <v>557</v>
      </c>
      <c r="H115" s="2258" t="s">
        <v>489</v>
      </c>
      <c r="I115" s="2240" t="s">
        <v>490</v>
      </c>
      <c r="J115" s="2240"/>
      <c r="K115" s="2240"/>
      <c r="L115" s="2240"/>
      <c r="M115" s="305" t="s">
        <v>491</v>
      </c>
      <c r="N115" s="306" t="s">
        <v>558</v>
      </c>
      <c r="O115" s="307" t="s">
        <v>493</v>
      </c>
      <c r="P115" s="306" t="s">
        <v>558</v>
      </c>
      <c r="Q115" s="306" t="s">
        <v>559</v>
      </c>
      <c r="R115" s="512" t="s">
        <v>585</v>
      </c>
      <c r="S115" s="2343" t="s">
        <v>495</v>
      </c>
      <c r="T115" s="513" t="s">
        <v>496</v>
      </c>
      <c r="U115" s="2345" t="s">
        <v>497</v>
      </c>
      <c r="V115" s="2346"/>
      <c r="W115" s="2346"/>
      <c r="X115" s="2346"/>
      <c r="Y115" s="2347"/>
      <c r="Z115" s="2351" t="s">
        <v>498</v>
      </c>
      <c r="AA115" s="2352"/>
      <c r="AB115" s="2351" t="s">
        <v>499</v>
      </c>
      <c r="AC115" s="2355"/>
      <c r="AD115" s="2352"/>
    </row>
    <row r="116" spans="1:30" ht="15.6" x14ac:dyDescent="0.3">
      <c r="A116" s="2257"/>
      <c r="B116" s="2259"/>
      <c r="C116" s="2259"/>
      <c r="D116" s="2259"/>
      <c r="E116" s="2259"/>
      <c r="F116" s="2261"/>
      <c r="G116" s="2259"/>
      <c r="H116" s="2259"/>
      <c r="I116" s="310" t="s">
        <v>500</v>
      </c>
      <c r="J116" s="310" t="s">
        <v>501</v>
      </c>
      <c r="K116" s="310" t="s">
        <v>502</v>
      </c>
      <c r="L116" s="310" t="s">
        <v>503</v>
      </c>
      <c r="M116" s="311" t="s">
        <v>504</v>
      </c>
      <c r="N116" s="312" t="s">
        <v>505</v>
      </c>
      <c r="O116" s="313" t="s">
        <v>506</v>
      </c>
      <c r="P116" s="312" t="s">
        <v>507</v>
      </c>
      <c r="Q116" s="312" t="s">
        <v>560</v>
      </c>
      <c r="R116" s="312"/>
      <c r="S116" s="2344"/>
      <c r="T116" s="515" t="s">
        <v>508</v>
      </c>
      <c r="U116" s="2348"/>
      <c r="V116" s="2349"/>
      <c r="W116" s="2349"/>
      <c r="X116" s="2349"/>
      <c r="Y116" s="2350"/>
      <c r="Z116" s="2353"/>
      <c r="AA116" s="2354"/>
      <c r="AB116" s="2353"/>
      <c r="AC116" s="2356"/>
      <c r="AD116" s="2354"/>
    </row>
    <row r="117" spans="1:30" ht="18" x14ac:dyDescent="0.3">
      <c r="A117" s="2357" t="s">
        <v>561</v>
      </c>
      <c r="B117" s="2358"/>
      <c r="C117" s="2358"/>
      <c r="D117" s="2358"/>
      <c r="E117" s="2358"/>
      <c r="F117" s="2358"/>
      <c r="G117" s="2358"/>
      <c r="H117" s="2358"/>
      <c r="I117" s="2358"/>
      <c r="J117" s="2358"/>
      <c r="K117" s="2358"/>
      <c r="L117" s="2358"/>
      <c r="M117" s="2358"/>
      <c r="N117" s="2358"/>
      <c r="O117" s="2358"/>
      <c r="P117" s="2358"/>
      <c r="Q117" s="2358"/>
      <c r="R117" s="2358"/>
      <c r="S117" s="2358"/>
      <c r="T117" s="494"/>
      <c r="U117" s="495" t="s">
        <v>510</v>
      </c>
      <c r="V117" s="496" t="s">
        <v>11</v>
      </c>
      <c r="W117" s="496" t="s">
        <v>511</v>
      </c>
      <c r="X117" s="496" t="s">
        <v>512</v>
      </c>
      <c r="Y117" s="497" t="s">
        <v>513</v>
      </c>
      <c r="Z117" s="498" t="s">
        <v>514</v>
      </c>
      <c r="AA117" s="497" t="s">
        <v>515</v>
      </c>
      <c r="AB117" s="458" t="s">
        <v>44</v>
      </c>
      <c r="AC117" s="499" t="s">
        <v>45</v>
      </c>
      <c r="AD117" s="500" t="s">
        <v>5</v>
      </c>
    </row>
    <row r="118" spans="1:30" x14ac:dyDescent="0.3">
      <c r="A118" s="154"/>
      <c r="B118" s="462"/>
      <c r="C118" s="462"/>
      <c r="D118" s="462"/>
      <c r="E118" s="462"/>
      <c r="F118" s="463"/>
      <c r="G118" s="462"/>
      <c r="H118" s="462"/>
      <c r="I118" s="465"/>
      <c r="J118" s="465"/>
      <c r="K118" s="465"/>
      <c r="L118" s="465"/>
      <c r="M118" s="462"/>
      <c r="N118" s="468"/>
      <c r="O118" s="469"/>
      <c r="P118" s="468"/>
      <c r="Q118" s="468"/>
      <c r="R118" s="470"/>
      <c r="S118" s="532"/>
      <c r="T118" s="166"/>
      <c r="U118" s="502"/>
      <c r="Y118" s="286"/>
      <c r="Z118" s="188"/>
      <c r="AA118" s="286"/>
      <c r="AD118" s="152"/>
    </row>
    <row r="119" spans="1:30" x14ac:dyDescent="0.3">
      <c r="A119" s="157" t="s">
        <v>586</v>
      </c>
      <c r="B119" s="157" t="s">
        <v>46</v>
      </c>
      <c r="C119" s="157" t="s">
        <v>517</v>
      </c>
      <c r="D119" s="157" t="s">
        <v>26</v>
      </c>
      <c r="E119" s="157" t="s">
        <v>520</v>
      </c>
      <c r="F119" s="158" t="s">
        <v>590</v>
      </c>
      <c r="G119" s="157">
        <v>1</v>
      </c>
      <c r="H119" s="157" t="s">
        <v>24</v>
      </c>
      <c r="I119" s="159">
        <v>1</v>
      </c>
      <c r="J119" s="161"/>
      <c r="K119" s="161"/>
      <c r="L119" s="2209"/>
      <c r="M119" s="163">
        <v>1</v>
      </c>
      <c r="N119" s="166">
        <v>4480</v>
      </c>
      <c r="O119" s="165">
        <v>0.2</v>
      </c>
      <c r="P119" s="166">
        <f>N119*(1-O119)</f>
        <v>3584</v>
      </c>
      <c r="Q119" s="166">
        <f t="shared" ref="Q119:Q124" si="18">P119*M119*G119</f>
        <v>3584</v>
      </c>
      <c r="R119" s="206" t="e">
        <f>(Q119+Q120+#REF!+#REF!)/E95*1000</f>
        <v>#REF!</v>
      </c>
      <c r="S119" s="167">
        <f>Q119/$Q$130</f>
        <v>0.10421937247375614</v>
      </c>
      <c r="T119" s="503">
        <f t="shared" ref="T119:T124" si="19">Q119</f>
        <v>3584</v>
      </c>
      <c r="U119" s="502">
        <f t="shared" ref="U119:U120" si="20">T119</f>
        <v>3584</v>
      </c>
      <c r="V119" s="169"/>
      <c r="W119" s="169"/>
      <c r="X119" s="169"/>
      <c r="Y119" s="395"/>
      <c r="Z119" s="394"/>
      <c r="AA119" s="395">
        <f>T119</f>
        <v>3584</v>
      </c>
      <c r="AB119" s="169">
        <f>T119</f>
        <v>3584</v>
      </c>
      <c r="AD119" s="152"/>
    </row>
    <row r="120" spans="1:30" x14ac:dyDescent="0.3">
      <c r="A120" s="157" t="s">
        <v>586</v>
      </c>
      <c r="B120" s="157" t="s">
        <v>47</v>
      </c>
      <c r="C120" s="157" t="s">
        <v>517</v>
      </c>
      <c r="D120" s="157" t="s">
        <v>21</v>
      </c>
      <c r="E120" s="157" t="s">
        <v>518</v>
      </c>
      <c r="F120" s="158" t="s">
        <v>588</v>
      </c>
      <c r="G120" s="157">
        <v>2</v>
      </c>
      <c r="H120" s="157" t="s">
        <v>24</v>
      </c>
      <c r="I120" s="159">
        <v>2</v>
      </c>
      <c r="J120" s="161"/>
      <c r="K120" s="161"/>
      <c r="L120" s="2209"/>
      <c r="M120" s="163">
        <v>1</v>
      </c>
      <c r="N120" s="166">
        <v>5000</v>
      </c>
      <c r="O120" s="173">
        <v>0.25</v>
      </c>
      <c r="P120" s="166">
        <f>N120*(1-O120)</f>
        <v>3750</v>
      </c>
      <c r="Q120" s="166">
        <f t="shared" si="18"/>
        <v>7500</v>
      </c>
      <c r="R120" s="206" t="e">
        <f>(Q120+Q121+#REF!+#REF!)/E96*1000</f>
        <v>#REF!</v>
      </c>
      <c r="S120" s="504">
        <f>Q120/$Q$130</f>
        <v>0.21809299485300532</v>
      </c>
      <c r="T120" s="503">
        <f t="shared" si="19"/>
        <v>7500</v>
      </c>
      <c r="U120" s="502">
        <f t="shared" si="20"/>
        <v>7500</v>
      </c>
      <c r="V120" s="169"/>
      <c r="Y120" s="286"/>
      <c r="Z120" s="394">
        <f>T120</f>
        <v>7500</v>
      </c>
      <c r="AA120" s="395"/>
      <c r="AC120" s="169">
        <f>T120</f>
        <v>7500</v>
      </c>
      <c r="AD120" s="152"/>
    </row>
    <row r="121" spans="1:30" x14ac:dyDescent="0.3">
      <c r="A121" s="157" t="s">
        <v>586</v>
      </c>
      <c r="B121" s="157" t="s">
        <v>47</v>
      </c>
      <c r="C121" s="157" t="s">
        <v>517</v>
      </c>
      <c r="D121" s="157" t="s">
        <v>48</v>
      </c>
      <c r="E121" s="157" t="s">
        <v>518</v>
      </c>
      <c r="F121" s="158" t="s">
        <v>589</v>
      </c>
      <c r="G121" s="157">
        <v>2</v>
      </c>
      <c r="H121" s="157" t="s">
        <v>24</v>
      </c>
      <c r="I121" s="175">
        <v>2</v>
      </c>
      <c r="J121" s="176"/>
      <c r="K121" s="176"/>
      <c r="L121" s="177"/>
      <c r="M121" s="163">
        <v>1</v>
      </c>
      <c r="N121" s="166">
        <v>5000</v>
      </c>
      <c r="O121" s="173">
        <v>0.25</v>
      </c>
      <c r="P121" s="166">
        <f t="shared" ref="P121:P124" si="21">N121*(1-O121)</f>
        <v>3750</v>
      </c>
      <c r="Q121" s="166">
        <f t="shared" si="18"/>
        <v>7500</v>
      </c>
      <c r="R121" s="206"/>
      <c r="S121" s="504">
        <f>Q121/$Q$130</f>
        <v>0.21809299485300532</v>
      </c>
      <c r="T121" s="503">
        <f t="shared" si="19"/>
        <v>7500</v>
      </c>
      <c r="U121" s="502"/>
      <c r="V121" s="169">
        <f>T121</f>
        <v>7500</v>
      </c>
      <c r="Y121" s="286"/>
      <c r="Z121" s="394">
        <f>T121</f>
        <v>7500</v>
      </c>
      <c r="AA121" s="395"/>
      <c r="AC121" s="169">
        <f>T121</f>
        <v>7500</v>
      </c>
      <c r="AD121" s="152"/>
    </row>
    <row r="122" spans="1:30" x14ac:dyDescent="0.3">
      <c r="A122" s="157" t="s">
        <v>586</v>
      </c>
      <c r="B122" s="157" t="s">
        <v>47</v>
      </c>
      <c r="C122" s="157" t="s">
        <v>517</v>
      </c>
      <c r="D122" s="157" t="s">
        <v>26</v>
      </c>
      <c r="E122" s="157" t="s">
        <v>520</v>
      </c>
      <c r="F122" s="158" t="s">
        <v>589</v>
      </c>
      <c r="G122" s="157">
        <v>1</v>
      </c>
      <c r="H122" s="157" t="s">
        <v>24</v>
      </c>
      <c r="I122" s="159">
        <v>1</v>
      </c>
      <c r="J122" s="161"/>
      <c r="K122" s="161"/>
      <c r="L122" s="2209"/>
      <c r="M122" s="163">
        <v>1</v>
      </c>
      <c r="N122" s="473">
        <v>5500</v>
      </c>
      <c r="O122" s="165">
        <v>0.25</v>
      </c>
      <c r="P122" s="166">
        <f t="shared" si="21"/>
        <v>4125</v>
      </c>
      <c r="Q122" s="166">
        <f t="shared" si="18"/>
        <v>4125</v>
      </c>
      <c r="R122" s="206"/>
      <c r="S122" s="167">
        <f>Q122/$Q$130</f>
        <v>0.11995114716915292</v>
      </c>
      <c r="T122" s="503">
        <f t="shared" si="19"/>
        <v>4125</v>
      </c>
      <c r="U122" s="503">
        <f>T122</f>
        <v>4125</v>
      </c>
      <c r="Y122" s="286"/>
      <c r="Z122" s="394"/>
      <c r="AA122" s="395">
        <f>T122</f>
        <v>4125</v>
      </c>
      <c r="AC122" s="169">
        <f>T122</f>
        <v>4125</v>
      </c>
      <c r="AD122" s="152"/>
    </row>
    <row r="123" spans="1:30" x14ac:dyDescent="0.3">
      <c r="A123" s="157" t="s">
        <v>586</v>
      </c>
      <c r="B123" s="157" t="s">
        <v>41</v>
      </c>
      <c r="C123" s="157" t="s">
        <v>525</v>
      </c>
      <c r="D123" s="157" t="s">
        <v>49</v>
      </c>
      <c r="E123" s="157" t="s">
        <v>520</v>
      </c>
      <c r="F123" s="505" t="s">
        <v>591</v>
      </c>
      <c r="G123" s="157">
        <v>6</v>
      </c>
      <c r="H123" s="157" t="s">
        <v>24</v>
      </c>
      <c r="I123" s="159">
        <v>6</v>
      </c>
      <c r="J123" s="161"/>
      <c r="K123" s="161"/>
      <c r="L123" s="2209"/>
      <c r="M123" s="163">
        <v>1</v>
      </c>
      <c r="N123" s="473">
        <v>1600</v>
      </c>
      <c r="O123" s="165">
        <v>0.7</v>
      </c>
      <c r="P123" s="476">
        <f t="shared" si="21"/>
        <v>480.00000000000006</v>
      </c>
      <c r="Q123" s="473">
        <f t="shared" si="18"/>
        <v>2880.0000000000005</v>
      </c>
      <c r="R123" s="9"/>
      <c r="S123" s="504">
        <f t="shared" ref="S123:S124" si="22">Q123/$Q$130</f>
        <v>8.3747710023554051E-2</v>
      </c>
      <c r="T123" s="164">
        <f t="shared" si="19"/>
        <v>2880.0000000000005</v>
      </c>
      <c r="U123" s="507"/>
      <c r="W123" s="169">
        <f>T123</f>
        <v>2880.0000000000005</v>
      </c>
      <c r="Y123" s="286"/>
      <c r="Z123" s="394"/>
      <c r="AA123" s="395"/>
      <c r="AD123" s="171">
        <f>T123</f>
        <v>2880.0000000000005</v>
      </c>
    </row>
    <row r="124" spans="1:30" x14ac:dyDescent="0.3">
      <c r="A124" s="157" t="s">
        <v>586</v>
      </c>
      <c r="B124" s="157" t="s">
        <v>47</v>
      </c>
      <c r="C124" s="157" t="s">
        <v>592</v>
      </c>
      <c r="D124" s="157" t="s">
        <v>50</v>
      </c>
      <c r="E124" s="157" t="s">
        <v>520</v>
      </c>
      <c r="F124" s="158" t="s">
        <v>523</v>
      </c>
      <c r="G124" s="157">
        <v>3</v>
      </c>
      <c r="H124" s="157" t="s">
        <v>24</v>
      </c>
      <c r="I124" s="159">
        <v>3</v>
      </c>
      <c r="J124" s="161"/>
      <c r="K124" s="161"/>
      <c r="L124" s="2209"/>
      <c r="M124" s="163">
        <v>1</v>
      </c>
      <c r="N124" s="473">
        <v>2000</v>
      </c>
      <c r="O124" s="165">
        <v>0.45</v>
      </c>
      <c r="P124" s="476">
        <f t="shared" si="21"/>
        <v>1100</v>
      </c>
      <c r="Q124" s="473">
        <f t="shared" si="18"/>
        <v>3300</v>
      </c>
      <c r="R124" s="9"/>
      <c r="S124" s="504">
        <f t="shared" si="22"/>
        <v>9.5960917735322337E-2</v>
      </c>
      <c r="T124" s="164">
        <f t="shared" si="19"/>
        <v>3300</v>
      </c>
      <c r="U124" s="507"/>
      <c r="W124" s="169">
        <f>T124</f>
        <v>3300</v>
      </c>
      <c r="Y124" s="286"/>
      <c r="Z124" s="394"/>
      <c r="AA124" s="395"/>
      <c r="AC124" s="169">
        <f>T124</f>
        <v>3300</v>
      </c>
      <c r="AD124" s="152"/>
    </row>
    <row r="125" spans="1:30" x14ac:dyDescent="0.3">
      <c r="A125" s="157"/>
      <c r="B125" s="157"/>
      <c r="C125" s="157"/>
      <c r="D125" s="157"/>
      <c r="E125" s="157"/>
      <c r="F125" s="158"/>
      <c r="G125" s="157"/>
      <c r="H125" s="157"/>
      <c r="I125" s="474"/>
      <c r="J125" s="1"/>
      <c r="K125" s="1"/>
      <c r="L125" s="163"/>
      <c r="M125" s="163"/>
      <c r="N125" s="473"/>
      <c r="O125" s="165"/>
      <c r="P125" s="476"/>
      <c r="Q125" s="473"/>
      <c r="R125" s="9"/>
      <c r="S125" s="506"/>
      <c r="T125" s="164"/>
      <c r="U125" s="507"/>
      <c r="Y125" s="286"/>
      <c r="Z125" s="394"/>
      <c r="AA125" s="395"/>
      <c r="AD125" s="152"/>
    </row>
    <row r="126" spans="1:30" x14ac:dyDescent="0.3">
      <c r="A126" s="157"/>
      <c r="B126" s="157"/>
      <c r="C126" s="157"/>
      <c r="D126" s="157"/>
      <c r="E126" s="157"/>
      <c r="F126" s="158"/>
      <c r="G126" s="157"/>
      <c r="H126" s="157"/>
      <c r="I126" s="474"/>
      <c r="J126" s="1"/>
      <c r="K126" s="1"/>
      <c r="L126" s="163"/>
      <c r="M126" s="163"/>
      <c r="N126" s="473"/>
      <c r="O126" s="165"/>
      <c r="P126" s="476"/>
      <c r="Q126" s="473"/>
      <c r="R126" s="9"/>
      <c r="S126" s="506"/>
      <c r="T126" s="164"/>
      <c r="U126" s="507"/>
      <c r="Y126" s="286"/>
      <c r="Z126" s="394"/>
      <c r="AA126" s="395"/>
      <c r="AD126" s="152"/>
    </row>
    <row r="127" spans="1:30" x14ac:dyDescent="0.3">
      <c r="A127" s="190" t="s">
        <v>586</v>
      </c>
      <c r="B127" s="190" t="s">
        <v>528</v>
      </c>
      <c r="C127" s="190"/>
      <c r="D127" s="190"/>
      <c r="E127" s="190"/>
      <c r="F127" s="191"/>
      <c r="G127" s="190"/>
      <c r="H127" s="190"/>
      <c r="I127" s="192"/>
      <c r="J127" s="193"/>
      <c r="K127" s="193"/>
      <c r="L127" s="193"/>
      <c r="M127" s="190"/>
      <c r="N127" s="194"/>
      <c r="O127" s="195"/>
      <c r="P127" s="186"/>
      <c r="Q127" s="166"/>
      <c r="R127" s="288"/>
      <c r="S127" s="247"/>
      <c r="T127" s="503">
        <f t="shared" ref="T127" si="23">Q127*2</f>
        <v>0</v>
      </c>
      <c r="U127" s="502"/>
      <c r="X127" s="169">
        <f>T127</f>
        <v>0</v>
      </c>
      <c r="Y127" s="286"/>
      <c r="Z127" s="188"/>
      <c r="AA127" s="395"/>
      <c r="AD127" s="152"/>
    </row>
    <row r="128" spans="1:30" x14ac:dyDescent="0.3">
      <c r="A128" s="108" t="s">
        <v>586</v>
      </c>
      <c r="B128" s="108" t="s">
        <v>529</v>
      </c>
      <c r="C128" s="108"/>
      <c r="D128" s="108" t="s">
        <v>530</v>
      </c>
      <c r="E128" s="108"/>
      <c r="F128" s="479"/>
      <c r="G128" s="108"/>
      <c r="H128" s="108"/>
      <c r="I128" s="254"/>
      <c r="J128" s="254"/>
      <c r="K128" s="254"/>
      <c r="L128" s="254"/>
      <c r="M128" s="108"/>
      <c r="N128" s="257"/>
      <c r="O128" s="109"/>
      <c r="P128" s="290"/>
      <c r="Q128" s="257">
        <v>5500</v>
      </c>
      <c r="R128" s="480"/>
      <c r="S128" s="291">
        <f>Q128/Q130</f>
        <v>0.15993486289220391</v>
      </c>
      <c r="T128" s="503">
        <f>Q128</f>
        <v>5500</v>
      </c>
      <c r="U128" s="502"/>
      <c r="Y128" s="395">
        <f>T128</f>
        <v>5500</v>
      </c>
      <c r="Z128" s="188"/>
      <c r="AA128" s="286"/>
      <c r="AD128" s="152"/>
    </row>
    <row r="129" spans="1:30" x14ac:dyDescent="0.3">
      <c r="T129" s="166"/>
      <c r="U129" s="502"/>
      <c r="Y129" s="286"/>
      <c r="Z129" s="188"/>
      <c r="AA129" s="286"/>
      <c r="AD129" s="152"/>
    </row>
    <row r="130" spans="1:30" x14ac:dyDescent="0.3">
      <c r="A130" s="326" t="s">
        <v>531</v>
      </c>
      <c r="B130" s="327"/>
      <c r="C130" s="327"/>
      <c r="D130" s="327"/>
      <c r="E130" s="327"/>
      <c r="F130" s="328"/>
      <c r="G130" s="327"/>
      <c r="H130" s="327"/>
      <c r="I130" s="327">
        <f>I122+I121+I120+I119+I123+I124</f>
        <v>15</v>
      </c>
      <c r="J130" s="327"/>
      <c r="K130" s="327"/>
      <c r="L130" s="327"/>
      <c r="M130" s="327">
        <f>SUM(I130:L130)</f>
        <v>15</v>
      </c>
      <c r="N130" s="329"/>
      <c r="O130" s="330"/>
      <c r="P130" s="329"/>
      <c r="Q130" s="331">
        <f>SUM(Q119:Q129)</f>
        <v>34389</v>
      </c>
      <c r="R130" s="331"/>
      <c r="S130" s="332">
        <f>SUM(S119:S128)</f>
        <v>1</v>
      </c>
      <c r="T130" s="516">
        <f>SUM(T119:T129)</f>
        <v>34389</v>
      </c>
      <c r="U130" s="517">
        <f t="shared" ref="U130:AA130" si="24">SUM(U119:U128)</f>
        <v>15209</v>
      </c>
      <c r="V130" s="335">
        <f t="shared" si="24"/>
        <v>7500</v>
      </c>
      <c r="W130" s="335">
        <f t="shared" si="24"/>
        <v>6180</v>
      </c>
      <c r="X130" s="335">
        <f t="shared" si="24"/>
        <v>0</v>
      </c>
      <c r="Y130" s="335">
        <f t="shared" si="24"/>
        <v>5500</v>
      </c>
      <c r="Z130" s="518">
        <f t="shared" si="24"/>
        <v>15000</v>
      </c>
      <c r="AA130" s="519">
        <f t="shared" si="24"/>
        <v>7709</v>
      </c>
      <c r="AB130" s="335">
        <f>SUM(AB119:AB129)</f>
        <v>3584</v>
      </c>
      <c r="AC130" s="335">
        <f>SUM(AC119:AC129)</f>
        <v>22425</v>
      </c>
      <c r="AD130" s="337">
        <f>SUM(AD119:AD129)</f>
        <v>2880.0000000000005</v>
      </c>
    </row>
    <row r="131" spans="1:30" x14ac:dyDescent="0.3">
      <c r="A131" s="342" t="s">
        <v>532</v>
      </c>
      <c r="B131" s="343"/>
      <c r="C131" s="343"/>
      <c r="D131" s="343"/>
      <c r="E131" s="343"/>
      <c r="F131" s="344"/>
      <c r="G131" s="343"/>
      <c r="H131" s="343"/>
      <c r="I131" s="343">
        <f>I122+I121+I120+I119+I123+I124</f>
        <v>15</v>
      </c>
      <c r="J131" s="343">
        <f>I122+I121+I120+I119+I123+I124</f>
        <v>15</v>
      </c>
      <c r="K131" s="343">
        <f>I122+I121+I120+I119+I123+I124</f>
        <v>15</v>
      </c>
      <c r="L131" s="343">
        <f>I122+I121+I120+I119+I123+I124</f>
        <v>15</v>
      </c>
      <c r="M131" s="343">
        <f>SUM(I131:L131)</f>
        <v>60</v>
      </c>
      <c r="N131" s="345"/>
      <c r="O131" s="346"/>
      <c r="P131" s="345"/>
      <c r="Q131" s="345"/>
      <c r="R131" s="345"/>
      <c r="S131" s="347"/>
      <c r="T131" s="520"/>
      <c r="U131" s="533">
        <f>U130/T130</f>
        <v>0.44226351449591439</v>
      </c>
      <c r="V131" s="350">
        <f>V130/T130</f>
        <v>0.21809299485300532</v>
      </c>
      <c r="W131" s="350">
        <f>W130/T130</f>
        <v>0.17970862775887639</v>
      </c>
      <c r="X131" s="350">
        <f>X130/T130</f>
        <v>0</v>
      </c>
      <c r="Y131" s="350">
        <f>Y130/T130</f>
        <v>0.15993486289220391</v>
      </c>
      <c r="Z131" s="313">
        <f>Z130/T130</f>
        <v>0.43618598970601064</v>
      </c>
      <c r="AA131" s="522">
        <f>AA130/T130</f>
        <v>0.22417051964290907</v>
      </c>
      <c r="AB131" s="523"/>
      <c r="AC131" s="524"/>
      <c r="AD131" s="356"/>
    </row>
    <row r="132" spans="1:30" x14ac:dyDescent="0.3">
      <c r="A132" s="243" t="s">
        <v>533</v>
      </c>
      <c r="B132" s="193"/>
      <c r="C132" s="193"/>
      <c r="D132" s="193"/>
      <c r="E132" s="193"/>
      <c r="F132" s="244"/>
      <c r="G132" s="193"/>
      <c r="H132" s="193"/>
      <c r="I132" s="245"/>
      <c r="J132" s="245"/>
      <c r="K132" s="245"/>
      <c r="L132" s="245"/>
      <c r="M132" s="193"/>
      <c r="N132" s="246"/>
      <c r="O132" s="196"/>
      <c r="P132" s="246"/>
      <c r="Q132" s="194">
        <f>U130</f>
        <v>15209</v>
      </c>
      <c r="R132" s="288"/>
      <c r="S132" s="247">
        <f>Q132/Q137</f>
        <v>0.44226351449591439</v>
      </c>
      <c r="Y132" s="248">
        <f>SUM(U119:Y129)</f>
        <v>34389</v>
      </c>
      <c r="Z132" s="357">
        <f>I120+I121+I123+I124</f>
        <v>13</v>
      </c>
      <c r="AA132" s="358">
        <f>I119+I122</f>
        <v>2</v>
      </c>
    </row>
    <row r="133" spans="1:30" x14ac:dyDescent="0.3">
      <c r="A133" s="251" t="s">
        <v>11</v>
      </c>
      <c r="B133" s="252"/>
      <c r="C133" s="252"/>
      <c r="D133" s="252"/>
      <c r="E133" s="252"/>
      <c r="F133" s="253"/>
      <c r="G133" s="252"/>
      <c r="H133" s="252"/>
      <c r="I133" s="254"/>
      <c r="J133" s="254"/>
      <c r="K133" s="254"/>
      <c r="L133" s="254"/>
      <c r="M133" s="252"/>
      <c r="N133" s="255"/>
      <c r="O133" s="256"/>
      <c r="P133" s="255"/>
      <c r="Q133" s="257">
        <f>V130</f>
        <v>7500</v>
      </c>
      <c r="R133" s="290"/>
      <c r="S133" s="256">
        <f>Q133/Q137</f>
        <v>0.21809299485300532</v>
      </c>
      <c r="T133" s="525">
        <f>Q130/M130</f>
        <v>2292.6</v>
      </c>
      <c r="U133" s="526" t="s">
        <v>535</v>
      </c>
      <c r="Z133" s="195">
        <f>Z132/M130</f>
        <v>0.8666666666666667</v>
      </c>
      <c r="AA133" s="247">
        <f>AA132/M130</f>
        <v>0.13333333333333333</v>
      </c>
    </row>
    <row r="134" spans="1:30" x14ac:dyDescent="0.3">
      <c r="A134" s="251" t="s">
        <v>536</v>
      </c>
      <c r="B134" s="252"/>
      <c r="C134" s="252"/>
      <c r="D134" s="252"/>
      <c r="E134" s="252"/>
      <c r="F134" s="253"/>
      <c r="G134" s="252"/>
      <c r="H134" s="252"/>
      <c r="I134" s="254"/>
      <c r="J134" s="254"/>
      <c r="K134" s="254"/>
      <c r="L134" s="254"/>
      <c r="M134" s="252"/>
      <c r="N134" s="255"/>
      <c r="O134" s="256"/>
      <c r="P134" s="255"/>
      <c r="Q134" s="257">
        <f>W130</f>
        <v>6180</v>
      </c>
      <c r="R134" s="290"/>
      <c r="S134" s="262">
        <f>Q134/Q137</f>
        <v>0.17970862775887639</v>
      </c>
      <c r="V134" s="263"/>
      <c r="X134" s="99"/>
      <c r="Z134" s="2265" t="s">
        <v>537</v>
      </c>
      <c r="AA134" s="2265"/>
    </row>
    <row r="135" spans="1:30" x14ac:dyDescent="0.3">
      <c r="A135" s="251" t="s">
        <v>529</v>
      </c>
      <c r="B135" s="252"/>
      <c r="C135" s="252"/>
      <c r="D135" s="252"/>
      <c r="E135" s="252"/>
      <c r="F135" s="253"/>
      <c r="G135" s="252"/>
      <c r="H135" s="252"/>
      <c r="I135" s="254"/>
      <c r="J135" s="254"/>
      <c r="K135" s="254"/>
      <c r="L135" s="254"/>
      <c r="M135" s="252"/>
      <c r="N135" s="255"/>
      <c r="O135" s="256"/>
      <c r="P135" s="255"/>
      <c r="Q135" s="257">
        <f>Y130</f>
        <v>5500</v>
      </c>
      <c r="R135" s="290"/>
      <c r="S135" s="262">
        <f>Q135/Q137</f>
        <v>0.15993486289220391</v>
      </c>
      <c r="V135" s="263"/>
    </row>
    <row r="136" spans="1:30" x14ac:dyDescent="0.3">
      <c r="A136" s="251" t="s">
        <v>528</v>
      </c>
      <c r="B136" s="252"/>
      <c r="C136" s="252"/>
      <c r="D136" s="252"/>
      <c r="E136" s="252"/>
      <c r="F136" s="253"/>
      <c r="G136" s="252"/>
      <c r="H136" s="252"/>
      <c r="I136" s="254"/>
      <c r="J136" s="254"/>
      <c r="K136" s="254"/>
      <c r="L136" s="254"/>
      <c r="M136" s="252"/>
      <c r="N136" s="255"/>
      <c r="O136" s="256"/>
      <c r="P136" s="255"/>
      <c r="Q136" s="257">
        <f>X130</f>
        <v>0</v>
      </c>
      <c r="R136" s="290"/>
      <c r="S136" s="262">
        <f>Q136/Q137</f>
        <v>0</v>
      </c>
    </row>
    <row r="137" spans="1:30" x14ac:dyDescent="0.3">
      <c r="A137" s="251"/>
      <c r="B137" s="252"/>
      <c r="C137" s="252"/>
      <c r="D137" s="252"/>
      <c r="E137" s="252"/>
      <c r="F137" s="253"/>
      <c r="G137" s="252"/>
      <c r="H137" s="252"/>
      <c r="I137" s="254"/>
      <c r="J137" s="254"/>
      <c r="K137" s="254"/>
      <c r="L137" s="254"/>
      <c r="M137" s="252"/>
      <c r="N137" s="255"/>
      <c r="O137" s="256"/>
      <c r="P137" s="255"/>
      <c r="Q137" s="264">
        <f>SUM(Q132:Q136)</f>
        <v>34389</v>
      </c>
      <c r="R137" s="490"/>
      <c r="S137" s="262">
        <f>SUM(S132:S136)</f>
        <v>1</v>
      </c>
    </row>
    <row r="141" spans="1:30" x14ac:dyDescent="0.3">
      <c r="E141" s="1" t="s">
        <v>562</v>
      </c>
      <c r="F141" s="2" t="s">
        <v>598</v>
      </c>
    </row>
    <row r="142" spans="1:30" x14ac:dyDescent="0.3">
      <c r="E142" s="1" t="s">
        <v>473</v>
      </c>
      <c r="F142" s="2" t="s">
        <v>52</v>
      </c>
    </row>
    <row r="143" spans="1:30" x14ac:dyDescent="0.3">
      <c r="E143" s="1" t="s">
        <v>475</v>
      </c>
      <c r="F143" s="2" t="s">
        <v>599</v>
      </c>
    </row>
    <row r="144" spans="1:30" x14ac:dyDescent="0.3">
      <c r="E144" s="1" t="s">
        <v>477</v>
      </c>
      <c r="F144" s="2" t="s">
        <v>600</v>
      </c>
    </row>
    <row r="146" spans="1:30" ht="18" x14ac:dyDescent="0.35">
      <c r="A146" s="118" t="s">
        <v>567</v>
      </c>
      <c r="S146" s="98"/>
    </row>
    <row r="148" spans="1:30" x14ac:dyDescent="0.3">
      <c r="A148" s="2335" t="s">
        <v>480</v>
      </c>
      <c r="B148" s="2336"/>
      <c r="C148" s="2336"/>
      <c r="D148" s="2336"/>
      <c r="E148" s="2336"/>
      <c r="F148" s="2336"/>
      <c r="G148" s="2336"/>
      <c r="H148" s="2336"/>
      <c r="I148" s="2336"/>
      <c r="J148" s="2336"/>
      <c r="K148" s="2336"/>
      <c r="L148" s="2336"/>
      <c r="M148" s="2336"/>
      <c r="N148" s="2336"/>
      <c r="O148" s="2336"/>
      <c r="P148" s="2336"/>
      <c r="Q148" s="2336"/>
      <c r="R148" s="2336"/>
      <c r="S148" s="2337"/>
      <c r="T148" s="2338" t="s">
        <v>584</v>
      </c>
      <c r="U148" s="2339"/>
      <c r="V148" s="2339"/>
      <c r="W148" s="2339"/>
      <c r="X148" s="2339"/>
      <c r="Y148" s="2339"/>
      <c r="Z148" s="2339"/>
      <c r="AA148" s="2339"/>
      <c r="AB148" s="2339"/>
      <c r="AC148" s="2339"/>
      <c r="AD148" s="2340"/>
    </row>
    <row r="149" spans="1:30" ht="15.6" x14ac:dyDescent="0.3">
      <c r="A149" s="2227" t="s">
        <v>482</v>
      </c>
      <c r="B149" s="2215" t="s">
        <v>483</v>
      </c>
      <c r="C149" s="2215" t="s">
        <v>484</v>
      </c>
      <c r="D149" s="2215" t="s">
        <v>555</v>
      </c>
      <c r="E149" s="2215" t="s">
        <v>556</v>
      </c>
      <c r="F149" s="2213" t="s">
        <v>487</v>
      </c>
      <c r="G149" s="2215" t="s">
        <v>557</v>
      </c>
      <c r="H149" s="2215" t="s">
        <v>489</v>
      </c>
      <c r="I149" s="2217" t="s">
        <v>490</v>
      </c>
      <c r="J149" s="373"/>
      <c r="K149" s="373"/>
      <c r="L149" s="2218"/>
      <c r="M149" s="374" t="s">
        <v>491</v>
      </c>
      <c r="N149" s="375" t="s">
        <v>558</v>
      </c>
      <c r="O149" s="376" t="s">
        <v>493</v>
      </c>
      <c r="P149" s="375" t="s">
        <v>558</v>
      </c>
      <c r="Q149" s="375" t="s">
        <v>559</v>
      </c>
      <c r="R149" s="534" t="s">
        <v>585</v>
      </c>
      <c r="S149" s="2327" t="s">
        <v>495</v>
      </c>
      <c r="T149" s="535" t="s">
        <v>496</v>
      </c>
      <c r="U149" s="2329" t="s">
        <v>497</v>
      </c>
      <c r="V149" s="2330"/>
      <c r="W149" s="2330"/>
      <c r="X149" s="2330"/>
      <c r="Y149" s="2331"/>
      <c r="Z149" s="2317" t="s">
        <v>498</v>
      </c>
      <c r="AA149" s="2319"/>
      <c r="AB149" s="2317" t="s">
        <v>499</v>
      </c>
      <c r="AC149" s="2318"/>
      <c r="AD149" s="2319"/>
    </row>
    <row r="150" spans="1:30" ht="15.6" x14ac:dyDescent="0.3">
      <c r="A150" s="2341"/>
      <c r="B150" s="2326"/>
      <c r="C150" s="2326"/>
      <c r="D150" s="2326"/>
      <c r="E150" s="2326"/>
      <c r="F150" s="2342"/>
      <c r="G150" s="2326"/>
      <c r="H150" s="2326"/>
      <c r="I150" s="536" t="s">
        <v>500</v>
      </c>
      <c r="J150" s="536" t="s">
        <v>501</v>
      </c>
      <c r="K150" s="536" t="s">
        <v>502</v>
      </c>
      <c r="L150" s="536" t="s">
        <v>503</v>
      </c>
      <c r="M150" s="537" t="s">
        <v>504</v>
      </c>
      <c r="N150" s="538" t="s">
        <v>505</v>
      </c>
      <c r="O150" s="539" t="s">
        <v>506</v>
      </c>
      <c r="P150" s="538" t="s">
        <v>507</v>
      </c>
      <c r="Q150" s="538" t="s">
        <v>560</v>
      </c>
      <c r="R150" s="538"/>
      <c r="S150" s="2328"/>
      <c r="T150" s="540" t="s">
        <v>508</v>
      </c>
      <c r="U150" s="2332"/>
      <c r="V150" s="2333"/>
      <c r="W150" s="2333"/>
      <c r="X150" s="2333"/>
      <c r="Y150" s="2334"/>
      <c r="Z150" s="2320"/>
      <c r="AA150" s="2322"/>
      <c r="AB150" s="2320"/>
      <c r="AC150" s="2321"/>
      <c r="AD150" s="2322"/>
    </row>
    <row r="151" spans="1:30" ht="18" x14ac:dyDescent="0.35">
      <c r="A151" s="2323" t="s">
        <v>568</v>
      </c>
      <c r="B151" s="2324"/>
      <c r="C151" s="2324"/>
      <c r="D151" s="2324"/>
      <c r="E151" s="2324"/>
      <c r="F151" s="2324"/>
      <c r="G151" s="2324"/>
      <c r="H151" s="2324"/>
      <c r="I151" s="2324"/>
      <c r="J151" s="2324"/>
      <c r="K151" s="2324"/>
      <c r="L151" s="2324"/>
      <c r="M151" s="2324"/>
      <c r="N151" s="2324"/>
      <c r="O151" s="2324"/>
      <c r="P151" s="2324"/>
      <c r="Q151" s="2324"/>
      <c r="R151" s="2324"/>
      <c r="S151" s="2325"/>
      <c r="T151" s="494"/>
      <c r="U151" s="495" t="s">
        <v>510</v>
      </c>
      <c r="V151" s="496" t="s">
        <v>11</v>
      </c>
      <c r="W151" s="496" t="s">
        <v>511</v>
      </c>
      <c r="X151" s="496" t="s">
        <v>512</v>
      </c>
      <c r="Y151" s="497" t="s">
        <v>513</v>
      </c>
      <c r="Z151" s="498" t="s">
        <v>514</v>
      </c>
      <c r="AA151" s="497" t="s">
        <v>515</v>
      </c>
      <c r="AB151" s="458" t="s">
        <v>44</v>
      </c>
      <c r="AC151" s="499" t="s">
        <v>45</v>
      </c>
      <c r="AD151" s="500" t="s">
        <v>5</v>
      </c>
    </row>
    <row r="152" spans="1:30" x14ac:dyDescent="0.3">
      <c r="A152" s="154"/>
      <c r="B152" s="462"/>
      <c r="C152" s="462"/>
      <c r="D152" s="462"/>
      <c r="E152" s="462"/>
      <c r="F152" s="463"/>
      <c r="G152" s="462"/>
      <c r="H152" s="462"/>
      <c r="I152" s="465"/>
      <c r="J152" s="465"/>
      <c r="K152" s="465"/>
      <c r="L152" s="465"/>
      <c r="M152" s="462"/>
      <c r="N152" s="468"/>
      <c r="O152" s="469"/>
      <c r="P152" s="468"/>
      <c r="Q152" s="468"/>
      <c r="R152" s="468"/>
      <c r="S152" s="469"/>
      <c r="T152" s="166"/>
      <c r="Y152" s="286"/>
      <c r="AA152" s="286"/>
      <c r="AD152" s="152"/>
    </row>
    <row r="153" spans="1:30" x14ac:dyDescent="0.3">
      <c r="A153" s="157" t="s">
        <v>586</v>
      </c>
      <c r="B153" s="157" t="s">
        <v>46</v>
      </c>
      <c r="C153" s="157" t="s">
        <v>517</v>
      </c>
      <c r="D153" s="157" t="s">
        <v>26</v>
      </c>
      <c r="E153" s="157" t="s">
        <v>520</v>
      </c>
      <c r="F153" s="158" t="s">
        <v>590</v>
      </c>
      <c r="G153" s="157">
        <v>1</v>
      </c>
      <c r="H153" s="157" t="s">
        <v>24</v>
      </c>
      <c r="I153" s="159">
        <v>1</v>
      </c>
      <c r="J153" s="161"/>
      <c r="K153" s="161"/>
      <c r="L153" s="2209"/>
      <c r="M153" s="163">
        <v>1</v>
      </c>
      <c r="N153" s="166">
        <v>4480</v>
      </c>
      <c r="O153" s="165">
        <v>0.2</v>
      </c>
      <c r="P153" s="166">
        <f>N153*(1-O153)</f>
        <v>3584</v>
      </c>
      <c r="Q153" s="166">
        <f t="shared" ref="Q153:Q158" si="25">P153*M153*G153</f>
        <v>3584</v>
      </c>
      <c r="R153" s="206" t="e">
        <f>(Q153+Q154+#REF!+#REF!)/E129*1000</f>
        <v>#REF!</v>
      </c>
      <c r="S153" s="167">
        <f>Q153/$Q$164</f>
        <v>0.18129394506550661</v>
      </c>
      <c r="T153" s="503">
        <f>Q153*2</f>
        <v>7168</v>
      </c>
      <c r="U153" s="502">
        <f t="shared" ref="U153:U154" si="26">T153</f>
        <v>7168</v>
      </c>
      <c r="V153" s="169"/>
      <c r="W153" s="169"/>
      <c r="X153" s="169"/>
      <c r="Y153" s="395"/>
      <c r="Z153" s="394"/>
      <c r="AA153" s="395">
        <f>T153</f>
        <v>7168</v>
      </c>
      <c r="AB153" s="169">
        <f>T153</f>
        <v>7168</v>
      </c>
      <c r="AD153" s="152"/>
    </row>
    <row r="154" spans="1:30" x14ac:dyDescent="0.3">
      <c r="A154" s="157" t="s">
        <v>586</v>
      </c>
      <c r="B154" s="157" t="s">
        <v>47</v>
      </c>
      <c r="C154" s="157" t="s">
        <v>517</v>
      </c>
      <c r="D154" s="157" t="s">
        <v>21</v>
      </c>
      <c r="E154" s="157" t="s">
        <v>518</v>
      </c>
      <c r="F154" s="158" t="s">
        <v>588</v>
      </c>
      <c r="G154" s="157">
        <v>1</v>
      </c>
      <c r="H154" s="157" t="s">
        <v>24</v>
      </c>
      <c r="I154" s="159">
        <v>1</v>
      </c>
      <c r="J154" s="161"/>
      <c r="K154" s="161"/>
      <c r="L154" s="2209"/>
      <c r="M154" s="163">
        <v>1</v>
      </c>
      <c r="N154" s="166">
        <v>5000</v>
      </c>
      <c r="O154" s="173">
        <v>0.25</v>
      </c>
      <c r="P154" s="166">
        <f>N154*(1-O154)</f>
        <v>3750</v>
      </c>
      <c r="Q154" s="166">
        <f t="shared" si="25"/>
        <v>3750</v>
      </c>
      <c r="R154" s="206" t="e">
        <f>(Q154+Q155+#REF!+#REF!)/E130*1000</f>
        <v>#REF!</v>
      </c>
      <c r="S154" s="504">
        <f>Q154/$Q$164</f>
        <v>0.18969093024432193</v>
      </c>
      <c r="T154" s="503">
        <f t="shared" ref="T154:T158" si="27">Q154*2</f>
        <v>7500</v>
      </c>
      <c r="U154" s="502">
        <f t="shared" si="26"/>
        <v>7500</v>
      </c>
      <c r="V154" s="169"/>
      <c r="Y154" s="286"/>
      <c r="Z154" s="394">
        <f>T154</f>
        <v>7500</v>
      </c>
      <c r="AA154" s="395"/>
      <c r="AC154" s="169">
        <f>T154</f>
        <v>7500</v>
      </c>
      <c r="AD154" s="152"/>
    </row>
    <row r="155" spans="1:30" x14ac:dyDescent="0.3">
      <c r="A155" s="157" t="s">
        <v>586</v>
      </c>
      <c r="B155" s="157" t="s">
        <v>47</v>
      </c>
      <c r="C155" s="157" t="s">
        <v>517</v>
      </c>
      <c r="D155" s="157" t="s">
        <v>48</v>
      </c>
      <c r="E155" s="157" t="s">
        <v>518</v>
      </c>
      <c r="F155" s="158" t="s">
        <v>589</v>
      </c>
      <c r="G155" s="157">
        <v>1</v>
      </c>
      <c r="H155" s="157" t="s">
        <v>24</v>
      </c>
      <c r="I155" s="175">
        <v>1</v>
      </c>
      <c r="J155" s="176"/>
      <c r="K155" s="176"/>
      <c r="L155" s="177"/>
      <c r="M155" s="163">
        <v>1</v>
      </c>
      <c r="N155" s="166">
        <v>5000</v>
      </c>
      <c r="O155" s="173">
        <v>0.25</v>
      </c>
      <c r="P155" s="166">
        <f t="shared" ref="P155:P158" si="28">N155*(1-O155)</f>
        <v>3750</v>
      </c>
      <c r="Q155" s="166">
        <f t="shared" si="25"/>
        <v>3750</v>
      </c>
      <c r="R155" s="206"/>
      <c r="S155" s="504">
        <f>Q155/$Q$164</f>
        <v>0.18969093024432193</v>
      </c>
      <c r="T155" s="503">
        <f t="shared" si="27"/>
        <v>7500</v>
      </c>
      <c r="U155" s="502"/>
      <c r="V155" s="169">
        <f>T155</f>
        <v>7500</v>
      </c>
      <c r="Y155" s="286"/>
      <c r="Z155" s="394">
        <f>T155</f>
        <v>7500</v>
      </c>
      <c r="AA155" s="395"/>
      <c r="AC155" s="169">
        <f>T155</f>
        <v>7500</v>
      </c>
      <c r="AD155" s="152"/>
    </row>
    <row r="156" spans="1:30" x14ac:dyDescent="0.3">
      <c r="A156" s="157" t="s">
        <v>586</v>
      </c>
      <c r="B156" s="157" t="s">
        <v>47</v>
      </c>
      <c r="C156" s="157" t="s">
        <v>517</v>
      </c>
      <c r="D156" s="157" t="s">
        <v>26</v>
      </c>
      <c r="E156" s="157" t="s">
        <v>520</v>
      </c>
      <c r="F156" s="158" t="s">
        <v>589</v>
      </c>
      <c r="G156" s="157">
        <v>1</v>
      </c>
      <c r="H156" s="157" t="s">
        <v>24</v>
      </c>
      <c r="I156" s="159">
        <v>1</v>
      </c>
      <c r="J156" s="161"/>
      <c r="K156" s="161"/>
      <c r="L156" s="2209"/>
      <c r="M156" s="163">
        <v>1</v>
      </c>
      <c r="N156" s="473">
        <v>5500</v>
      </c>
      <c r="O156" s="165">
        <v>0.25</v>
      </c>
      <c r="P156" s="166">
        <f t="shared" si="28"/>
        <v>4125</v>
      </c>
      <c r="Q156" s="166">
        <f t="shared" si="25"/>
        <v>4125</v>
      </c>
      <c r="R156" s="206"/>
      <c r="S156" s="167">
        <f>Q156/$Q$164</f>
        <v>0.2086600232687541</v>
      </c>
      <c r="T156" s="503">
        <f t="shared" si="27"/>
        <v>8250</v>
      </c>
      <c r="U156" s="502">
        <f>T156</f>
        <v>8250</v>
      </c>
      <c r="Y156" s="286"/>
      <c r="Z156" s="394"/>
      <c r="AA156" s="395">
        <f>T156</f>
        <v>8250</v>
      </c>
      <c r="AC156" s="169">
        <f>T156</f>
        <v>8250</v>
      </c>
      <c r="AD156" s="152"/>
    </row>
    <row r="157" spans="1:30" x14ac:dyDescent="0.3">
      <c r="A157" s="157" t="s">
        <v>586</v>
      </c>
      <c r="B157" s="157" t="s">
        <v>41</v>
      </c>
      <c r="C157" s="157" t="s">
        <v>525</v>
      </c>
      <c r="D157" s="157" t="s">
        <v>49</v>
      </c>
      <c r="E157" s="157" t="s">
        <v>520</v>
      </c>
      <c r="F157" s="505" t="s">
        <v>591</v>
      </c>
      <c r="G157" s="157">
        <v>2</v>
      </c>
      <c r="H157" s="157" t="s">
        <v>24</v>
      </c>
      <c r="I157" s="159">
        <v>2</v>
      </c>
      <c r="J157" s="161"/>
      <c r="K157" s="161"/>
      <c r="L157" s="2209"/>
      <c r="M157" s="163">
        <v>1</v>
      </c>
      <c r="N157" s="473">
        <v>1600</v>
      </c>
      <c r="O157" s="165">
        <v>0.7</v>
      </c>
      <c r="P157" s="476">
        <f t="shared" si="28"/>
        <v>480.00000000000006</v>
      </c>
      <c r="Q157" s="473">
        <f t="shared" si="25"/>
        <v>960.00000000000011</v>
      </c>
      <c r="R157" s="9"/>
      <c r="S157" s="504">
        <f t="shared" ref="S157:S158" si="29">Q157/$Q$164</f>
        <v>4.8560878142546414E-2</v>
      </c>
      <c r="T157" s="503">
        <f t="shared" si="27"/>
        <v>1920.0000000000002</v>
      </c>
      <c r="U157" s="507"/>
      <c r="W157" s="169">
        <f>T157</f>
        <v>1920.0000000000002</v>
      </c>
      <c r="Y157" s="286"/>
      <c r="Z157" s="394"/>
      <c r="AA157" s="395"/>
      <c r="AD157" s="171">
        <f>T157</f>
        <v>1920.0000000000002</v>
      </c>
    </row>
    <row r="158" spans="1:30" x14ac:dyDescent="0.3">
      <c r="A158" s="157" t="s">
        <v>586</v>
      </c>
      <c r="B158" s="157" t="s">
        <v>47</v>
      </c>
      <c r="C158" s="157" t="s">
        <v>592</v>
      </c>
      <c r="D158" s="157" t="s">
        <v>50</v>
      </c>
      <c r="E158" s="157" t="s">
        <v>520</v>
      </c>
      <c r="F158" s="158" t="s">
        <v>523</v>
      </c>
      <c r="G158" s="157">
        <v>1</v>
      </c>
      <c r="H158" s="157" t="s">
        <v>24</v>
      </c>
      <c r="I158" s="159">
        <v>1</v>
      </c>
      <c r="J158" s="161"/>
      <c r="K158" s="161"/>
      <c r="L158" s="2209"/>
      <c r="M158" s="163">
        <v>1</v>
      </c>
      <c r="N158" s="473">
        <v>2000</v>
      </c>
      <c r="O158" s="165">
        <v>0.45</v>
      </c>
      <c r="P158" s="476">
        <f t="shared" si="28"/>
        <v>1100</v>
      </c>
      <c r="Q158" s="473">
        <f t="shared" si="25"/>
        <v>1100</v>
      </c>
      <c r="R158" s="9"/>
      <c r="S158" s="504">
        <f t="shared" si="29"/>
        <v>5.5642672871667763E-2</v>
      </c>
      <c r="T158" s="503">
        <f t="shared" si="27"/>
        <v>2200</v>
      </c>
      <c r="U158" s="507"/>
      <c r="W158" s="169">
        <f>T158</f>
        <v>2200</v>
      </c>
      <c r="Y158" s="286"/>
      <c r="Z158" s="394"/>
      <c r="AA158" s="395"/>
      <c r="AC158" s="169">
        <f>T158</f>
        <v>2200</v>
      </c>
      <c r="AD158" s="152"/>
    </row>
    <row r="159" spans="1:30" x14ac:dyDescent="0.3">
      <c r="A159" s="157"/>
      <c r="B159" s="157"/>
      <c r="C159" s="157"/>
      <c r="D159" s="157"/>
      <c r="E159" s="157"/>
      <c r="F159" s="158"/>
      <c r="G159" s="157"/>
      <c r="H159" s="157"/>
      <c r="I159" s="474"/>
      <c r="J159" s="1"/>
      <c r="K159" s="1"/>
      <c r="L159" s="163"/>
      <c r="M159" s="163"/>
      <c r="N159" s="473"/>
      <c r="O159" s="165"/>
      <c r="P159" s="476"/>
      <c r="Q159" s="473"/>
      <c r="R159" s="9"/>
      <c r="S159" s="506"/>
      <c r="T159" s="164"/>
      <c r="U159" s="507"/>
      <c r="Y159" s="286"/>
      <c r="Z159" s="394"/>
      <c r="AA159" s="395"/>
      <c r="AD159" s="152"/>
    </row>
    <row r="160" spans="1:30" x14ac:dyDescent="0.3">
      <c r="A160" s="157"/>
      <c r="B160" s="157"/>
      <c r="C160" s="157"/>
      <c r="D160" s="157"/>
      <c r="E160" s="157"/>
      <c r="F160" s="158"/>
      <c r="G160" s="157"/>
      <c r="H160" s="157"/>
      <c r="I160" s="474"/>
      <c r="J160" s="1"/>
      <c r="K160" s="1"/>
      <c r="L160" s="163"/>
      <c r="M160" s="163"/>
      <c r="N160" s="473"/>
      <c r="O160" s="165"/>
      <c r="P160" s="476"/>
      <c r="Q160" s="473"/>
      <c r="R160" s="9"/>
      <c r="S160" s="506"/>
      <c r="T160" s="164"/>
      <c r="U160" s="507"/>
      <c r="Y160" s="286"/>
      <c r="Z160" s="394"/>
      <c r="AA160" s="395"/>
      <c r="AD160" s="152"/>
    </row>
    <row r="161" spans="1:30" x14ac:dyDescent="0.3">
      <c r="A161" s="190" t="s">
        <v>586</v>
      </c>
      <c r="B161" s="190" t="s">
        <v>528</v>
      </c>
      <c r="C161" s="190"/>
      <c r="D161" s="190"/>
      <c r="E161" s="190"/>
      <c r="F161" s="191"/>
      <c r="G161" s="190"/>
      <c r="H161" s="190"/>
      <c r="I161" s="192"/>
      <c r="J161" s="193"/>
      <c r="K161" s="193"/>
      <c r="L161" s="193"/>
      <c r="M161" s="190"/>
      <c r="N161" s="194"/>
      <c r="O161" s="195"/>
      <c r="P161" s="186"/>
      <c r="Q161" s="166"/>
      <c r="R161" s="288"/>
      <c r="S161" s="247"/>
      <c r="T161" s="503">
        <f t="shared" ref="T161" si="30">Q161*2</f>
        <v>0</v>
      </c>
      <c r="U161" s="502"/>
      <c r="X161" s="169">
        <f>T161</f>
        <v>0</v>
      </c>
      <c r="Y161" s="286"/>
      <c r="Z161" s="188"/>
      <c r="AA161" s="395"/>
      <c r="AD161" s="152"/>
    </row>
    <row r="162" spans="1:30" x14ac:dyDescent="0.3">
      <c r="A162" s="108" t="s">
        <v>586</v>
      </c>
      <c r="B162" s="108" t="s">
        <v>529</v>
      </c>
      <c r="C162" s="108"/>
      <c r="D162" s="108" t="s">
        <v>530</v>
      </c>
      <c r="E162" s="108"/>
      <c r="F162" s="479"/>
      <c r="G162" s="108"/>
      <c r="H162" s="108"/>
      <c r="I162" s="254"/>
      <c r="J162" s="254"/>
      <c r="K162" s="254"/>
      <c r="L162" s="254"/>
      <c r="M162" s="108"/>
      <c r="N162" s="257"/>
      <c r="O162" s="109"/>
      <c r="P162" s="290"/>
      <c r="Q162" s="257">
        <v>2500</v>
      </c>
      <c r="R162" s="480"/>
      <c r="S162" s="291">
        <f>Q162/Q164</f>
        <v>0.12646062016288129</v>
      </c>
      <c r="T162" s="503">
        <f>Q162*2</f>
        <v>5000</v>
      </c>
      <c r="U162" s="502"/>
      <c r="Y162" s="395">
        <f>T162</f>
        <v>5000</v>
      </c>
      <c r="Z162" s="188"/>
      <c r="AA162" s="286"/>
      <c r="AD162" s="152"/>
    </row>
    <row r="163" spans="1:30" x14ac:dyDescent="0.3">
      <c r="T163" s="166"/>
      <c r="U163" s="502"/>
      <c r="Y163" s="286"/>
      <c r="Z163" s="188"/>
      <c r="AA163" s="286"/>
      <c r="AD163" s="152"/>
    </row>
    <row r="164" spans="1:30" x14ac:dyDescent="0.3">
      <c r="A164" s="396" t="s">
        <v>531</v>
      </c>
      <c r="B164" s="373"/>
      <c r="C164" s="373"/>
      <c r="D164" s="373"/>
      <c r="E164" s="373"/>
      <c r="F164" s="397"/>
      <c r="G164" s="373"/>
      <c r="H164" s="373"/>
      <c r="I164" s="373">
        <f>I156+I155+I154+I153+I157+I158</f>
        <v>7</v>
      </c>
      <c r="J164" s="373"/>
      <c r="K164" s="373"/>
      <c r="L164" s="373"/>
      <c r="M164" s="373">
        <f>SUM(I164:L164)</f>
        <v>7</v>
      </c>
      <c r="N164" s="398"/>
      <c r="O164" s="399"/>
      <c r="P164" s="398"/>
      <c r="Q164" s="400">
        <f>SUM(Q153:Q163)</f>
        <v>19769</v>
      </c>
      <c r="R164" s="400"/>
      <c r="S164" s="401">
        <f>SUM(S153:S162)</f>
        <v>1</v>
      </c>
      <c r="T164" s="541">
        <f>SUM(T153:T163)</f>
        <v>39538</v>
      </c>
      <c r="U164" s="542">
        <f t="shared" ref="U164:AA164" si="31">SUM(U153:U162)</f>
        <v>22918</v>
      </c>
      <c r="V164" s="404">
        <f t="shared" si="31"/>
        <v>7500</v>
      </c>
      <c r="W164" s="404">
        <f t="shared" si="31"/>
        <v>4120</v>
      </c>
      <c r="X164" s="404">
        <f t="shared" si="31"/>
        <v>0</v>
      </c>
      <c r="Y164" s="404">
        <f t="shared" si="31"/>
        <v>5000</v>
      </c>
      <c r="Z164" s="543">
        <f t="shared" si="31"/>
        <v>15000</v>
      </c>
      <c r="AA164" s="544">
        <f t="shared" si="31"/>
        <v>15418</v>
      </c>
      <c r="AB164" s="545">
        <f>SUM(AB153:AB163)</f>
        <v>7168</v>
      </c>
      <c r="AC164" s="404">
        <f>SUM(AC153:AC163)</f>
        <v>25450</v>
      </c>
      <c r="AD164" s="405">
        <f>SUM(AD153:AD163)</f>
        <v>1920.0000000000002</v>
      </c>
    </row>
    <row r="165" spans="1:30" x14ac:dyDescent="0.3">
      <c r="A165" s="410" t="s">
        <v>532</v>
      </c>
      <c r="B165" s="411"/>
      <c r="C165" s="411"/>
      <c r="D165" s="411"/>
      <c r="E165" s="411"/>
      <c r="F165" s="412"/>
      <c r="G165" s="411"/>
      <c r="H165" s="411"/>
      <c r="I165" s="411">
        <f>I156+I155+I154+I153+I157+I158</f>
        <v>7</v>
      </c>
      <c r="J165" s="411">
        <f>I156+I155+I154+I153+I157+I158</f>
        <v>7</v>
      </c>
      <c r="K165" s="411">
        <f>I156+I155+I154+I153+I157+I158</f>
        <v>7</v>
      </c>
      <c r="L165" s="411">
        <f>I156+I155+I154+I153+I157+I158</f>
        <v>7</v>
      </c>
      <c r="M165" s="411">
        <f>SUM(I165:L165)</f>
        <v>28</v>
      </c>
      <c r="N165" s="413"/>
      <c r="O165" s="414"/>
      <c r="P165" s="413"/>
      <c r="Q165" s="413"/>
      <c r="R165" s="413"/>
      <c r="S165" s="415"/>
      <c r="T165" s="546"/>
      <c r="U165" s="547">
        <f>U164/T164</f>
        <v>0.57964489857858259</v>
      </c>
      <c r="V165" s="418">
        <f>V164/T164</f>
        <v>0.18969093024432193</v>
      </c>
      <c r="W165" s="418">
        <f>W164/T164</f>
        <v>0.10420355101421418</v>
      </c>
      <c r="X165" s="418">
        <f>X164/T164</f>
        <v>0</v>
      </c>
      <c r="Y165" s="418">
        <f>Y164/T164</f>
        <v>0.12646062016288129</v>
      </c>
      <c r="Z165" s="539">
        <f>Z164/T164</f>
        <v>0.37938186048864386</v>
      </c>
      <c r="AA165" s="548">
        <f>AA164/T164</f>
        <v>0.38995396833426071</v>
      </c>
      <c r="AB165" s="549"/>
      <c r="AC165" s="550"/>
      <c r="AD165" s="424"/>
    </row>
    <row r="166" spans="1:30" x14ac:dyDescent="0.3">
      <c r="A166" s="243" t="s">
        <v>533</v>
      </c>
      <c r="B166" s="193"/>
      <c r="C166" s="193"/>
      <c r="D166" s="193"/>
      <c r="E166" s="193"/>
      <c r="F166" s="244"/>
      <c r="G166" s="193"/>
      <c r="H166" s="193"/>
      <c r="I166" s="245"/>
      <c r="J166" s="245"/>
      <c r="K166" s="245"/>
      <c r="L166" s="245"/>
      <c r="M166" s="193"/>
      <c r="N166" s="246"/>
      <c r="O166" s="196"/>
      <c r="P166" s="246"/>
      <c r="Q166" s="194">
        <f>U164/2</f>
        <v>11459</v>
      </c>
      <c r="R166" s="288"/>
      <c r="S166" s="247">
        <f>Q166/Q171</f>
        <v>0.57964489857858259</v>
      </c>
      <c r="Y166" s="248">
        <f>SUM(U153:Y163)</f>
        <v>39538</v>
      </c>
      <c r="Z166" s="357">
        <f>I154+I155+I157+I158</f>
        <v>5</v>
      </c>
      <c r="AA166" s="358">
        <f>I153+I156</f>
        <v>2</v>
      </c>
    </row>
    <row r="167" spans="1:30" x14ac:dyDescent="0.3">
      <c r="A167" s="251" t="s">
        <v>11</v>
      </c>
      <c r="B167" s="252"/>
      <c r="C167" s="252"/>
      <c r="D167" s="252"/>
      <c r="E167" s="252"/>
      <c r="F167" s="253"/>
      <c r="G167" s="252"/>
      <c r="H167" s="252"/>
      <c r="I167" s="254"/>
      <c r="J167" s="254"/>
      <c r="K167" s="254"/>
      <c r="L167" s="254"/>
      <c r="M167" s="252"/>
      <c r="N167" s="255"/>
      <c r="O167" s="256"/>
      <c r="P167" s="255"/>
      <c r="Q167" s="257">
        <f>V164/2</f>
        <v>3750</v>
      </c>
      <c r="R167" s="290"/>
      <c r="S167" s="256">
        <f>Q167/Q171</f>
        <v>0.18969093024432193</v>
      </c>
      <c r="T167" s="551">
        <f>Q164/M164</f>
        <v>2824.1428571428573</v>
      </c>
      <c r="U167" s="426" t="s">
        <v>535</v>
      </c>
      <c r="Z167" s="195">
        <f>Z166/M164</f>
        <v>0.7142857142857143</v>
      </c>
      <c r="AA167" s="247">
        <f>AA166/M164</f>
        <v>0.2857142857142857</v>
      </c>
    </row>
    <row r="168" spans="1:30" x14ac:dyDescent="0.3">
      <c r="A168" s="251" t="s">
        <v>536</v>
      </c>
      <c r="B168" s="252"/>
      <c r="C168" s="252"/>
      <c r="D168" s="252"/>
      <c r="E168" s="252"/>
      <c r="F168" s="253"/>
      <c r="G168" s="252"/>
      <c r="H168" s="252"/>
      <c r="I168" s="254"/>
      <c r="J168" s="254"/>
      <c r="K168" s="254"/>
      <c r="L168" s="254"/>
      <c r="M168" s="252"/>
      <c r="N168" s="255"/>
      <c r="O168" s="256"/>
      <c r="P168" s="255"/>
      <c r="Q168" s="257">
        <f>W164/2</f>
        <v>2060</v>
      </c>
      <c r="R168" s="290"/>
      <c r="S168" s="262">
        <f>Q168/Q171</f>
        <v>0.10420355101421418</v>
      </c>
      <c r="V168" s="263"/>
      <c r="X168" s="99"/>
    </row>
    <row r="169" spans="1:30" x14ac:dyDescent="0.3">
      <c r="A169" s="251" t="s">
        <v>529</v>
      </c>
      <c r="B169" s="252"/>
      <c r="C169" s="252"/>
      <c r="D169" s="252"/>
      <c r="E169" s="252"/>
      <c r="F169" s="253"/>
      <c r="G169" s="252"/>
      <c r="H169" s="252"/>
      <c r="I169" s="254"/>
      <c r="J169" s="254"/>
      <c r="K169" s="254"/>
      <c r="L169" s="254"/>
      <c r="M169" s="252"/>
      <c r="N169" s="255"/>
      <c r="O169" s="256"/>
      <c r="P169" s="255"/>
      <c r="Q169" s="257">
        <f>Y164/2</f>
        <v>2500</v>
      </c>
      <c r="R169" s="290"/>
      <c r="S169" s="262">
        <f>Q169/Q171</f>
        <v>0.12646062016288129</v>
      </c>
      <c r="V169" s="263"/>
    </row>
    <row r="170" spans="1:30" x14ac:dyDescent="0.3">
      <c r="A170" s="251" t="s">
        <v>528</v>
      </c>
      <c r="B170" s="252"/>
      <c r="C170" s="252"/>
      <c r="D170" s="252"/>
      <c r="E170" s="252"/>
      <c r="F170" s="253"/>
      <c r="G170" s="252"/>
      <c r="H170" s="252"/>
      <c r="I170" s="254"/>
      <c r="J170" s="254"/>
      <c r="K170" s="254"/>
      <c r="L170" s="254"/>
      <c r="M170" s="252"/>
      <c r="N170" s="255"/>
      <c r="O170" s="256"/>
      <c r="P170" s="255"/>
      <c r="Q170" s="257">
        <f>X164/2</f>
        <v>0</v>
      </c>
      <c r="R170" s="290"/>
      <c r="S170" s="262">
        <f>Q170/Q171</f>
        <v>0</v>
      </c>
    </row>
    <row r="171" spans="1:30" x14ac:dyDescent="0.3">
      <c r="A171" s="251"/>
      <c r="B171" s="252"/>
      <c r="C171" s="252"/>
      <c r="D171" s="252"/>
      <c r="E171" s="252"/>
      <c r="F171" s="253"/>
      <c r="G171" s="252"/>
      <c r="H171" s="252"/>
      <c r="I171" s="254"/>
      <c r="J171" s="254"/>
      <c r="K171" s="254"/>
      <c r="L171" s="254"/>
      <c r="M171" s="252"/>
      <c r="N171" s="255"/>
      <c r="O171" s="256"/>
      <c r="P171" s="255"/>
      <c r="Q171" s="264">
        <f>SUM(Q166:Q170)</f>
        <v>19769</v>
      </c>
      <c r="R171" s="490"/>
      <c r="S171" s="262">
        <f>SUM(S166:S170)</f>
        <v>1</v>
      </c>
    </row>
    <row r="172" spans="1:30" x14ac:dyDescent="0.3">
      <c r="AA172" s="303">
        <f>SUM(AB173:AD173)</f>
        <v>271136</v>
      </c>
      <c r="AB172" s="498" t="s">
        <v>44</v>
      </c>
      <c r="AC172" s="496" t="s">
        <v>45</v>
      </c>
      <c r="AD172" s="497" t="s">
        <v>5</v>
      </c>
    </row>
    <row r="173" spans="1:30" ht="18" x14ac:dyDescent="0.35">
      <c r="A173" s="430" t="s">
        <v>569</v>
      </c>
      <c r="B173" s="431"/>
      <c r="C173" s="431"/>
      <c r="D173" s="432"/>
      <c r="E173" s="432"/>
      <c r="F173" s="433"/>
      <c r="G173" s="432"/>
      <c r="H173" s="432"/>
      <c r="I173" s="434"/>
      <c r="J173" s="434"/>
      <c r="K173" s="434"/>
      <c r="L173" s="434"/>
      <c r="M173" s="431"/>
      <c r="N173" s="435"/>
      <c r="O173" s="436"/>
      <c r="P173" s="435"/>
      <c r="Q173" s="435"/>
      <c r="R173" s="436"/>
      <c r="S173" s="437"/>
      <c r="T173" s="435">
        <f>T164+T130+T99+T70+T43</f>
        <v>326436</v>
      </c>
      <c r="AA173" s="137" t="s">
        <v>601</v>
      </c>
      <c r="AB173" s="552">
        <f>AB164+AB130+AB99+AB70+AB43</f>
        <v>68096</v>
      </c>
      <c r="AC173" s="435">
        <f t="shared" ref="AC173:AD173" si="32">AC164+AC130+AC99+AC70+AC43</f>
        <v>194400</v>
      </c>
      <c r="AD173" s="553">
        <f t="shared" si="32"/>
        <v>8640.0000000000018</v>
      </c>
    </row>
    <row r="174" spans="1:30" x14ac:dyDescent="0.3">
      <c r="S174" s="3" t="s">
        <v>571</v>
      </c>
      <c r="T174" s="99">
        <f>D19-T173</f>
        <v>330960.25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57"/>
  <sheetViews>
    <sheetView workbookViewId="0">
      <selection activeCell="H25" sqref="H25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1166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328</v>
      </c>
      <c r="C2" t="s">
        <v>344</v>
      </c>
      <c r="D2" t="s">
        <v>345</v>
      </c>
      <c r="E2" s="1" t="s">
        <v>46</v>
      </c>
      <c r="F2" s="1" t="s">
        <v>26</v>
      </c>
      <c r="G2" s="2186">
        <v>1</v>
      </c>
      <c r="H2" s="2186">
        <f>VLOOKUP(G2,Pesos!A:B,2,0)</f>
        <v>0.9</v>
      </c>
      <c r="I2" s="1" t="s">
        <v>308</v>
      </c>
      <c r="J2" s="1"/>
      <c r="K2" s="1">
        <v>3</v>
      </c>
      <c r="L2" s="1">
        <v>5</v>
      </c>
      <c r="M2" s="1">
        <v>3</v>
      </c>
      <c r="N2" s="1" t="s">
        <v>24</v>
      </c>
      <c r="O2" s="1">
        <v>3</v>
      </c>
      <c r="P2" s="1"/>
      <c r="Q2" s="1">
        <v>1</v>
      </c>
      <c r="R2" s="1"/>
      <c r="S2" s="1">
        <v>1</v>
      </c>
      <c r="T2" s="5">
        <v>4480</v>
      </c>
      <c r="U2" s="25">
        <v>0.2</v>
      </c>
      <c r="V2" s="25">
        <f>T2*(1-U2)</f>
        <v>3584</v>
      </c>
      <c r="W2" s="25">
        <f>V2*S2*M2</f>
        <v>10752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328</v>
      </c>
      <c r="C3" t="s">
        <v>344</v>
      </c>
      <c r="D3" t="s">
        <v>345</v>
      </c>
      <c r="E3" s="1" t="s">
        <v>47</v>
      </c>
      <c r="F3" s="1" t="s">
        <v>21</v>
      </c>
      <c r="G3" s="2186">
        <v>2</v>
      </c>
      <c r="H3" s="2186">
        <f>VLOOKUP(G3,Pesos!A:B,2,0)</f>
        <v>0.8</v>
      </c>
      <c r="J3" s="1" t="s">
        <v>305</v>
      </c>
      <c r="K3" s="1">
        <v>2</v>
      </c>
      <c r="L3" s="1">
        <v>4</v>
      </c>
      <c r="M3" s="1">
        <v>2</v>
      </c>
      <c r="N3" s="1" t="s">
        <v>24</v>
      </c>
      <c r="O3" s="1">
        <v>2</v>
      </c>
      <c r="S3" s="1">
        <v>1</v>
      </c>
      <c r="T3" s="5">
        <v>5000</v>
      </c>
      <c r="U3" s="24">
        <v>0.25</v>
      </c>
      <c r="V3" s="26">
        <f>T3*(1-U3)</f>
        <v>3750</v>
      </c>
      <c r="W3" s="26">
        <f>V3*S3*M3</f>
        <v>7500</v>
      </c>
      <c r="X3" s="6"/>
      <c r="Y3" s="22"/>
      <c r="Z3" s="1"/>
    </row>
    <row r="4" spans="1:32" x14ac:dyDescent="0.3">
      <c r="A4" t="s">
        <v>327</v>
      </c>
      <c r="B4" t="s">
        <v>328</v>
      </c>
      <c r="C4" t="s">
        <v>344</v>
      </c>
      <c r="D4" t="s">
        <v>345</v>
      </c>
      <c r="E4" s="1" t="s">
        <v>47</v>
      </c>
      <c r="F4" s="1" t="s">
        <v>48</v>
      </c>
      <c r="G4" s="2186">
        <v>3</v>
      </c>
      <c r="H4" s="2186">
        <f>VLOOKUP(G4,Pesos!A:B,2,0)</f>
        <v>0.7</v>
      </c>
      <c r="J4" s="1" t="s">
        <v>305</v>
      </c>
      <c r="K4" s="1">
        <v>1</v>
      </c>
      <c r="L4" s="1">
        <v>2</v>
      </c>
      <c r="M4" s="1">
        <v>2</v>
      </c>
      <c r="N4" s="1" t="s">
        <v>24</v>
      </c>
      <c r="O4" s="1">
        <v>2</v>
      </c>
      <c r="S4" s="1">
        <v>1</v>
      </c>
      <c r="T4" s="5">
        <v>5000</v>
      </c>
      <c r="U4" s="24">
        <v>0.25</v>
      </c>
      <c r="V4" s="26">
        <f t="shared" ref="V4:V17" si="0">T4*(1-U4)</f>
        <v>3750</v>
      </c>
      <c r="W4" s="26">
        <f>V4*S4*M4</f>
        <v>7500</v>
      </c>
      <c r="X4" s="6"/>
      <c r="Y4" s="22"/>
      <c r="Z4" s="1"/>
    </row>
    <row r="5" spans="1:32" x14ac:dyDescent="0.3">
      <c r="A5" t="s">
        <v>327</v>
      </c>
      <c r="B5" t="s">
        <v>328</v>
      </c>
      <c r="C5" t="s">
        <v>344</v>
      </c>
      <c r="D5" t="s">
        <v>345</v>
      </c>
      <c r="E5" s="1" t="s">
        <v>47</v>
      </c>
      <c r="F5" s="1" t="s">
        <v>26</v>
      </c>
      <c r="G5" s="2186">
        <v>1</v>
      </c>
      <c r="H5" s="2186">
        <f>VLOOKUP(G5,Pesos!A:B,2,0)</f>
        <v>0.9</v>
      </c>
      <c r="I5" s="1" t="s">
        <v>305</v>
      </c>
      <c r="K5" s="1">
        <v>3</v>
      </c>
      <c r="L5" s="2" t="s">
        <v>229</v>
      </c>
      <c r="M5" s="1">
        <v>2</v>
      </c>
      <c r="N5" s="1" t="s">
        <v>24</v>
      </c>
      <c r="O5" s="1">
        <v>2</v>
      </c>
      <c r="S5" s="1">
        <v>1</v>
      </c>
      <c r="T5" s="9">
        <v>5500</v>
      </c>
      <c r="U5" s="24">
        <v>0.25</v>
      </c>
      <c r="V5" s="26">
        <f t="shared" si="0"/>
        <v>4125</v>
      </c>
      <c r="W5" s="26">
        <f>V5*S5*M5</f>
        <v>8250</v>
      </c>
      <c r="X5" s="18"/>
      <c r="Y5" s="22"/>
      <c r="Z5" s="1"/>
    </row>
    <row r="6" spans="1:32" x14ac:dyDescent="0.3">
      <c r="G6" s="2186"/>
      <c r="H6" s="2186"/>
      <c r="L6" s="2"/>
      <c r="M6" s="1"/>
      <c r="T6" s="26"/>
      <c r="U6" s="24"/>
      <c r="V6" s="26"/>
      <c r="W6" s="26"/>
      <c r="X6" s="6"/>
      <c r="Y6" s="22"/>
      <c r="Z6" s="1"/>
    </row>
    <row r="7" spans="1:32" x14ac:dyDescent="0.3">
      <c r="A7" t="s">
        <v>340</v>
      </c>
      <c r="B7" t="s">
        <v>328</v>
      </c>
      <c r="C7" t="s">
        <v>344</v>
      </c>
      <c r="D7" t="s">
        <v>345</v>
      </c>
      <c r="E7" s="1" t="s">
        <v>46</v>
      </c>
      <c r="F7" s="1" t="s">
        <v>26</v>
      </c>
      <c r="G7" s="2186">
        <v>3</v>
      </c>
      <c r="H7" s="2186">
        <f>VLOOKUP(G7,Pesos!A:B,2,0)</f>
        <v>0.7</v>
      </c>
      <c r="I7" s="1" t="s">
        <v>308</v>
      </c>
      <c r="K7" s="1">
        <v>2</v>
      </c>
      <c r="L7" s="2" t="s">
        <v>333</v>
      </c>
      <c r="M7" s="1">
        <v>2</v>
      </c>
      <c r="N7" s="1" t="s">
        <v>24</v>
      </c>
      <c r="O7" s="1">
        <v>2</v>
      </c>
      <c r="S7" s="1">
        <v>1</v>
      </c>
      <c r="T7" s="5">
        <v>4480</v>
      </c>
      <c r="U7" s="29">
        <v>0.2</v>
      </c>
      <c r="V7" s="26">
        <f t="shared" si="0"/>
        <v>3584</v>
      </c>
      <c r="W7" s="26">
        <f t="shared" ref="W7:W12" si="1">V7*S7*M7</f>
        <v>7168</v>
      </c>
      <c r="X7" s="6"/>
      <c r="Y7" s="22"/>
      <c r="Z7" s="1"/>
    </row>
    <row r="8" spans="1:32" x14ac:dyDescent="0.3">
      <c r="A8" t="s">
        <v>340</v>
      </c>
      <c r="B8" t="s">
        <v>328</v>
      </c>
      <c r="C8" t="s">
        <v>344</v>
      </c>
      <c r="D8" t="s">
        <v>345</v>
      </c>
      <c r="E8" s="1" t="s">
        <v>47</v>
      </c>
      <c r="F8" s="1" t="s">
        <v>21</v>
      </c>
      <c r="G8" s="2186">
        <v>1</v>
      </c>
      <c r="H8" s="2186">
        <f>VLOOKUP(G8,Pesos!A:B,2,0)</f>
        <v>0.9</v>
      </c>
      <c r="J8" s="1" t="s">
        <v>308</v>
      </c>
      <c r="K8" s="1">
        <v>2</v>
      </c>
      <c r="L8" s="2" t="s">
        <v>346</v>
      </c>
      <c r="M8" s="1">
        <v>2</v>
      </c>
      <c r="N8" s="1" t="s">
        <v>24</v>
      </c>
      <c r="O8" s="1">
        <v>2</v>
      </c>
      <c r="S8" s="1">
        <v>1</v>
      </c>
      <c r="T8" s="5">
        <v>5000</v>
      </c>
      <c r="U8" s="24">
        <v>0.25</v>
      </c>
      <c r="V8" s="26">
        <f t="shared" si="0"/>
        <v>3750</v>
      </c>
      <c r="W8" s="26">
        <f t="shared" si="1"/>
        <v>7500</v>
      </c>
      <c r="X8" s="6"/>
      <c r="Y8" s="22"/>
      <c r="Z8" s="1"/>
    </row>
    <row r="9" spans="1:32" x14ac:dyDescent="0.3">
      <c r="A9" t="s">
        <v>340</v>
      </c>
      <c r="B9" t="s">
        <v>328</v>
      </c>
      <c r="C9" t="s">
        <v>344</v>
      </c>
      <c r="D9" t="s">
        <v>345</v>
      </c>
      <c r="E9" s="1" t="s">
        <v>47</v>
      </c>
      <c r="F9" s="1" t="s">
        <v>48</v>
      </c>
      <c r="G9" s="2186">
        <v>4</v>
      </c>
      <c r="H9" s="2186">
        <f>VLOOKUP(G9,Pesos!A:B,2,0)</f>
        <v>0.6</v>
      </c>
      <c r="J9" s="1" t="s">
        <v>308</v>
      </c>
      <c r="K9" s="1">
        <v>1</v>
      </c>
      <c r="L9" s="2" t="s">
        <v>332</v>
      </c>
      <c r="M9" s="1">
        <v>2</v>
      </c>
      <c r="N9" s="1" t="s">
        <v>24</v>
      </c>
      <c r="O9" s="1">
        <v>2</v>
      </c>
      <c r="S9" s="1">
        <v>1</v>
      </c>
      <c r="T9" s="5">
        <v>5000</v>
      </c>
      <c r="U9" s="24">
        <v>0.25</v>
      </c>
      <c r="V9" s="26">
        <f t="shared" si="0"/>
        <v>3750</v>
      </c>
      <c r="W9" s="26">
        <f t="shared" si="1"/>
        <v>7500</v>
      </c>
      <c r="X9" s="6"/>
      <c r="Y9" s="22"/>
      <c r="Z9" s="1"/>
    </row>
    <row r="10" spans="1:32" x14ac:dyDescent="0.3">
      <c r="A10" t="s">
        <v>340</v>
      </c>
      <c r="B10" t="s">
        <v>328</v>
      </c>
      <c r="C10" t="s">
        <v>344</v>
      </c>
      <c r="D10" t="s">
        <v>345</v>
      </c>
      <c r="E10" s="1" t="s">
        <v>47</v>
      </c>
      <c r="F10" s="1" t="s">
        <v>26</v>
      </c>
      <c r="G10" s="2186">
        <v>3</v>
      </c>
      <c r="H10" s="2186">
        <f>VLOOKUP(G10,Pesos!A:B,2,0)</f>
        <v>0.7</v>
      </c>
      <c r="I10" s="1" t="s">
        <v>308</v>
      </c>
      <c r="K10" s="1">
        <v>1</v>
      </c>
      <c r="L10" s="2" t="s">
        <v>332</v>
      </c>
      <c r="M10" s="1">
        <v>1</v>
      </c>
      <c r="N10" s="1" t="s">
        <v>24</v>
      </c>
      <c r="O10" s="1">
        <v>1</v>
      </c>
      <c r="S10" s="1">
        <v>1</v>
      </c>
      <c r="T10" s="9">
        <v>5500</v>
      </c>
      <c r="U10" s="29">
        <v>0.25</v>
      </c>
      <c r="V10" s="26">
        <f t="shared" si="0"/>
        <v>4125</v>
      </c>
      <c r="W10" s="26">
        <f t="shared" si="1"/>
        <v>4125</v>
      </c>
      <c r="X10" s="6"/>
      <c r="Y10" s="22"/>
      <c r="Z10" s="1"/>
    </row>
    <row r="11" spans="1:32" x14ac:dyDescent="0.3">
      <c r="A11" t="s">
        <v>340</v>
      </c>
      <c r="B11" t="s">
        <v>328</v>
      </c>
      <c r="C11" t="s">
        <v>344</v>
      </c>
      <c r="D11" t="s">
        <v>345</v>
      </c>
      <c r="E11" s="1" t="s">
        <v>41</v>
      </c>
      <c r="F11" s="1" t="s">
        <v>49</v>
      </c>
      <c r="G11" s="2186">
        <v>5</v>
      </c>
      <c r="H11" s="2186">
        <f>VLOOKUP(G11,Pesos!A:B,2,0)</f>
        <v>0.5</v>
      </c>
      <c r="I11" s="1" t="s">
        <v>308</v>
      </c>
      <c r="K11" s="1">
        <v>3</v>
      </c>
      <c r="L11" s="2" t="s">
        <v>330</v>
      </c>
      <c r="M11" s="1">
        <v>8</v>
      </c>
      <c r="N11" s="1" t="s">
        <v>24</v>
      </c>
      <c r="O11" s="1">
        <v>8</v>
      </c>
      <c r="S11" s="1">
        <v>1</v>
      </c>
      <c r="T11" s="9">
        <v>1600</v>
      </c>
      <c r="U11" s="29">
        <v>0.7</v>
      </c>
      <c r="V11" s="26">
        <f t="shared" si="0"/>
        <v>480.00000000000006</v>
      </c>
      <c r="W11" s="26">
        <f t="shared" si="1"/>
        <v>3840.0000000000005</v>
      </c>
      <c r="X11" s="6"/>
      <c r="Y11" s="22"/>
      <c r="Z11" s="1"/>
    </row>
    <row r="12" spans="1:32" x14ac:dyDescent="0.3">
      <c r="A12" t="s">
        <v>340</v>
      </c>
      <c r="B12" t="s">
        <v>328</v>
      </c>
      <c r="C12" t="s">
        <v>344</v>
      </c>
      <c r="D12" t="s">
        <v>345</v>
      </c>
      <c r="E12" s="1" t="s">
        <v>47</v>
      </c>
      <c r="F12" s="1" t="s">
        <v>50</v>
      </c>
      <c r="G12" s="2186">
        <v>2</v>
      </c>
      <c r="H12" s="2186">
        <f>VLOOKUP(G12,Pesos!A:B,2,0)</f>
        <v>0.8</v>
      </c>
      <c r="I12" s="1" t="s">
        <v>308</v>
      </c>
      <c r="K12" s="1">
        <v>2</v>
      </c>
      <c r="L12" s="2" t="s">
        <v>229</v>
      </c>
      <c r="M12" s="1">
        <v>4</v>
      </c>
      <c r="N12" s="1" t="s">
        <v>24</v>
      </c>
      <c r="O12" s="1">
        <v>4</v>
      </c>
      <c r="S12" s="1">
        <v>1</v>
      </c>
      <c r="T12" s="9">
        <v>2000</v>
      </c>
      <c r="U12" s="29">
        <v>0.45</v>
      </c>
      <c r="V12" s="26">
        <f t="shared" si="0"/>
        <v>1100</v>
      </c>
      <c r="W12" s="26">
        <f t="shared" si="1"/>
        <v>4400</v>
      </c>
      <c r="X12" s="6"/>
      <c r="Y12" s="22"/>
      <c r="Z12" s="1"/>
    </row>
    <row r="13" spans="1:32" x14ac:dyDescent="0.3">
      <c r="G13" s="2186"/>
      <c r="H13" s="2186"/>
      <c r="L13" s="2"/>
      <c r="M13" s="1"/>
      <c r="T13" s="26"/>
      <c r="U13" s="24"/>
      <c r="V13" s="26"/>
      <c r="W13" s="26"/>
      <c r="X13" s="6"/>
      <c r="Y13" s="22"/>
      <c r="Z13" s="1"/>
    </row>
    <row r="14" spans="1:32" x14ac:dyDescent="0.3">
      <c r="A14" t="s">
        <v>342</v>
      </c>
      <c r="B14" t="s">
        <v>328</v>
      </c>
      <c r="C14" t="s">
        <v>344</v>
      </c>
      <c r="D14" t="s">
        <v>345</v>
      </c>
      <c r="E14" s="1" t="s">
        <v>46</v>
      </c>
      <c r="F14" s="1" t="s">
        <v>26</v>
      </c>
      <c r="G14" s="2186">
        <v>1</v>
      </c>
      <c r="H14" s="2186">
        <f>VLOOKUP(G14,Pesos!A:B,2,0)</f>
        <v>0.9</v>
      </c>
      <c r="I14" s="1" t="s">
        <v>308</v>
      </c>
      <c r="K14" s="1">
        <v>2</v>
      </c>
      <c r="L14" s="2" t="s">
        <v>333</v>
      </c>
      <c r="M14" s="1">
        <v>2</v>
      </c>
      <c r="N14" s="1" t="s">
        <v>24</v>
      </c>
      <c r="O14" s="1">
        <v>2</v>
      </c>
      <c r="S14" s="1">
        <v>1</v>
      </c>
      <c r="T14" s="5">
        <v>4480</v>
      </c>
      <c r="U14" s="29">
        <v>0.2</v>
      </c>
      <c r="V14" s="26">
        <f t="shared" si="0"/>
        <v>3584</v>
      </c>
      <c r="W14" s="26">
        <f>V14*S14*M14</f>
        <v>7168</v>
      </c>
      <c r="X14" s="6"/>
      <c r="Y14" s="22"/>
      <c r="Z14" s="1"/>
    </row>
    <row r="15" spans="1:32" x14ac:dyDescent="0.3">
      <c r="A15" t="s">
        <v>342</v>
      </c>
      <c r="B15" t="s">
        <v>328</v>
      </c>
      <c r="C15" t="s">
        <v>344</v>
      </c>
      <c r="D15" t="s">
        <v>345</v>
      </c>
      <c r="E15" s="1" t="s">
        <v>47</v>
      </c>
      <c r="F15" s="1" t="s">
        <v>21</v>
      </c>
      <c r="G15" s="2186">
        <v>2</v>
      </c>
      <c r="H15" s="2186">
        <f>VLOOKUP(G15,Pesos!A:B,2,0)</f>
        <v>0.8</v>
      </c>
      <c r="J15" s="1" t="s">
        <v>308</v>
      </c>
      <c r="K15" s="1">
        <v>2</v>
      </c>
      <c r="L15" s="2" t="s">
        <v>346</v>
      </c>
      <c r="M15" s="1">
        <v>2</v>
      </c>
      <c r="N15" s="1" t="s">
        <v>24</v>
      </c>
      <c r="O15" s="1">
        <v>2</v>
      </c>
      <c r="S15" s="1">
        <v>1</v>
      </c>
      <c r="T15" s="5">
        <v>5000</v>
      </c>
      <c r="U15" s="24">
        <v>0.25</v>
      </c>
      <c r="V15" s="26">
        <f t="shared" si="0"/>
        <v>3750</v>
      </c>
      <c r="W15" s="26">
        <f>V15*S15*M15</f>
        <v>7500</v>
      </c>
      <c r="X15" s="6"/>
      <c r="Y15" s="22"/>
      <c r="Z15" s="1"/>
    </row>
    <row r="16" spans="1:32" x14ac:dyDescent="0.3">
      <c r="A16" t="s">
        <v>342</v>
      </c>
      <c r="B16" t="s">
        <v>328</v>
      </c>
      <c r="C16" t="s">
        <v>344</v>
      </c>
      <c r="D16" t="s">
        <v>345</v>
      </c>
      <c r="E16" s="1" t="s">
        <v>47</v>
      </c>
      <c r="F16" s="1" t="s">
        <v>48</v>
      </c>
      <c r="G16" s="2186">
        <v>3</v>
      </c>
      <c r="H16" s="2186">
        <f>VLOOKUP(G16,Pesos!A:B,2,0)</f>
        <v>0.7</v>
      </c>
      <c r="J16" s="1" t="s">
        <v>308</v>
      </c>
      <c r="K16" s="1">
        <v>1</v>
      </c>
      <c r="L16" s="2" t="s">
        <v>332</v>
      </c>
      <c r="M16" s="1">
        <v>2</v>
      </c>
      <c r="N16" s="1" t="s">
        <v>24</v>
      </c>
      <c r="O16" s="1">
        <v>2</v>
      </c>
      <c r="S16" s="1">
        <v>1</v>
      </c>
      <c r="T16" s="5">
        <v>5000</v>
      </c>
      <c r="U16" s="24">
        <v>0.25</v>
      </c>
      <c r="V16" s="26">
        <f t="shared" si="0"/>
        <v>3750</v>
      </c>
      <c r="W16" s="26">
        <f>V16*S16*M16</f>
        <v>7500</v>
      </c>
      <c r="X16" s="6"/>
      <c r="Y16" s="22"/>
      <c r="Z16" s="1"/>
    </row>
    <row r="17" spans="1:26" x14ac:dyDescent="0.3">
      <c r="A17" t="s">
        <v>342</v>
      </c>
      <c r="B17" t="s">
        <v>328</v>
      </c>
      <c r="C17" t="s">
        <v>344</v>
      </c>
      <c r="D17" t="s">
        <v>345</v>
      </c>
      <c r="E17" s="1" t="s">
        <v>47</v>
      </c>
      <c r="F17" s="1" t="s">
        <v>26</v>
      </c>
      <c r="G17" s="2186">
        <v>1</v>
      </c>
      <c r="H17" s="2186">
        <f>VLOOKUP(G17,Pesos!A:B,2,0)</f>
        <v>0.9</v>
      </c>
      <c r="I17" s="1" t="s">
        <v>308</v>
      </c>
      <c r="K17" s="1">
        <v>1</v>
      </c>
      <c r="L17" s="2" t="s">
        <v>332</v>
      </c>
      <c r="M17" s="1">
        <v>1</v>
      </c>
      <c r="N17" s="1" t="s">
        <v>24</v>
      </c>
      <c r="O17" s="1">
        <v>1</v>
      </c>
      <c r="S17" s="1">
        <v>1</v>
      </c>
      <c r="T17" s="9">
        <v>5500</v>
      </c>
      <c r="U17" s="29">
        <v>0.25</v>
      </c>
      <c r="V17" s="26">
        <f t="shared" si="0"/>
        <v>4125</v>
      </c>
      <c r="W17" s="26">
        <f>V17*S17*M17</f>
        <v>4125</v>
      </c>
      <c r="X17" s="6"/>
      <c r="Y17" s="22"/>
      <c r="Z17" s="1"/>
    </row>
    <row r="18" spans="1:26" x14ac:dyDescent="0.3">
      <c r="G18" s="2186"/>
      <c r="H18" s="2186"/>
      <c r="L18" s="2"/>
      <c r="M18" s="1"/>
      <c r="T18" s="26"/>
      <c r="U18" s="24"/>
      <c r="V18" s="26"/>
      <c r="W18" s="26"/>
      <c r="X18" s="22"/>
      <c r="Y18" s="22"/>
      <c r="Z18" s="1"/>
    </row>
    <row r="19" spans="1:26" x14ac:dyDescent="0.3">
      <c r="A19" t="s">
        <v>343</v>
      </c>
      <c r="B19" t="s">
        <v>328</v>
      </c>
      <c r="C19" t="s">
        <v>344</v>
      </c>
      <c r="D19" t="s">
        <v>345</v>
      </c>
      <c r="E19" s="1" t="s">
        <v>46</v>
      </c>
      <c r="F19" s="1" t="s">
        <v>26</v>
      </c>
      <c r="G19" s="2186">
        <v>3</v>
      </c>
      <c r="H19" s="2186">
        <f>VLOOKUP(G19,Pesos!A:B,2,0)</f>
        <v>0.7</v>
      </c>
      <c r="I19" s="1" t="s">
        <v>308</v>
      </c>
      <c r="K19" s="1">
        <v>2</v>
      </c>
      <c r="L19" s="1">
        <v>3</v>
      </c>
      <c r="M19" s="1">
        <v>1</v>
      </c>
      <c r="N19" s="1" t="s">
        <v>24</v>
      </c>
      <c r="O19" s="1">
        <v>1</v>
      </c>
      <c r="S19" s="1">
        <v>1</v>
      </c>
      <c r="T19" s="5">
        <v>4480</v>
      </c>
      <c r="U19" s="29">
        <v>0.2</v>
      </c>
      <c r="V19" s="25">
        <f>T19*(1-U19)</f>
        <v>3584</v>
      </c>
      <c r="W19" s="25">
        <f t="shared" ref="W19:W24" si="2">V19*S19*M19</f>
        <v>3584</v>
      </c>
      <c r="X19" s="18"/>
    </row>
    <row r="20" spans="1:26" x14ac:dyDescent="0.3">
      <c r="A20" t="s">
        <v>343</v>
      </c>
      <c r="B20" t="s">
        <v>328</v>
      </c>
      <c r="C20" t="s">
        <v>344</v>
      </c>
      <c r="D20" t="s">
        <v>345</v>
      </c>
      <c r="E20" s="1" t="s">
        <v>47</v>
      </c>
      <c r="F20" s="1" t="s">
        <v>21</v>
      </c>
      <c r="G20" s="2186">
        <v>1</v>
      </c>
      <c r="H20" s="2186">
        <f>VLOOKUP(G20,Pesos!A:B,2,0)</f>
        <v>0.9</v>
      </c>
      <c r="J20" s="1" t="s">
        <v>308</v>
      </c>
      <c r="K20" s="1">
        <v>2</v>
      </c>
      <c r="L20" s="1">
        <v>4</v>
      </c>
      <c r="M20" s="1">
        <v>2</v>
      </c>
      <c r="N20" s="1" t="s">
        <v>24</v>
      </c>
      <c r="O20" s="1">
        <v>2</v>
      </c>
      <c r="S20" s="1">
        <v>1</v>
      </c>
      <c r="T20" s="5">
        <v>5000</v>
      </c>
      <c r="U20" s="24">
        <v>0.25</v>
      </c>
      <c r="V20" s="26">
        <f>T20*(1-U20)</f>
        <v>3750</v>
      </c>
      <c r="W20" s="26">
        <f t="shared" si="2"/>
        <v>7500</v>
      </c>
      <c r="X20" s="6"/>
    </row>
    <row r="21" spans="1:26" x14ac:dyDescent="0.3">
      <c r="A21" t="s">
        <v>343</v>
      </c>
      <c r="B21" t="s">
        <v>328</v>
      </c>
      <c r="C21" t="s">
        <v>344</v>
      </c>
      <c r="D21" t="s">
        <v>345</v>
      </c>
      <c r="E21" s="1" t="s">
        <v>47</v>
      </c>
      <c r="F21" s="1" t="s">
        <v>48</v>
      </c>
      <c r="G21" s="2186">
        <v>4</v>
      </c>
      <c r="H21" s="2186">
        <f>VLOOKUP(G21,Pesos!A:B,2,0)</f>
        <v>0.6</v>
      </c>
      <c r="J21" s="1" t="s">
        <v>308</v>
      </c>
      <c r="K21" s="1">
        <v>1</v>
      </c>
      <c r="L21" s="1">
        <v>2</v>
      </c>
      <c r="M21" s="1">
        <v>2</v>
      </c>
      <c r="N21" s="1" t="s">
        <v>24</v>
      </c>
      <c r="O21" s="1">
        <v>2</v>
      </c>
      <c r="S21" s="1">
        <v>1</v>
      </c>
      <c r="T21" s="5">
        <v>5000</v>
      </c>
      <c r="U21" s="24">
        <v>0.25</v>
      </c>
      <c r="V21" s="26">
        <f t="shared" ref="V21:V31" si="3">T21*(1-U21)</f>
        <v>3750</v>
      </c>
      <c r="W21" s="26">
        <f t="shared" si="2"/>
        <v>7500</v>
      </c>
      <c r="X21" s="6"/>
    </row>
    <row r="22" spans="1:26" x14ac:dyDescent="0.3">
      <c r="A22" t="s">
        <v>343</v>
      </c>
      <c r="B22" t="s">
        <v>328</v>
      </c>
      <c r="C22" t="s">
        <v>344</v>
      </c>
      <c r="D22" t="s">
        <v>345</v>
      </c>
      <c r="E22" s="1" t="s">
        <v>47</v>
      </c>
      <c r="F22" s="1" t="s">
        <v>26</v>
      </c>
      <c r="G22" s="2186">
        <v>3</v>
      </c>
      <c r="H22" s="2186">
        <f>VLOOKUP(G22,Pesos!A:B,2,0)</f>
        <v>0.7</v>
      </c>
      <c r="I22" s="1" t="s">
        <v>308</v>
      </c>
      <c r="K22" s="1">
        <v>1</v>
      </c>
      <c r="L22" s="1">
        <v>2</v>
      </c>
      <c r="M22" s="1">
        <v>1</v>
      </c>
      <c r="N22" s="1" t="s">
        <v>24</v>
      </c>
      <c r="O22" s="1">
        <v>1</v>
      </c>
      <c r="S22" s="1">
        <v>1</v>
      </c>
      <c r="T22" s="9">
        <v>5500</v>
      </c>
      <c r="U22" s="29">
        <v>0.25</v>
      </c>
      <c r="V22" s="26">
        <f t="shared" si="3"/>
        <v>4125</v>
      </c>
      <c r="W22" s="26">
        <f t="shared" si="2"/>
        <v>4125</v>
      </c>
      <c r="X22" s="6"/>
    </row>
    <row r="23" spans="1:26" x14ac:dyDescent="0.3">
      <c r="A23" t="s">
        <v>343</v>
      </c>
      <c r="B23" t="s">
        <v>328</v>
      </c>
      <c r="C23" t="s">
        <v>344</v>
      </c>
      <c r="D23" t="s">
        <v>345</v>
      </c>
      <c r="E23" s="1" t="s">
        <v>41</v>
      </c>
      <c r="F23" s="1" t="s">
        <v>49</v>
      </c>
      <c r="G23" s="2186">
        <v>5</v>
      </c>
      <c r="H23" s="2186">
        <f>VLOOKUP(G23,Pesos!A:B,2,0)</f>
        <v>0.5</v>
      </c>
      <c r="I23" s="1" t="s">
        <v>308</v>
      </c>
      <c r="K23" s="1">
        <v>3</v>
      </c>
      <c r="L23" s="1">
        <v>8</v>
      </c>
      <c r="M23" s="1">
        <v>6</v>
      </c>
      <c r="N23" s="1" t="s">
        <v>24</v>
      </c>
      <c r="O23" s="1">
        <v>6</v>
      </c>
      <c r="S23" s="1">
        <v>1</v>
      </c>
      <c r="T23" s="9">
        <v>1600</v>
      </c>
      <c r="U23" s="29">
        <v>0.7</v>
      </c>
      <c r="V23" s="26">
        <f t="shared" si="3"/>
        <v>480.00000000000006</v>
      </c>
      <c r="W23" s="26">
        <f t="shared" si="2"/>
        <v>2880.0000000000005</v>
      </c>
      <c r="X23" s="6"/>
    </row>
    <row r="24" spans="1:26" x14ac:dyDescent="0.3">
      <c r="A24" t="s">
        <v>343</v>
      </c>
      <c r="B24" t="s">
        <v>328</v>
      </c>
      <c r="C24" t="s">
        <v>344</v>
      </c>
      <c r="D24" t="s">
        <v>345</v>
      </c>
      <c r="E24" s="1" t="s">
        <v>47</v>
      </c>
      <c r="F24" s="1" t="s">
        <v>50</v>
      </c>
      <c r="G24" s="2186">
        <v>2</v>
      </c>
      <c r="H24" s="2186">
        <f>VLOOKUP(G24,Pesos!A:B,2,0)</f>
        <v>0.8</v>
      </c>
      <c r="I24" s="1" t="s">
        <v>308</v>
      </c>
      <c r="K24" s="1">
        <v>2</v>
      </c>
      <c r="L24" s="1">
        <v>5</v>
      </c>
      <c r="M24" s="1">
        <v>3</v>
      </c>
      <c r="N24" s="1" t="s">
        <v>24</v>
      </c>
      <c r="O24" s="1">
        <v>3</v>
      </c>
      <c r="S24" s="1">
        <v>1</v>
      </c>
      <c r="T24" s="9">
        <v>2000</v>
      </c>
      <c r="U24" s="29">
        <v>0.45</v>
      </c>
      <c r="V24" s="26">
        <f t="shared" si="3"/>
        <v>1100</v>
      </c>
      <c r="W24" s="26">
        <f t="shared" si="2"/>
        <v>3300</v>
      </c>
      <c r="X24" s="6"/>
    </row>
    <row r="25" spans="1:26" x14ac:dyDescent="0.3">
      <c r="G25" s="2186"/>
      <c r="H25" s="2186"/>
      <c r="M25" s="1"/>
      <c r="T25" s="26"/>
      <c r="U25" s="24"/>
      <c r="V25" s="26"/>
      <c r="W25" s="26"/>
      <c r="X25" s="6"/>
    </row>
    <row r="26" spans="1:26" x14ac:dyDescent="0.3">
      <c r="A26" t="s">
        <v>326</v>
      </c>
      <c r="B26" t="s">
        <v>328</v>
      </c>
      <c r="C26" t="s">
        <v>344</v>
      </c>
      <c r="D26" t="s">
        <v>345</v>
      </c>
      <c r="E26" s="1" t="s">
        <v>46</v>
      </c>
      <c r="F26" s="1" t="s">
        <v>26</v>
      </c>
      <c r="G26" s="2186">
        <v>3</v>
      </c>
      <c r="H26" s="2186">
        <f>VLOOKUP(G26,Pesos!A:B,2,0)</f>
        <v>0.7</v>
      </c>
      <c r="I26" s="1" t="s">
        <v>308</v>
      </c>
      <c r="K26" s="1">
        <v>2</v>
      </c>
      <c r="L26" s="1">
        <v>3</v>
      </c>
      <c r="M26" s="1">
        <v>1</v>
      </c>
      <c r="N26" s="1" t="s">
        <v>24</v>
      </c>
      <c r="O26" s="1">
        <v>1</v>
      </c>
      <c r="R26" s="18"/>
      <c r="S26" s="1">
        <v>1</v>
      </c>
      <c r="T26" s="5">
        <v>4480</v>
      </c>
      <c r="U26" s="1">
        <v>0.2</v>
      </c>
      <c r="V26" s="26">
        <f t="shared" si="3"/>
        <v>3584</v>
      </c>
      <c r="W26" s="26">
        <f t="shared" ref="W26:W31" si="4">V26*S26*M26</f>
        <v>3584</v>
      </c>
      <c r="X26" s="6"/>
    </row>
    <row r="27" spans="1:26" x14ac:dyDescent="0.3">
      <c r="A27" t="s">
        <v>326</v>
      </c>
      <c r="B27" t="s">
        <v>328</v>
      </c>
      <c r="C27" t="s">
        <v>344</v>
      </c>
      <c r="D27" t="s">
        <v>345</v>
      </c>
      <c r="E27" s="1" t="s">
        <v>47</v>
      </c>
      <c r="F27" s="1" t="s">
        <v>21</v>
      </c>
      <c r="G27" s="2186">
        <v>1</v>
      </c>
      <c r="H27" s="2186">
        <f>VLOOKUP(G27,Pesos!A:B,2,0)</f>
        <v>0.9</v>
      </c>
      <c r="J27" s="1" t="s">
        <v>308</v>
      </c>
      <c r="K27" s="1">
        <v>2</v>
      </c>
      <c r="L27" s="1">
        <v>4</v>
      </c>
      <c r="M27" s="1">
        <v>1</v>
      </c>
      <c r="N27" s="1" t="s">
        <v>24</v>
      </c>
      <c r="O27" s="1">
        <v>1</v>
      </c>
      <c r="R27" s="6"/>
      <c r="S27" s="1">
        <v>1</v>
      </c>
      <c r="T27" s="5">
        <v>5000</v>
      </c>
      <c r="U27" s="1">
        <v>0.25</v>
      </c>
      <c r="V27" s="26">
        <f t="shared" si="3"/>
        <v>3750</v>
      </c>
      <c r="W27" s="26">
        <f t="shared" si="4"/>
        <v>3750</v>
      </c>
      <c r="X27" s="6"/>
    </row>
    <row r="28" spans="1:26" x14ac:dyDescent="0.3">
      <c r="A28" t="s">
        <v>326</v>
      </c>
      <c r="B28" t="s">
        <v>328</v>
      </c>
      <c r="C28" t="s">
        <v>344</v>
      </c>
      <c r="D28" t="s">
        <v>345</v>
      </c>
      <c r="E28" s="1" t="s">
        <v>47</v>
      </c>
      <c r="F28" s="1" t="s">
        <v>48</v>
      </c>
      <c r="G28" s="2186">
        <v>4</v>
      </c>
      <c r="H28" s="2186">
        <f>VLOOKUP(G28,Pesos!A:B,2,0)</f>
        <v>0.6</v>
      </c>
      <c r="J28" s="1" t="s">
        <v>308</v>
      </c>
      <c r="K28" s="1">
        <v>1</v>
      </c>
      <c r="L28" s="1">
        <v>2</v>
      </c>
      <c r="M28" s="1">
        <v>1</v>
      </c>
      <c r="N28" s="1" t="s">
        <v>24</v>
      </c>
      <c r="O28" s="1">
        <v>1</v>
      </c>
      <c r="R28" s="6"/>
      <c r="S28" s="1">
        <v>1</v>
      </c>
      <c r="T28" s="5">
        <v>5000</v>
      </c>
      <c r="U28" s="1">
        <v>0.25</v>
      </c>
      <c r="V28" s="26">
        <f t="shared" si="3"/>
        <v>3750</v>
      </c>
      <c r="W28" s="26">
        <f t="shared" si="4"/>
        <v>3750</v>
      </c>
      <c r="X28" s="6"/>
    </row>
    <row r="29" spans="1:26" x14ac:dyDescent="0.3">
      <c r="A29" t="s">
        <v>326</v>
      </c>
      <c r="B29" t="s">
        <v>328</v>
      </c>
      <c r="C29" t="s">
        <v>344</v>
      </c>
      <c r="D29" t="s">
        <v>345</v>
      </c>
      <c r="E29" s="1" t="s">
        <v>47</v>
      </c>
      <c r="F29" s="1" t="s">
        <v>26</v>
      </c>
      <c r="G29" s="2186">
        <v>3</v>
      </c>
      <c r="H29" s="2186">
        <f>VLOOKUP(G29,Pesos!A:B,2,0)</f>
        <v>0.7</v>
      </c>
      <c r="I29" s="1" t="s">
        <v>308</v>
      </c>
      <c r="K29" s="1">
        <v>1</v>
      </c>
      <c r="L29" s="1">
        <v>2</v>
      </c>
      <c r="M29" s="1">
        <v>1</v>
      </c>
      <c r="N29" s="1" t="s">
        <v>24</v>
      </c>
      <c r="O29" s="1">
        <v>1</v>
      </c>
      <c r="R29" s="18"/>
      <c r="S29" s="1">
        <v>1</v>
      </c>
      <c r="T29" s="9">
        <v>5500</v>
      </c>
      <c r="U29" s="1">
        <v>0.25</v>
      </c>
      <c r="V29" s="26">
        <f t="shared" si="3"/>
        <v>4125</v>
      </c>
      <c r="W29" s="26">
        <f t="shared" si="4"/>
        <v>4125</v>
      </c>
      <c r="X29" s="6"/>
    </row>
    <row r="30" spans="1:26" x14ac:dyDescent="0.3">
      <c r="A30" t="s">
        <v>326</v>
      </c>
      <c r="B30" t="s">
        <v>328</v>
      </c>
      <c r="C30" t="s">
        <v>344</v>
      </c>
      <c r="D30" t="s">
        <v>345</v>
      </c>
      <c r="E30" s="1" t="s">
        <v>41</v>
      </c>
      <c r="F30" s="1" t="s">
        <v>49</v>
      </c>
      <c r="G30" s="2186">
        <v>5</v>
      </c>
      <c r="H30" s="2186">
        <f>VLOOKUP(G30,Pesos!A:B,2,0)</f>
        <v>0.5</v>
      </c>
      <c r="I30" s="1" t="s">
        <v>308</v>
      </c>
      <c r="K30" s="1">
        <v>3</v>
      </c>
      <c r="L30" s="1">
        <v>8</v>
      </c>
      <c r="M30" s="1">
        <v>2</v>
      </c>
      <c r="N30" s="1" t="s">
        <v>24</v>
      </c>
      <c r="O30" s="1">
        <v>2</v>
      </c>
      <c r="R30" s="18"/>
      <c r="S30" s="1">
        <v>1</v>
      </c>
      <c r="T30" s="9">
        <v>1600</v>
      </c>
      <c r="U30" s="1">
        <v>0.7</v>
      </c>
      <c r="V30" s="26">
        <f t="shared" si="3"/>
        <v>480.00000000000006</v>
      </c>
      <c r="W30" s="26">
        <f t="shared" si="4"/>
        <v>960.00000000000011</v>
      </c>
      <c r="X30" s="6"/>
    </row>
    <row r="31" spans="1:26" x14ac:dyDescent="0.3">
      <c r="A31" t="s">
        <v>326</v>
      </c>
      <c r="B31" t="s">
        <v>328</v>
      </c>
      <c r="C31" t="s">
        <v>344</v>
      </c>
      <c r="D31" t="s">
        <v>345</v>
      </c>
      <c r="E31" s="1" t="s">
        <v>47</v>
      </c>
      <c r="F31" s="1" t="s">
        <v>50</v>
      </c>
      <c r="G31" s="2186">
        <v>2</v>
      </c>
      <c r="H31" s="2186">
        <f>VLOOKUP(G31,Pesos!A:B,2,0)</f>
        <v>0.8</v>
      </c>
      <c r="I31" s="1" t="s">
        <v>308</v>
      </c>
      <c r="K31" s="1">
        <v>2</v>
      </c>
      <c r="L31" s="1">
        <v>5</v>
      </c>
      <c r="M31" s="1">
        <v>1</v>
      </c>
      <c r="N31" s="1" t="s">
        <v>24</v>
      </c>
      <c r="O31" s="1">
        <v>1</v>
      </c>
      <c r="R31" s="18"/>
      <c r="S31" s="1">
        <v>1</v>
      </c>
      <c r="T31" s="9">
        <v>2000</v>
      </c>
      <c r="U31" s="1">
        <v>0.45</v>
      </c>
      <c r="V31" s="26">
        <f t="shared" si="3"/>
        <v>1100</v>
      </c>
      <c r="W31" s="26">
        <f t="shared" si="4"/>
        <v>1100</v>
      </c>
      <c r="X31" s="6"/>
    </row>
    <row r="36" spans="1:8" x14ac:dyDescent="0.3">
      <c r="A36" s="47"/>
      <c r="E36" s="43" t="s">
        <v>1158</v>
      </c>
      <c r="F36" s="43" t="s">
        <v>1159</v>
      </c>
      <c r="G36" s="43" t="s">
        <v>1160</v>
      </c>
    </row>
    <row r="37" spans="1:8" x14ac:dyDescent="0.3">
      <c r="A37" s="47" t="s">
        <v>1161</v>
      </c>
      <c r="B37" s="2174"/>
      <c r="C37" s="2174"/>
      <c r="D37" s="2174"/>
      <c r="E37" s="2181">
        <f>F37*(1-10%)</f>
        <v>4160.2</v>
      </c>
      <c r="F37" s="427">
        <f>'BOA VISTA'!T46</f>
        <v>4622.4444444444443</v>
      </c>
      <c r="G37" s="427">
        <f>F37*(1+15%)</f>
        <v>5315.8111111111102</v>
      </c>
    </row>
    <row r="38" spans="1:8" x14ac:dyDescent="0.3">
      <c r="A38" s="47" t="s">
        <v>1162</v>
      </c>
      <c r="B38" s="2174"/>
      <c r="C38" s="2174"/>
      <c r="D38" s="2174"/>
      <c r="E38" s="2181">
        <f>F38*(1-25%)</f>
        <v>1663.1447368421054</v>
      </c>
      <c r="F38" s="427">
        <f>'BOA VISTA'!T73</f>
        <v>2217.5263157894738</v>
      </c>
      <c r="G38" s="427">
        <f>F38*(1+5%)</f>
        <v>2328.4026315789474</v>
      </c>
    </row>
    <row r="39" spans="1:8" x14ac:dyDescent="0.3">
      <c r="A39" s="47" t="s">
        <v>550</v>
      </c>
      <c r="B39" s="2174"/>
      <c r="C39" s="2174"/>
      <c r="D39" s="2174"/>
      <c r="E39" s="2181">
        <f>F39*(1-15%)</f>
        <v>3860.5785714285716</v>
      </c>
      <c r="F39" s="427">
        <f>'BOA VISTA'!T102</f>
        <v>4541.8571428571431</v>
      </c>
      <c r="G39" s="427">
        <f>F39*(1+15%)</f>
        <v>5223.1357142857141</v>
      </c>
    </row>
    <row r="40" spans="1:8" x14ac:dyDescent="0.3">
      <c r="A40" s="47" t="s">
        <v>679</v>
      </c>
      <c r="B40" s="2174"/>
      <c r="C40" s="2174"/>
      <c r="D40" s="2174"/>
      <c r="E40" s="2181">
        <f>F40*(1-25%)</f>
        <v>1719.4499999999998</v>
      </c>
      <c r="F40" s="427">
        <f>'BOA VISTA'!T133</f>
        <v>2292.6</v>
      </c>
      <c r="G40" s="427">
        <f>F40*(1+5%)</f>
        <v>2407.23</v>
      </c>
    </row>
    <row r="41" spans="1:8" x14ac:dyDescent="0.3">
      <c r="A41" s="47" t="s">
        <v>568</v>
      </c>
      <c r="B41" s="2174"/>
      <c r="C41" s="2174"/>
      <c r="D41" s="2174"/>
      <c r="E41" s="2181">
        <f>F41*(1-25%)</f>
        <v>2118.1071428571431</v>
      </c>
      <c r="F41" s="427">
        <f>'BOA VISTA'!T167</f>
        <v>2824.1428571428573</v>
      </c>
      <c r="G41" s="427">
        <f>F41*(1+5%)</f>
        <v>2965.3500000000004</v>
      </c>
    </row>
    <row r="42" spans="1:8" x14ac:dyDescent="0.3">
      <c r="A42" s="47"/>
      <c r="B42" s="47"/>
      <c r="C42" s="47"/>
      <c r="D42" s="47"/>
      <c r="E42" s="48"/>
    </row>
    <row r="43" spans="1:8" x14ac:dyDescent="0.3">
      <c r="A43" s="47"/>
      <c r="B43" s="46"/>
      <c r="C43" s="46"/>
      <c r="D43" s="46"/>
      <c r="E43" s="2314" t="s">
        <v>1163</v>
      </c>
      <c r="F43" s="2315"/>
      <c r="G43" s="2315"/>
      <c r="H43" s="2316"/>
    </row>
    <row r="44" spans="1:8" x14ac:dyDescent="0.3">
      <c r="A44" s="47" t="s">
        <v>1161</v>
      </c>
      <c r="B44" s="2175"/>
      <c r="C44" s="2175"/>
      <c r="D44" s="2175"/>
      <c r="E44" s="2175">
        <v>1</v>
      </c>
      <c r="G44" s="304"/>
    </row>
    <row r="45" spans="1:8" x14ac:dyDescent="0.3">
      <c r="A45" s="47" t="s">
        <v>1162</v>
      </c>
      <c r="B45" s="2175"/>
      <c r="C45" s="2175"/>
      <c r="D45" s="2175"/>
      <c r="E45" s="2175">
        <v>1</v>
      </c>
      <c r="F45" s="3"/>
      <c r="G45" s="3"/>
      <c r="H45" s="3"/>
    </row>
    <row r="46" spans="1:8" x14ac:dyDescent="0.3">
      <c r="A46" s="47" t="s">
        <v>550</v>
      </c>
      <c r="B46" s="2175"/>
      <c r="C46" s="2175"/>
      <c r="D46" s="2175"/>
      <c r="E46" s="2175">
        <v>1</v>
      </c>
      <c r="G46" s="3"/>
    </row>
    <row r="47" spans="1:8" x14ac:dyDescent="0.3">
      <c r="A47" s="47" t="s">
        <v>679</v>
      </c>
      <c r="B47" s="2175"/>
      <c r="C47" s="2175"/>
      <c r="D47" s="2175"/>
      <c r="E47" s="2175">
        <v>1</v>
      </c>
      <c r="F47" s="3"/>
      <c r="G47" s="3"/>
      <c r="H47" s="3"/>
    </row>
    <row r="48" spans="1:8" x14ac:dyDescent="0.3">
      <c r="A48" s="47" t="s">
        <v>568</v>
      </c>
      <c r="B48" s="47"/>
      <c r="C48" s="47"/>
      <c r="D48" s="47"/>
      <c r="E48" s="2175">
        <v>1</v>
      </c>
      <c r="F48" s="3"/>
      <c r="G48" s="3"/>
    </row>
    <row r="49" spans="1:9" x14ac:dyDescent="0.3">
      <c r="A49" s="47"/>
      <c r="B49" s="47"/>
      <c r="C49" s="47"/>
      <c r="D49" s="47"/>
      <c r="E49" s="48"/>
    </row>
    <row r="50" spans="1:9" x14ac:dyDescent="0.3">
      <c r="A50" s="47"/>
      <c r="B50" s="47"/>
      <c r="C50" s="47"/>
      <c r="D50" s="47"/>
      <c r="E50" s="48"/>
    </row>
    <row r="51" spans="1:9" x14ac:dyDescent="0.3">
      <c r="A51" s="47"/>
      <c r="B51" s="47"/>
      <c r="C51" s="47"/>
      <c r="D51" s="47"/>
      <c r="E51" s="48"/>
    </row>
    <row r="52" spans="1:9" x14ac:dyDescent="0.3">
      <c r="A52" s="47"/>
      <c r="B52" s="46"/>
      <c r="C52" s="46"/>
      <c r="D52" s="46"/>
      <c r="E52" s="2314" t="s">
        <v>1164</v>
      </c>
      <c r="F52" s="2315"/>
      <c r="G52" s="2315"/>
      <c r="H52" s="2316"/>
    </row>
    <row r="53" spans="1:9" x14ac:dyDescent="0.3">
      <c r="A53" s="47" t="s">
        <v>1161</v>
      </c>
      <c r="B53" s="2175"/>
      <c r="C53" s="2175"/>
      <c r="D53" s="2175"/>
      <c r="E53" s="2175">
        <v>0.25</v>
      </c>
      <c r="F53" s="3">
        <v>0.25</v>
      </c>
      <c r="G53" s="3">
        <v>0.25</v>
      </c>
      <c r="H53" s="3">
        <v>0.25</v>
      </c>
    </row>
    <row r="54" spans="1:9" x14ac:dyDescent="0.3">
      <c r="A54" s="47" t="s">
        <v>1162</v>
      </c>
      <c r="B54" s="6"/>
      <c r="C54" s="6"/>
      <c r="D54" s="6"/>
      <c r="E54" s="2175">
        <v>0.25</v>
      </c>
      <c r="F54" s="3">
        <v>0.25</v>
      </c>
      <c r="G54" s="3">
        <v>0.25</v>
      </c>
      <c r="H54" s="3">
        <v>0.25</v>
      </c>
    </row>
    <row r="55" spans="1:9" x14ac:dyDescent="0.3">
      <c r="A55" s="47" t="s">
        <v>550</v>
      </c>
      <c r="B55" s="2175"/>
      <c r="C55" s="2175"/>
      <c r="D55" s="2175"/>
      <c r="E55" s="2175">
        <v>0.34</v>
      </c>
      <c r="F55" s="3">
        <v>0.33</v>
      </c>
      <c r="G55" s="3">
        <v>0.33</v>
      </c>
      <c r="H55" s="3"/>
      <c r="I55" s="304"/>
    </row>
    <row r="56" spans="1:9" x14ac:dyDescent="0.3">
      <c r="A56" s="47" t="s">
        <v>679</v>
      </c>
      <c r="B56" s="2175"/>
      <c r="C56" s="2175"/>
      <c r="D56" s="2175"/>
      <c r="E56" s="2175">
        <v>0.34</v>
      </c>
      <c r="F56" s="3">
        <v>0.33</v>
      </c>
      <c r="G56" s="3">
        <v>0.33</v>
      </c>
      <c r="H56" s="3"/>
    </row>
    <row r="57" spans="1:9" x14ac:dyDescent="0.3">
      <c r="A57" s="47" t="s">
        <v>568</v>
      </c>
      <c r="B57" s="47"/>
      <c r="C57" s="47"/>
      <c r="D57" s="47"/>
      <c r="E57" s="2175">
        <v>0.34</v>
      </c>
      <c r="F57" s="3">
        <v>0.33</v>
      </c>
      <c r="G57" s="3">
        <v>0.33</v>
      </c>
      <c r="H5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80"/>
  <sheetViews>
    <sheetView workbookViewId="0"/>
  </sheetViews>
  <sheetFormatPr defaultRowHeight="14.4" x14ac:dyDescent="0.3"/>
  <sheetData>
    <row r="1" spans="1:9" ht="21" x14ac:dyDescent="0.4">
      <c r="A1" s="92" t="s">
        <v>1172</v>
      </c>
    </row>
    <row r="2" spans="1:9" x14ac:dyDescent="0.3">
      <c r="A2" t="s">
        <v>452</v>
      </c>
    </row>
    <row r="3" spans="1:9" x14ac:dyDescent="0.3">
      <c r="A3" s="93"/>
      <c r="B3" s="94"/>
    </row>
    <row r="5" spans="1:9" x14ac:dyDescent="0.3">
      <c r="B5" s="96"/>
      <c r="C5" s="97"/>
      <c r="F5" s="98"/>
      <c r="G5" s="98"/>
      <c r="H5" s="98"/>
      <c r="I5" s="99"/>
    </row>
    <row r="6" spans="1:9" x14ac:dyDescent="0.3">
      <c r="A6" s="100" t="s">
        <v>602</v>
      </c>
      <c r="B6" s="101">
        <v>393739.79999999993</v>
      </c>
      <c r="C6" s="102"/>
      <c r="F6" s="98"/>
      <c r="G6" s="98"/>
      <c r="H6" s="98"/>
      <c r="I6" s="99"/>
    </row>
    <row r="7" spans="1:9" x14ac:dyDescent="0.3">
      <c r="A7" s="100" t="s">
        <v>603</v>
      </c>
      <c r="B7" s="101">
        <v>393739.79999999993</v>
      </c>
      <c r="C7" s="97"/>
      <c r="F7" s="98"/>
      <c r="G7" s="98"/>
      <c r="H7" s="98"/>
      <c r="I7" s="99"/>
    </row>
    <row r="8" spans="1:9" x14ac:dyDescent="0.3">
      <c r="C8" s="97"/>
      <c r="F8" s="98"/>
      <c r="G8" s="98"/>
      <c r="H8" s="98"/>
      <c r="I8" s="99"/>
    </row>
    <row r="9" spans="1:9" x14ac:dyDescent="0.3">
      <c r="A9" s="103" t="s">
        <v>604</v>
      </c>
      <c r="B9" s="104">
        <v>1077573.75</v>
      </c>
      <c r="C9" s="105"/>
      <c r="F9" s="98"/>
      <c r="G9" s="98"/>
      <c r="H9" s="98"/>
      <c r="I9" s="99"/>
    </row>
    <row r="10" spans="1:9" x14ac:dyDescent="0.3">
      <c r="A10" s="100" t="s">
        <v>605</v>
      </c>
      <c r="B10" s="101">
        <v>1077573.75</v>
      </c>
      <c r="C10" s="3"/>
      <c r="F10" s="98"/>
      <c r="G10" s="98"/>
      <c r="H10" s="98"/>
      <c r="I10" s="99"/>
    </row>
    <row r="11" spans="1:9" x14ac:dyDescent="0.3">
      <c r="D11" s="554"/>
      <c r="E11" s="555"/>
      <c r="F11" s="98"/>
      <c r="G11" s="98"/>
      <c r="H11" s="98"/>
      <c r="I11" s="99"/>
    </row>
    <row r="12" spans="1:9" x14ac:dyDescent="0.3">
      <c r="F12" s="98"/>
      <c r="G12" s="98"/>
      <c r="H12" s="98"/>
      <c r="I12" s="99"/>
    </row>
    <row r="13" spans="1:9" x14ac:dyDescent="0.3">
      <c r="A13" s="4" t="s">
        <v>457</v>
      </c>
      <c r="F13" s="98"/>
      <c r="G13" s="98"/>
      <c r="H13" s="98"/>
      <c r="I13" s="99"/>
    </row>
    <row r="14" spans="1:9" x14ac:dyDescent="0.3">
      <c r="A14" s="106" t="s">
        <v>458</v>
      </c>
      <c r="B14" s="106"/>
      <c r="C14" s="106" t="s">
        <v>459</v>
      </c>
      <c r="D14" s="106" t="s">
        <v>460</v>
      </c>
      <c r="E14" s="106" t="s">
        <v>461</v>
      </c>
      <c r="F14" s="98"/>
      <c r="G14" s="98"/>
      <c r="H14" s="98"/>
      <c r="I14" s="99"/>
    </row>
    <row r="15" spans="1:9" x14ac:dyDescent="0.3">
      <c r="A15" s="107" t="s">
        <v>606</v>
      </c>
      <c r="B15" s="108" t="s">
        <v>463</v>
      </c>
      <c r="C15" s="109">
        <v>0.44</v>
      </c>
      <c r="D15" s="110">
        <v>474132.45</v>
      </c>
      <c r="E15" s="110">
        <v>158044.15</v>
      </c>
      <c r="F15" s="98"/>
      <c r="G15" s="98"/>
      <c r="H15" s="98"/>
      <c r="I15" s="99"/>
    </row>
    <row r="16" spans="1:9" x14ac:dyDescent="0.3">
      <c r="A16" s="107" t="s">
        <v>607</v>
      </c>
      <c r="B16" s="108" t="s">
        <v>465</v>
      </c>
      <c r="C16" s="109">
        <v>0.48</v>
      </c>
      <c r="D16" s="110">
        <v>517235.39999999997</v>
      </c>
      <c r="E16" s="110">
        <v>103447.07999999999</v>
      </c>
      <c r="F16" s="98"/>
      <c r="G16" s="98"/>
      <c r="H16" s="98"/>
      <c r="I16" s="99"/>
    </row>
    <row r="17" spans="1:30" x14ac:dyDescent="0.3">
      <c r="A17" s="107" t="s">
        <v>608</v>
      </c>
      <c r="B17" s="108">
        <v>2</v>
      </c>
      <c r="C17" s="109">
        <v>0.08</v>
      </c>
      <c r="D17" s="110">
        <v>86205.900000000009</v>
      </c>
      <c r="E17" s="110">
        <v>43102.950000000004</v>
      </c>
      <c r="F17" s="98"/>
      <c r="G17" s="98"/>
      <c r="H17" s="98"/>
      <c r="I17" s="99"/>
    </row>
    <row r="18" spans="1:30" x14ac:dyDescent="0.3">
      <c r="B18" s="1" t="s">
        <v>577</v>
      </c>
      <c r="C18" s="3">
        <v>0.99999999999999989</v>
      </c>
      <c r="D18" s="112">
        <v>1077573.75</v>
      </c>
      <c r="F18" s="98"/>
      <c r="G18" s="98"/>
      <c r="H18" s="98"/>
      <c r="I18" s="99"/>
    </row>
    <row r="19" spans="1:30" x14ac:dyDescent="0.3">
      <c r="F19" s="98"/>
      <c r="G19" s="98"/>
      <c r="H19" s="98"/>
      <c r="I19" s="99"/>
    </row>
    <row r="20" spans="1:30" x14ac:dyDescent="0.3">
      <c r="F20" s="98"/>
      <c r="G20" s="98"/>
      <c r="H20" s="98"/>
      <c r="I20" s="99"/>
    </row>
    <row r="21" spans="1:30" ht="15.6" x14ac:dyDescent="0.3">
      <c r="A21" s="556" t="s">
        <v>578</v>
      </c>
      <c r="B21" s="557">
        <v>442933</v>
      </c>
      <c r="Q21" s="115"/>
      <c r="R21" s="115"/>
    </row>
    <row r="22" spans="1:30" ht="15.6" x14ac:dyDescent="0.3">
      <c r="A22" s="556" t="s">
        <v>579</v>
      </c>
      <c r="B22" s="557">
        <v>249133</v>
      </c>
      <c r="E22" s="1" t="s">
        <v>470</v>
      </c>
      <c r="F22" s="2" t="s">
        <v>593</v>
      </c>
      <c r="H22" s="1" t="s">
        <v>472</v>
      </c>
      <c r="J22" s="2305">
        <v>0.34</v>
      </c>
      <c r="K22" s="98"/>
      <c r="L22" s="98"/>
    </row>
    <row r="23" spans="1:30" x14ac:dyDescent="0.3">
      <c r="E23" s="1" t="s">
        <v>473</v>
      </c>
      <c r="F23" s="2" t="s">
        <v>53</v>
      </c>
      <c r="H23" s="1" t="s">
        <v>473</v>
      </c>
      <c r="J23" s="1">
        <v>25</v>
      </c>
      <c r="K23" s="1"/>
      <c r="L23" s="1"/>
    </row>
    <row r="24" spans="1:30" x14ac:dyDescent="0.3">
      <c r="E24" s="1" t="s">
        <v>475</v>
      </c>
      <c r="F24" s="2" t="s">
        <v>609</v>
      </c>
      <c r="H24" s="1" t="s">
        <v>475</v>
      </c>
      <c r="J24" s="95">
        <v>735</v>
      </c>
      <c r="K24" s="95"/>
      <c r="L24" s="95"/>
      <c r="P24" s="115"/>
    </row>
    <row r="25" spans="1:30" x14ac:dyDescent="0.3">
      <c r="E25" s="1" t="s">
        <v>477</v>
      </c>
      <c r="F25" s="2" t="s">
        <v>610</v>
      </c>
      <c r="H25" s="1" t="s">
        <v>477</v>
      </c>
      <c r="J25" s="95">
        <v>1831500</v>
      </c>
      <c r="K25" s="95"/>
      <c r="L25" s="95"/>
      <c r="O25" s="98"/>
      <c r="T25" s="116"/>
    </row>
    <row r="26" spans="1:30" x14ac:dyDescent="0.3">
      <c r="O26" s="98"/>
      <c r="P26" s="117"/>
    </row>
    <row r="27" spans="1:30" ht="18" x14ac:dyDescent="0.35">
      <c r="A27" s="118" t="s">
        <v>479</v>
      </c>
      <c r="O27" s="119"/>
      <c r="S27" s="98"/>
    </row>
    <row r="29" spans="1:30" x14ac:dyDescent="0.3">
      <c r="A29" s="2335" t="s">
        <v>480</v>
      </c>
      <c r="B29" s="2336"/>
      <c r="C29" s="2336"/>
      <c r="D29" s="2336"/>
      <c r="E29" s="2336"/>
      <c r="F29" s="2336"/>
      <c r="G29" s="2336"/>
      <c r="H29" s="2336"/>
      <c r="I29" s="2336"/>
      <c r="J29" s="2336"/>
      <c r="K29" s="2336"/>
      <c r="L29" s="2336"/>
      <c r="M29" s="2336"/>
      <c r="N29" s="2336"/>
      <c r="O29" s="2336"/>
      <c r="P29" s="2336"/>
      <c r="Q29" s="2336"/>
      <c r="R29" s="2336"/>
      <c r="S29" s="2337"/>
      <c r="T29" s="2338" t="s">
        <v>584</v>
      </c>
      <c r="U29" s="2339"/>
      <c r="V29" s="2339"/>
      <c r="W29" s="2339"/>
      <c r="X29" s="2339"/>
      <c r="Y29" s="2339"/>
      <c r="Z29" s="2339"/>
      <c r="AA29" s="2339"/>
      <c r="AB29" s="2339"/>
      <c r="AC29" s="2339"/>
      <c r="AD29" s="2340"/>
    </row>
    <row r="30" spans="1:30" ht="15.6" x14ac:dyDescent="0.3">
      <c r="A30" s="2284" t="s">
        <v>482</v>
      </c>
      <c r="B30" s="2286" t="s">
        <v>483</v>
      </c>
      <c r="C30" s="2286" t="s">
        <v>484</v>
      </c>
      <c r="D30" s="2286" t="s">
        <v>485</v>
      </c>
      <c r="E30" s="2286" t="s">
        <v>486</v>
      </c>
      <c r="F30" s="2288" t="s">
        <v>487</v>
      </c>
      <c r="G30" s="2286" t="s">
        <v>488</v>
      </c>
      <c r="H30" s="2286" t="s">
        <v>489</v>
      </c>
      <c r="I30" s="2266" t="s">
        <v>490</v>
      </c>
      <c r="J30" s="2266"/>
      <c r="K30" s="2266"/>
      <c r="L30" s="2266"/>
      <c r="M30" s="265" t="s">
        <v>491</v>
      </c>
      <c r="N30" s="266" t="s">
        <v>492</v>
      </c>
      <c r="O30" s="267" t="s">
        <v>493</v>
      </c>
      <c r="P30" s="266" t="s">
        <v>492</v>
      </c>
      <c r="Q30" s="266" t="s">
        <v>494</v>
      </c>
      <c r="R30" s="491" t="s">
        <v>585</v>
      </c>
      <c r="S30" s="2267" t="s">
        <v>495</v>
      </c>
      <c r="T30" s="124" t="s">
        <v>496</v>
      </c>
      <c r="U30" s="2364" t="s">
        <v>497</v>
      </c>
      <c r="V30" s="2365"/>
      <c r="W30" s="2365"/>
      <c r="X30" s="2365"/>
      <c r="Y30" s="2366"/>
      <c r="Z30" s="2361" t="s">
        <v>498</v>
      </c>
      <c r="AA30" s="2363"/>
      <c r="AB30" s="2361" t="s">
        <v>499</v>
      </c>
      <c r="AC30" s="2362"/>
      <c r="AD30" s="2363"/>
    </row>
    <row r="31" spans="1:30" ht="15.6" x14ac:dyDescent="0.3">
      <c r="A31" s="2285"/>
      <c r="B31" s="2287"/>
      <c r="C31" s="2287"/>
      <c r="D31" s="2287"/>
      <c r="E31" s="2287"/>
      <c r="F31" s="2289"/>
      <c r="G31" s="2287"/>
      <c r="H31" s="2287"/>
      <c r="I31" s="269" t="s">
        <v>500</v>
      </c>
      <c r="J31" s="269" t="s">
        <v>501</v>
      </c>
      <c r="K31" s="269" t="s">
        <v>502</v>
      </c>
      <c r="L31" s="269" t="s">
        <v>503</v>
      </c>
      <c r="M31" s="270" t="s">
        <v>504</v>
      </c>
      <c r="N31" s="271" t="s">
        <v>505</v>
      </c>
      <c r="O31" s="272" t="s">
        <v>506</v>
      </c>
      <c r="P31" s="271" t="s">
        <v>507</v>
      </c>
      <c r="Q31" s="271" t="s">
        <v>507</v>
      </c>
      <c r="R31" s="558"/>
      <c r="S31" s="2268"/>
      <c r="T31" s="130" t="s">
        <v>508</v>
      </c>
      <c r="U31" s="2298"/>
      <c r="V31" s="2299"/>
      <c r="W31" s="2299"/>
      <c r="X31" s="2299"/>
      <c r="Y31" s="2300"/>
      <c r="Z31" s="2303"/>
      <c r="AA31" s="2304"/>
      <c r="AB31" s="2303"/>
      <c r="AC31" s="2307"/>
      <c r="AD31" s="2304"/>
    </row>
    <row r="32" spans="1:30" ht="18" x14ac:dyDescent="0.35">
      <c r="A32" s="2372" t="s">
        <v>509</v>
      </c>
      <c r="B32" s="2373"/>
      <c r="C32" s="2373"/>
      <c r="D32" s="2373"/>
      <c r="E32" s="2373"/>
      <c r="F32" s="2373"/>
      <c r="G32" s="2373"/>
      <c r="H32" s="2373"/>
      <c r="I32" s="2373"/>
      <c r="J32" s="2373"/>
      <c r="K32" s="2373"/>
      <c r="L32" s="2373"/>
      <c r="M32" s="2373"/>
      <c r="N32" s="2373"/>
      <c r="O32" s="2373"/>
      <c r="P32" s="2373"/>
      <c r="Q32" s="2373"/>
      <c r="R32" s="2373"/>
      <c r="S32" s="2373"/>
      <c r="T32" s="559"/>
      <c r="U32" s="560" t="s">
        <v>510</v>
      </c>
      <c r="V32" s="561" t="s">
        <v>11</v>
      </c>
      <c r="W32" s="561" t="s">
        <v>511</v>
      </c>
      <c r="X32" s="561" t="s">
        <v>512</v>
      </c>
      <c r="Y32" s="562" t="s">
        <v>513</v>
      </c>
      <c r="Z32" s="563" t="s">
        <v>514</v>
      </c>
      <c r="AA32" s="562" t="s">
        <v>515</v>
      </c>
      <c r="AB32" s="563" t="s">
        <v>19</v>
      </c>
      <c r="AC32" s="561" t="s">
        <v>54</v>
      </c>
      <c r="AD32" s="564"/>
    </row>
    <row r="33" spans="1:30" x14ac:dyDescent="0.3">
      <c r="A33" s="154"/>
      <c r="B33" s="462"/>
      <c r="C33" s="462"/>
      <c r="D33" s="462"/>
      <c r="E33" s="462"/>
      <c r="F33" s="463"/>
      <c r="G33" s="462"/>
      <c r="H33" s="462"/>
      <c r="I33" s="464"/>
      <c r="J33" s="465"/>
      <c r="K33" s="465"/>
      <c r="L33" s="466"/>
      <c r="M33" s="467"/>
      <c r="N33" s="468"/>
      <c r="O33" s="469"/>
      <c r="P33" s="468"/>
      <c r="Q33" s="468"/>
      <c r="R33" s="470"/>
      <c r="S33" s="501"/>
      <c r="T33" s="149"/>
      <c r="U33" s="150"/>
      <c r="Y33" s="152"/>
      <c r="Z33" s="280"/>
      <c r="AA33" s="152"/>
      <c r="AB33" s="280"/>
      <c r="AD33" s="152"/>
    </row>
    <row r="34" spans="1:30" x14ac:dyDescent="0.3">
      <c r="A34" s="157" t="s">
        <v>611</v>
      </c>
      <c r="B34" s="157" t="s">
        <v>55</v>
      </c>
      <c r="C34" s="157" t="s">
        <v>517</v>
      </c>
      <c r="D34" s="157" t="s">
        <v>26</v>
      </c>
      <c r="E34" s="157" t="s">
        <v>520</v>
      </c>
      <c r="F34" s="158" t="s">
        <v>590</v>
      </c>
      <c r="G34" s="157">
        <v>2</v>
      </c>
      <c r="H34" s="157" t="s">
        <v>24</v>
      </c>
      <c r="I34" s="159">
        <v>2</v>
      </c>
      <c r="J34" s="161"/>
      <c r="K34" s="161"/>
      <c r="L34" s="2209"/>
      <c r="M34" s="163">
        <v>1</v>
      </c>
      <c r="N34" s="164">
        <v>5200</v>
      </c>
      <c r="O34" s="165">
        <v>0.34</v>
      </c>
      <c r="P34" s="166">
        <f>N34*(1-O34)</f>
        <v>3431.9999999999995</v>
      </c>
      <c r="Q34" s="166">
        <f t="shared" ref="Q34:Q38" si="0">P34*M34*G34</f>
        <v>6863.9999999999991</v>
      </c>
      <c r="R34" s="206" t="e">
        <f>(Q34+Q35+Q39+#REF!)/E7*1000</f>
        <v>#REF!</v>
      </c>
      <c r="S34" s="178">
        <f>Q34/$Q$43</f>
        <v>0.11259842519685039</v>
      </c>
      <c r="T34" s="168">
        <f>Q34*2</f>
        <v>13727.999999999998</v>
      </c>
      <c r="U34" s="150">
        <f t="shared" ref="U34:U38" si="1">T34</f>
        <v>13727.999999999998</v>
      </c>
      <c r="V34" s="169"/>
      <c r="W34" s="169"/>
      <c r="X34" s="169"/>
      <c r="Y34" s="171"/>
      <c r="Z34" s="282"/>
      <c r="AA34" s="171">
        <f>T34</f>
        <v>13727.999999999998</v>
      </c>
      <c r="AB34" s="282">
        <f>T34</f>
        <v>13727.999999999998</v>
      </c>
      <c r="AD34" s="152"/>
    </row>
    <row r="35" spans="1:30" x14ac:dyDescent="0.3">
      <c r="A35" s="157" t="s">
        <v>611</v>
      </c>
      <c r="B35" s="157" t="s">
        <v>55</v>
      </c>
      <c r="C35" s="157" t="s">
        <v>517</v>
      </c>
      <c r="D35" s="157" t="s">
        <v>21</v>
      </c>
      <c r="E35" s="157" t="s">
        <v>518</v>
      </c>
      <c r="F35" s="158" t="s">
        <v>588</v>
      </c>
      <c r="G35" s="157">
        <v>2</v>
      </c>
      <c r="H35" s="157" t="s">
        <v>24</v>
      </c>
      <c r="I35" s="159">
        <v>2</v>
      </c>
      <c r="J35" s="161"/>
      <c r="K35" s="161"/>
      <c r="L35" s="2209"/>
      <c r="M35" s="163">
        <v>1</v>
      </c>
      <c r="N35" s="166">
        <v>7800</v>
      </c>
      <c r="O35" s="173">
        <v>0.34</v>
      </c>
      <c r="P35" s="166">
        <f>N35*(1-O35)</f>
        <v>5147.9999999999991</v>
      </c>
      <c r="Q35" s="166">
        <f t="shared" si="0"/>
        <v>10295.999999999998</v>
      </c>
      <c r="R35" s="206" t="e">
        <f>(Q35+Q38+#REF!+#REF!)/E8*1000</f>
        <v>#REF!</v>
      </c>
      <c r="S35" s="167">
        <f>Q35/$Q$43</f>
        <v>0.16889763779527556</v>
      </c>
      <c r="T35" s="168">
        <f t="shared" ref="T35:T38" si="2">Q35*2</f>
        <v>20591.999999999996</v>
      </c>
      <c r="U35" s="150">
        <f t="shared" si="1"/>
        <v>20591.999999999996</v>
      </c>
      <c r="V35" s="169"/>
      <c r="Y35" s="152"/>
      <c r="Z35" s="282"/>
      <c r="AA35" s="171">
        <f>T35</f>
        <v>20591.999999999996</v>
      </c>
      <c r="AB35" s="282">
        <f>T35</f>
        <v>20591.999999999996</v>
      </c>
      <c r="AD35" s="152"/>
    </row>
    <row r="36" spans="1:30" x14ac:dyDescent="0.3">
      <c r="A36" s="157" t="s">
        <v>611</v>
      </c>
      <c r="B36" s="157" t="s">
        <v>56</v>
      </c>
      <c r="C36" s="157" t="s">
        <v>517</v>
      </c>
      <c r="D36" s="157" t="s">
        <v>26</v>
      </c>
      <c r="E36" s="157" t="s">
        <v>520</v>
      </c>
      <c r="F36" s="158" t="s">
        <v>588</v>
      </c>
      <c r="G36" s="157">
        <v>1</v>
      </c>
      <c r="H36" s="157" t="s">
        <v>24</v>
      </c>
      <c r="I36" s="159">
        <v>1</v>
      </c>
      <c r="J36" s="161"/>
      <c r="K36" s="161"/>
      <c r="L36" s="2209"/>
      <c r="M36" s="163">
        <v>1</v>
      </c>
      <c r="N36" s="166">
        <v>3500</v>
      </c>
      <c r="O36" s="173">
        <v>0.2</v>
      </c>
      <c r="P36" s="166">
        <f t="shared" ref="P36:P38" si="3">N36*(1-O36)</f>
        <v>2800</v>
      </c>
      <c r="Q36" s="166">
        <f t="shared" si="0"/>
        <v>2800</v>
      </c>
      <c r="R36" s="206"/>
      <c r="S36" s="504">
        <f>Q36/$Q$43</f>
        <v>4.5931758530183726E-2</v>
      </c>
      <c r="T36" s="168">
        <f t="shared" si="2"/>
        <v>5600</v>
      </c>
      <c r="U36" s="150">
        <f t="shared" si="1"/>
        <v>5600</v>
      </c>
      <c r="V36" s="169"/>
      <c r="Y36" s="152"/>
      <c r="Z36" s="282"/>
      <c r="AA36" s="171">
        <f>T36</f>
        <v>5600</v>
      </c>
      <c r="AB36" s="280"/>
      <c r="AC36" s="169">
        <f>T36</f>
        <v>5600</v>
      </c>
      <c r="AD36" s="152"/>
    </row>
    <row r="37" spans="1:30" x14ac:dyDescent="0.3">
      <c r="A37" s="157" t="s">
        <v>611</v>
      </c>
      <c r="B37" s="157" t="s">
        <v>56</v>
      </c>
      <c r="C37" s="157" t="s">
        <v>517</v>
      </c>
      <c r="D37" s="157" t="s">
        <v>27</v>
      </c>
      <c r="E37" s="157" t="s">
        <v>520</v>
      </c>
      <c r="F37" s="158" t="s">
        <v>612</v>
      </c>
      <c r="G37" s="157">
        <v>15</v>
      </c>
      <c r="H37" s="157" t="s">
        <v>24</v>
      </c>
      <c r="I37" s="175">
        <v>15</v>
      </c>
      <c r="J37" s="176"/>
      <c r="K37" s="179"/>
      <c r="L37" s="180"/>
      <c r="M37" s="163">
        <v>1</v>
      </c>
      <c r="N37" s="166">
        <v>1500</v>
      </c>
      <c r="O37" s="173">
        <v>0.2</v>
      </c>
      <c r="P37" s="166">
        <f t="shared" si="3"/>
        <v>1200</v>
      </c>
      <c r="Q37" s="166">
        <f t="shared" si="0"/>
        <v>18000</v>
      </c>
      <c r="R37" s="206" t="e">
        <f>(Q37+#REF!)/E6*1000</f>
        <v>#REF!</v>
      </c>
      <c r="S37" s="504">
        <f t="shared" ref="S37:S38" si="4">Q37/$Q$43</f>
        <v>0.29527559055118108</v>
      </c>
      <c r="T37" s="168">
        <f t="shared" si="2"/>
        <v>36000</v>
      </c>
      <c r="U37" s="150">
        <f t="shared" si="1"/>
        <v>36000</v>
      </c>
      <c r="W37" s="169"/>
      <c r="Y37" s="152"/>
      <c r="Z37" s="283">
        <f>T37</f>
        <v>36000</v>
      </c>
      <c r="AA37" s="171"/>
      <c r="AB37" s="280"/>
      <c r="AC37" s="169">
        <f>T37</f>
        <v>36000</v>
      </c>
      <c r="AD37" s="152"/>
    </row>
    <row r="38" spans="1:30" x14ac:dyDescent="0.3">
      <c r="A38" s="157" t="s">
        <v>611</v>
      </c>
      <c r="B38" s="157" t="s">
        <v>56</v>
      </c>
      <c r="C38" s="157" t="s">
        <v>517</v>
      </c>
      <c r="D38" s="157" t="s">
        <v>27</v>
      </c>
      <c r="E38" s="157" t="s">
        <v>520</v>
      </c>
      <c r="F38" s="158" t="s">
        <v>613</v>
      </c>
      <c r="G38" s="157">
        <v>15</v>
      </c>
      <c r="H38" s="157" t="s">
        <v>24</v>
      </c>
      <c r="I38" s="474"/>
      <c r="J38" s="1"/>
      <c r="K38" s="176">
        <v>15</v>
      </c>
      <c r="L38" s="177"/>
      <c r="M38" s="163">
        <v>1</v>
      </c>
      <c r="N38" s="166">
        <v>1500</v>
      </c>
      <c r="O38" s="173">
        <v>0.2</v>
      </c>
      <c r="P38" s="166">
        <f t="shared" si="3"/>
        <v>1200</v>
      </c>
      <c r="Q38" s="166">
        <f t="shared" si="0"/>
        <v>18000</v>
      </c>
      <c r="R38" s="206" t="e">
        <f>(Q38+#REF!)/E8*1000</f>
        <v>#REF!</v>
      </c>
      <c r="S38" s="504">
        <f t="shared" si="4"/>
        <v>0.29527559055118108</v>
      </c>
      <c r="T38" s="168">
        <f t="shared" si="2"/>
        <v>36000</v>
      </c>
      <c r="U38" s="150">
        <f t="shared" si="1"/>
        <v>36000</v>
      </c>
      <c r="W38" s="169"/>
      <c r="Y38" s="152"/>
      <c r="Z38" s="283">
        <f>T38</f>
        <v>36000</v>
      </c>
      <c r="AA38" s="171"/>
      <c r="AB38" s="280"/>
      <c r="AC38" s="169">
        <f>T38</f>
        <v>36000</v>
      </c>
      <c r="AD38" s="152"/>
    </row>
    <row r="39" spans="1:30" x14ac:dyDescent="0.3">
      <c r="A39" s="157"/>
      <c r="B39" s="157"/>
      <c r="C39" s="157"/>
      <c r="D39" s="157"/>
      <c r="E39" s="157"/>
      <c r="F39" s="158"/>
      <c r="G39" s="157"/>
      <c r="H39" s="157"/>
      <c r="I39" s="474"/>
      <c r="J39" s="1"/>
      <c r="K39" s="1"/>
      <c r="L39" s="163"/>
      <c r="M39" s="163"/>
      <c r="N39" s="473"/>
      <c r="O39" s="165"/>
      <c r="P39" s="476"/>
      <c r="Q39" s="473"/>
      <c r="R39" s="9"/>
      <c r="S39" s="506"/>
      <c r="T39" s="478"/>
      <c r="U39" s="565"/>
      <c r="Y39" s="152"/>
      <c r="Z39" s="282"/>
      <c r="AA39" s="171"/>
      <c r="AB39" s="280"/>
      <c r="AD39" s="152"/>
    </row>
    <row r="40" spans="1:30" x14ac:dyDescent="0.3">
      <c r="A40" s="190" t="s">
        <v>614</v>
      </c>
      <c r="B40" s="190" t="s">
        <v>528</v>
      </c>
      <c r="C40" s="190"/>
      <c r="D40" s="190"/>
      <c r="E40" s="190"/>
      <c r="F40" s="191"/>
      <c r="G40" s="190"/>
      <c r="H40" s="190"/>
      <c r="I40" s="192"/>
      <c r="J40" s="193"/>
      <c r="K40" s="193"/>
      <c r="L40" s="193"/>
      <c r="M40" s="190"/>
      <c r="N40" s="194"/>
      <c r="O40" s="195"/>
      <c r="P40" s="186"/>
      <c r="Q40" s="166"/>
      <c r="R40" s="288"/>
      <c r="S40" s="196"/>
      <c r="T40" s="168"/>
      <c r="U40" s="150"/>
      <c r="X40" s="169">
        <f>T40</f>
        <v>0</v>
      </c>
      <c r="Y40" s="152"/>
      <c r="Z40" s="280"/>
      <c r="AA40" s="171"/>
      <c r="AB40" s="280"/>
      <c r="AD40" s="152"/>
    </row>
    <row r="41" spans="1:30" x14ac:dyDescent="0.3">
      <c r="A41" s="108" t="s">
        <v>615</v>
      </c>
      <c r="B41" s="108" t="s">
        <v>529</v>
      </c>
      <c r="C41" s="108"/>
      <c r="D41" s="108" t="s">
        <v>530</v>
      </c>
      <c r="E41" s="108"/>
      <c r="F41" s="479"/>
      <c r="G41" s="108"/>
      <c r="H41" s="108"/>
      <c r="I41" s="254"/>
      <c r="J41" s="254"/>
      <c r="K41" s="254"/>
      <c r="L41" s="254"/>
      <c r="M41" s="108"/>
      <c r="N41" s="257"/>
      <c r="O41" s="109"/>
      <c r="P41" s="290"/>
      <c r="Q41" s="257">
        <v>5000</v>
      </c>
      <c r="R41" s="480"/>
      <c r="S41" s="291">
        <f>Q41/Q43</f>
        <v>8.2020997375328086E-2</v>
      </c>
      <c r="T41" s="168">
        <f t="shared" ref="T41" si="5">Q41*2</f>
        <v>10000</v>
      </c>
      <c r="U41" s="150"/>
      <c r="Y41" s="171">
        <f>T41</f>
        <v>10000</v>
      </c>
      <c r="Z41" s="280"/>
      <c r="AA41" s="152"/>
      <c r="AB41" s="280"/>
      <c r="AD41" s="152"/>
    </row>
    <row r="42" spans="1:30" x14ac:dyDescent="0.3">
      <c r="I42" s="115">
        <f>I43/M43</f>
        <v>0.5714285714285714</v>
      </c>
      <c r="J42" s="115"/>
      <c r="K42" s="115">
        <f>K43/M43</f>
        <v>0.42857142857142855</v>
      </c>
      <c r="L42" s="115"/>
      <c r="T42" s="149"/>
      <c r="U42" s="150"/>
      <c r="Y42" s="152"/>
      <c r="Z42" s="280"/>
      <c r="AA42" s="152"/>
      <c r="AB42" s="566"/>
      <c r="AC42" s="245"/>
      <c r="AD42" s="567"/>
    </row>
    <row r="43" spans="1:30" x14ac:dyDescent="0.3">
      <c r="A43" s="212" t="s">
        <v>531</v>
      </c>
      <c r="B43" s="213"/>
      <c r="C43" s="213"/>
      <c r="D43" s="213"/>
      <c r="E43" s="213"/>
      <c r="F43" s="214"/>
      <c r="G43" s="213"/>
      <c r="H43" s="213"/>
      <c r="I43" s="213">
        <f>I37+I36+I35+I34</f>
        <v>20</v>
      </c>
      <c r="J43" s="213"/>
      <c r="K43" s="213">
        <f>K38</f>
        <v>15</v>
      </c>
      <c r="L43" s="213"/>
      <c r="M43" s="213">
        <f>SUM(I43:L43)</f>
        <v>35</v>
      </c>
      <c r="N43" s="215"/>
      <c r="O43" s="216"/>
      <c r="P43" s="215"/>
      <c r="Q43" s="481">
        <f>SUM(Q34:Q42)</f>
        <v>60960</v>
      </c>
      <c r="R43" s="481"/>
      <c r="S43" s="218">
        <f>SUM(S34:S41)</f>
        <v>0.99999999999999978</v>
      </c>
      <c r="T43" s="568">
        <f>SUM(T34:T42)</f>
        <v>121920</v>
      </c>
      <c r="U43" s="569">
        <f t="shared" ref="U43:AA43" si="6">SUM(U34:U41)</f>
        <v>111920</v>
      </c>
      <c r="V43" s="570">
        <f t="shared" si="6"/>
        <v>0</v>
      </c>
      <c r="W43" s="570">
        <f t="shared" si="6"/>
        <v>0</v>
      </c>
      <c r="X43" s="570">
        <f t="shared" si="6"/>
        <v>0</v>
      </c>
      <c r="Y43" s="571">
        <f t="shared" si="6"/>
        <v>10000</v>
      </c>
      <c r="Z43" s="572">
        <f t="shared" si="6"/>
        <v>72000</v>
      </c>
      <c r="AA43" s="571">
        <f t="shared" si="6"/>
        <v>39919.999999999993</v>
      </c>
      <c r="AB43" s="220">
        <f>SUM(AB34:AB42)</f>
        <v>34319.999999999993</v>
      </c>
      <c r="AC43" s="221">
        <f>SUM(AC34:AC42)</f>
        <v>77600</v>
      </c>
      <c r="AD43" s="223"/>
    </row>
    <row r="44" spans="1:30" x14ac:dyDescent="0.3">
      <c r="A44" s="228" t="s">
        <v>532</v>
      </c>
      <c r="B44" s="229"/>
      <c r="C44" s="229"/>
      <c r="D44" s="229"/>
      <c r="E44" s="229"/>
      <c r="F44" s="230"/>
      <c r="G44" s="229"/>
      <c r="H44" s="229"/>
      <c r="I44" s="229">
        <f>I37+I36+I35+I34</f>
        <v>20</v>
      </c>
      <c r="J44" s="229">
        <f>I37+I36+I35+I34</f>
        <v>20</v>
      </c>
      <c r="K44" s="229">
        <f>K38+I36+I35+I34</f>
        <v>20</v>
      </c>
      <c r="L44" s="229">
        <f>K38+I36+I35+I34</f>
        <v>20</v>
      </c>
      <c r="M44" s="229">
        <f>SUM(I44:L44)</f>
        <v>80</v>
      </c>
      <c r="N44" s="231"/>
      <c r="O44" s="232"/>
      <c r="P44" s="231"/>
      <c r="Q44" s="231"/>
      <c r="R44" s="231"/>
      <c r="S44" s="233"/>
      <c r="T44" s="234"/>
      <c r="U44" s="235">
        <f>U43/T43</f>
        <v>0.91797900262467191</v>
      </c>
      <c r="V44" s="236">
        <f>V43/T43</f>
        <v>0</v>
      </c>
      <c r="W44" s="236">
        <f>W43/T43</f>
        <v>0</v>
      </c>
      <c r="X44" s="236">
        <f>X43/T43</f>
        <v>0</v>
      </c>
      <c r="Y44" s="297">
        <f>Y43/T43</f>
        <v>8.2020997375328086E-2</v>
      </c>
      <c r="Z44" s="298">
        <f>Z43/T43</f>
        <v>0.59055118110236215</v>
      </c>
      <c r="AA44" s="297">
        <f>AA43/T43</f>
        <v>0.32742782152230965</v>
      </c>
      <c r="AB44" s="573"/>
      <c r="AC44" s="487"/>
      <c r="AD44" s="242"/>
    </row>
    <row r="45" spans="1:30" x14ac:dyDescent="0.3">
      <c r="A45" s="243" t="s">
        <v>533</v>
      </c>
      <c r="B45" s="193"/>
      <c r="C45" s="193"/>
      <c r="D45" s="193"/>
      <c r="E45" s="193"/>
      <c r="F45" s="244"/>
      <c r="G45" s="193"/>
      <c r="H45" s="193"/>
      <c r="I45" s="245"/>
      <c r="J45" s="245"/>
      <c r="K45" s="245"/>
      <c r="L45" s="245"/>
      <c r="M45" s="193"/>
      <c r="N45" s="246"/>
      <c r="O45" s="196"/>
      <c r="P45" s="246"/>
      <c r="Q45" s="194">
        <f>U43/2</f>
        <v>55960</v>
      </c>
      <c r="R45" s="288"/>
      <c r="S45" s="247">
        <f>Q45/Q50</f>
        <v>0.91797900262467191</v>
      </c>
      <c r="Y45" s="248"/>
      <c r="Z45" s="357">
        <f>I34+I36+I37+K38</f>
        <v>33</v>
      </c>
      <c r="AA45" s="358">
        <f>I35</f>
        <v>2</v>
      </c>
    </row>
    <row r="46" spans="1:30" x14ac:dyDescent="0.3">
      <c r="A46" s="251" t="s">
        <v>11</v>
      </c>
      <c r="B46" s="252"/>
      <c r="C46" s="252"/>
      <c r="D46" s="252"/>
      <c r="E46" s="252"/>
      <c r="F46" s="253"/>
      <c r="G46" s="252"/>
      <c r="H46" s="252"/>
      <c r="I46" s="254"/>
      <c r="J46" s="254"/>
      <c r="K46" s="254"/>
      <c r="L46" s="254"/>
      <c r="M46" s="252"/>
      <c r="N46" s="255"/>
      <c r="O46" s="256"/>
      <c r="P46" s="255"/>
      <c r="Q46" s="257">
        <f>V43/2</f>
        <v>0</v>
      </c>
      <c r="R46" s="290"/>
      <c r="S46" s="256">
        <f>Q46/Q50</f>
        <v>0</v>
      </c>
      <c r="T46" s="574">
        <f>Q43/M43</f>
        <v>1741.7142857142858</v>
      </c>
      <c r="U46" s="489" t="s">
        <v>535</v>
      </c>
      <c r="Z46" s="195">
        <f>Z45/M43</f>
        <v>0.94285714285714284</v>
      </c>
      <c r="AA46" s="247">
        <f>AA45/M43</f>
        <v>5.7142857142857141E-2</v>
      </c>
    </row>
    <row r="47" spans="1:30" x14ac:dyDescent="0.3">
      <c r="A47" s="251" t="s">
        <v>536</v>
      </c>
      <c r="B47" s="252"/>
      <c r="C47" s="252"/>
      <c r="D47" s="252"/>
      <c r="E47" s="252"/>
      <c r="F47" s="253"/>
      <c r="G47" s="252"/>
      <c r="H47" s="252"/>
      <c r="I47" s="254"/>
      <c r="J47" s="254"/>
      <c r="K47" s="254"/>
      <c r="L47" s="254"/>
      <c r="M47" s="252"/>
      <c r="N47" s="255"/>
      <c r="O47" s="256"/>
      <c r="P47" s="255"/>
      <c r="Q47" s="257">
        <f>W43/2</f>
        <v>0</v>
      </c>
      <c r="R47" s="290"/>
      <c r="S47" s="262">
        <f>Q47/Q50</f>
        <v>0</v>
      </c>
      <c r="V47" s="263"/>
      <c r="X47" s="99"/>
      <c r="Z47" s="2265" t="s">
        <v>537</v>
      </c>
      <c r="AA47" s="2265"/>
    </row>
    <row r="48" spans="1:30" x14ac:dyDescent="0.3">
      <c r="A48" s="251" t="s">
        <v>529</v>
      </c>
      <c r="B48" s="252"/>
      <c r="C48" s="252"/>
      <c r="D48" s="252"/>
      <c r="E48" s="252"/>
      <c r="F48" s="253"/>
      <c r="G48" s="252"/>
      <c r="H48" s="252"/>
      <c r="I48" s="254"/>
      <c r="J48" s="254"/>
      <c r="K48" s="254"/>
      <c r="L48" s="254"/>
      <c r="M48" s="252"/>
      <c r="N48" s="255"/>
      <c r="O48" s="256"/>
      <c r="P48" s="255"/>
      <c r="Q48" s="257">
        <f>Y43/2</f>
        <v>5000</v>
      </c>
      <c r="R48" s="290"/>
      <c r="S48" s="262">
        <f>Q48/Q50</f>
        <v>8.2020997375328086E-2</v>
      </c>
      <c r="V48" s="263"/>
    </row>
    <row r="49" spans="1:30" x14ac:dyDescent="0.3">
      <c r="A49" s="251" t="s">
        <v>528</v>
      </c>
      <c r="B49" s="252"/>
      <c r="C49" s="252"/>
      <c r="D49" s="252"/>
      <c r="E49" s="252"/>
      <c r="F49" s="253"/>
      <c r="G49" s="252"/>
      <c r="H49" s="252"/>
      <c r="I49" s="254"/>
      <c r="J49" s="254"/>
      <c r="K49" s="254"/>
      <c r="L49" s="254"/>
      <c r="M49" s="252"/>
      <c r="N49" s="255"/>
      <c r="O49" s="256"/>
      <c r="P49" s="255"/>
      <c r="Q49" s="257">
        <f>X43/2</f>
        <v>0</v>
      </c>
      <c r="R49" s="290"/>
      <c r="S49" s="262">
        <f>Q49/Q50</f>
        <v>0</v>
      </c>
    </row>
    <row r="50" spans="1:30" x14ac:dyDescent="0.3">
      <c r="A50" s="251"/>
      <c r="B50" s="252"/>
      <c r="C50" s="252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55"/>
      <c r="Q50" s="264">
        <f>SUM(Q45:Q49)</f>
        <v>60960</v>
      </c>
      <c r="R50" s="490"/>
      <c r="S50" s="262">
        <f>SUM(S45:S49)</f>
        <v>1</v>
      </c>
    </row>
    <row r="52" spans="1:30" ht="18" x14ac:dyDescent="0.35">
      <c r="A52" s="118" t="s">
        <v>538</v>
      </c>
      <c r="S52" s="98"/>
    </row>
    <row r="54" spans="1:30" x14ac:dyDescent="0.3">
      <c r="A54" s="2335" t="s">
        <v>480</v>
      </c>
      <c r="B54" s="2336"/>
      <c r="C54" s="2336"/>
      <c r="D54" s="2336"/>
      <c r="E54" s="2336"/>
      <c r="F54" s="2336"/>
      <c r="G54" s="2336"/>
      <c r="H54" s="2336"/>
      <c r="I54" s="2336"/>
      <c r="J54" s="2336"/>
      <c r="K54" s="2336"/>
      <c r="L54" s="2336"/>
      <c r="M54" s="2336"/>
      <c r="N54" s="2336"/>
      <c r="O54" s="2336"/>
      <c r="P54" s="2336"/>
      <c r="Q54" s="2336"/>
      <c r="R54" s="2336"/>
      <c r="S54" s="2337"/>
      <c r="T54" s="2338" t="s">
        <v>584</v>
      </c>
      <c r="U54" s="2339"/>
      <c r="V54" s="2339"/>
      <c r="W54" s="2339"/>
      <c r="X54" s="2339"/>
      <c r="Y54" s="2339"/>
      <c r="Z54" s="2339"/>
      <c r="AA54" s="2339"/>
      <c r="AB54" s="2339"/>
      <c r="AC54" s="2339"/>
      <c r="AD54" s="2340"/>
    </row>
    <row r="55" spans="1:30" ht="15.6" x14ac:dyDescent="0.3">
      <c r="A55" s="2284" t="s">
        <v>482</v>
      </c>
      <c r="B55" s="2286" t="s">
        <v>483</v>
      </c>
      <c r="C55" s="2286" t="s">
        <v>484</v>
      </c>
      <c r="D55" s="2286" t="s">
        <v>485</v>
      </c>
      <c r="E55" s="2286" t="s">
        <v>486</v>
      </c>
      <c r="F55" s="2288" t="s">
        <v>487</v>
      </c>
      <c r="G55" s="2286" t="s">
        <v>488</v>
      </c>
      <c r="H55" s="2286" t="s">
        <v>489</v>
      </c>
      <c r="I55" s="2266" t="s">
        <v>490</v>
      </c>
      <c r="J55" s="2266"/>
      <c r="K55" s="2266"/>
      <c r="L55" s="2266"/>
      <c r="M55" s="265" t="s">
        <v>491</v>
      </c>
      <c r="N55" s="266" t="s">
        <v>492</v>
      </c>
      <c r="O55" s="267" t="s">
        <v>493</v>
      </c>
      <c r="P55" s="266" t="s">
        <v>492</v>
      </c>
      <c r="Q55" s="266" t="s">
        <v>494</v>
      </c>
      <c r="R55" s="491" t="s">
        <v>585</v>
      </c>
      <c r="S55" s="2267" t="s">
        <v>495</v>
      </c>
      <c r="T55" s="124" t="s">
        <v>496</v>
      </c>
      <c r="U55" s="2364" t="s">
        <v>497</v>
      </c>
      <c r="V55" s="2365"/>
      <c r="W55" s="2365"/>
      <c r="X55" s="2365"/>
      <c r="Y55" s="2366"/>
      <c r="Z55" s="2361" t="s">
        <v>498</v>
      </c>
      <c r="AA55" s="2363"/>
      <c r="AB55" s="2361" t="s">
        <v>499</v>
      </c>
      <c r="AC55" s="2362"/>
      <c r="AD55" s="2363"/>
    </row>
    <row r="56" spans="1:30" ht="15.6" x14ac:dyDescent="0.3">
      <c r="A56" s="2285"/>
      <c r="B56" s="2287"/>
      <c r="C56" s="2287"/>
      <c r="D56" s="2287"/>
      <c r="E56" s="2287"/>
      <c r="F56" s="2289"/>
      <c r="G56" s="2287"/>
      <c r="H56" s="2287"/>
      <c r="I56" s="269" t="s">
        <v>500</v>
      </c>
      <c r="J56" s="269" t="s">
        <v>501</v>
      </c>
      <c r="K56" s="269" t="s">
        <v>502</v>
      </c>
      <c r="L56" s="269" t="s">
        <v>503</v>
      </c>
      <c r="M56" s="270" t="s">
        <v>504</v>
      </c>
      <c r="N56" s="271" t="s">
        <v>505</v>
      </c>
      <c r="O56" s="272" t="s">
        <v>506</v>
      </c>
      <c r="P56" s="271" t="s">
        <v>507</v>
      </c>
      <c r="Q56" s="271" t="s">
        <v>507</v>
      </c>
      <c r="R56" s="271"/>
      <c r="S56" s="2268"/>
      <c r="T56" s="130" t="s">
        <v>508</v>
      </c>
      <c r="U56" s="2298"/>
      <c r="V56" s="2299"/>
      <c r="W56" s="2299"/>
      <c r="X56" s="2299"/>
      <c r="Y56" s="2300"/>
      <c r="Z56" s="2303"/>
      <c r="AA56" s="2304"/>
      <c r="AB56" s="2303"/>
      <c r="AC56" s="2307"/>
      <c r="AD56" s="2304"/>
    </row>
    <row r="57" spans="1:30" ht="18" x14ac:dyDescent="0.35">
      <c r="A57" s="2372" t="s">
        <v>540</v>
      </c>
      <c r="B57" s="2373"/>
      <c r="C57" s="2373"/>
      <c r="D57" s="2373"/>
      <c r="E57" s="2373"/>
      <c r="F57" s="2373"/>
      <c r="G57" s="2373"/>
      <c r="H57" s="2373"/>
      <c r="I57" s="2373"/>
      <c r="J57" s="2373"/>
      <c r="K57" s="2373"/>
      <c r="L57" s="2373"/>
      <c r="M57" s="2373"/>
      <c r="N57" s="2373"/>
      <c r="O57" s="2373"/>
      <c r="P57" s="2373"/>
      <c r="Q57" s="2373"/>
      <c r="R57" s="2373"/>
      <c r="S57" s="2373"/>
      <c r="T57" s="559"/>
      <c r="U57" s="560" t="s">
        <v>510</v>
      </c>
      <c r="V57" s="561" t="s">
        <v>11</v>
      </c>
      <c r="W57" s="561" t="s">
        <v>511</v>
      </c>
      <c r="X57" s="561" t="s">
        <v>512</v>
      </c>
      <c r="Y57" s="562" t="s">
        <v>513</v>
      </c>
      <c r="Z57" s="563" t="s">
        <v>514</v>
      </c>
      <c r="AA57" s="562" t="s">
        <v>515</v>
      </c>
      <c r="AB57" s="563" t="s">
        <v>19</v>
      </c>
      <c r="AC57" s="561" t="s">
        <v>54</v>
      </c>
      <c r="AD57" s="564"/>
    </row>
    <row r="58" spans="1:30" x14ac:dyDescent="0.3">
      <c r="A58" s="154"/>
      <c r="B58" s="462"/>
      <c r="C58" s="462"/>
      <c r="D58" s="462"/>
      <c r="E58" s="462"/>
      <c r="F58" s="463"/>
      <c r="G58" s="462"/>
      <c r="H58" s="462"/>
      <c r="I58" s="465"/>
      <c r="J58" s="465"/>
      <c r="K58" s="465"/>
      <c r="L58" s="465"/>
      <c r="M58" s="462"/>
      <c r="N58" s="468"/>
      <c r="O58" s="469"/>
      <c r="P58" s="468"/>
      <c r="Q58" s="468"/>
      <c r="R58" s="470"/>
      <c r="S58" s="501"/>
      <c r="T58" s="149"/>
      <c r="U58" s="150"/>
      <c r="Y58" s="152"/>
      <c r="Z58" s="280"/>
      <c r="AA58" s="152"/>
      <c r="AB58" s="280"/>
      <c r="AD58" s="152"/>
    </row>
    <row r="59" spans="1:30" x14ac:dyDescent="0.3">
      <c r="A59" s="157" t="s">
        <v>611</v>
      </c>
      <c r="B59" s="157" t="s">
        <v>55</v>
      </c>
      <c r="C59" s="157" t="s">
        <v>517</v>
      </c>
      <c r="D59" s="157" t="s">
        <v>26</v>
      </c>
      <c r="E59" s="157" t="s">
        <v>520</v>
      </c>
      <c r="F59" s="158" t="s">
        <v>590</v>
      </c>
      <c r="G59" s="157">
        <v>1</v>
      </c>
      <c r="H59" s="157" t="s">
        <v>24</v>
      </c>
      <c r="I59" s="159">
        <v>1</v>
      </c>
      <c r="J59" s="161"/>
      <c r="K59" s="161"/>
      <c r="L59" s="2209"/>
      <c r="M59" s="163">
        <v>1</v>
      </c>
      <c r="N59" s="164">
        <v>5200</v>
      </c>
      <c r="O59" s="165">
        <v>0.34</v>
      </c>
      <c r="P59" s="166">
        <f>N59*(1-O59)</f>
        <v>3431.9999999999995</v>
      </c>
      <c r="Q59" s="166">
        <f t="shared" ref="Q59:Q65" si="7">P59*M59*G59</f>
        <v>3431.9999999999995</v>
      </c>
      <c r="R59" s="206" t="e">
        <f>(Q59+Q60+Q64+#REF!)/E35*1000</f>
        <v>#REF!</v>
      </c>
      <c r="S59" s="167">
        <f>Q59/$Q$72</f>
        <v>5.1239175873395035E-2</v>
      </c>
      <c r="T59" s="168">
        <f>Q59</f>
        <v>3431.9999999999995</v>
      </c>
      <c r="U59" s="150">
        <f t="shared" ref="U59:U65" si="8">T59</f>
        <v>3431.9999999999995</v>
      </c>
      <c r="V59" s="169"/>
      <c r="W59" s="169"/>
      <c r="X59" s="169"/>
      <c r="Y59" s="171"/>
      <c r="Z59" s="282"/>
      <c r="AA59" s="171">
        <f>T59</f>
        <v>3431.9999999999995</v>
      </c>
      <c r="AB59" s="282">
        <f>T59</f>
        <v>3431.9999999999995</v>
      </c>
      <c r="AD59" s="152"/>
    </row>
    <row r="60" spans="1:30" x14ac:dyDescent="0.3">
      <c r="A60" s="157" t="s">
        <v>611</v>
      </c>
      <c r="B60" s="157" t="s">
        <v>55</v>
      </c>
      <c r="C60" s="157" t="s">
        <v>517</v>
      </c>
      <c r="D60" s="157" t="s">
        <v>21</v>
      </c>
      <c r="E60" s="157" t="s">
        <v>518</v>
      </c>
      <c r="F60" s="158" t="s">
        <v>588</v>
      </c>
      <c r="G60" s="157">
        <v>1</v>
      </c>
      <c r="H60" s="157" t="s">
        <v>24</v>
      </c>
      <c r="I60" s="159">
        <v>1</v>
      </c>
      <c r="J60" s="161"/>
      <c r="K60" s="161"/>
      <c r="L60" s="2209"/>
      <c r="M60" s="163">
        <v>1</v>
      </c>
      <c r="N60" s="166">
        <v>7800</v>
      </c>
      <c r="O60" s="173">
        <v>0.34</v>
      </c>
      <c r="P60" s="166">
        <f>N60*(1-O60)</f>
        <v>5147.9999999999991</v>
      </c>
      <c r="Q60" s="166">
        <f t="shared" si="7"/>
        <v>5147.9999999999991</v>
      </c>
      <c r="R60" s="206" t="e">
        <f>(Q60+Q63+#REF!+#REF!)/E36*1000</f>
        <v>#REF!</v>
      </c>
      <c r="S60" s="167">
        <f t="shared" ref="S60:S62" si="9">Q60/$Q$72</f>
        <v>7.6858763810092545E-2</v>
      </c>
      <c r="T60" s="168">
        <f t="shared" ref="T60:T65" si="10">Q60</f>
        <v>5147.9999999999991</v>
      </c>
      <c r="U60" s="150">
        <f t="shared" si="8"/>
        <v>5147.9999999999991</v>
      </c>
      <c r="V60" s="169"/>
      <c r="Y60" s="152"/>
      <c r="Z60" s="282"/>
      <c r="AA60" s="171">
        <f>T60</f>
        <v>5147.9999999999991</v>
      </c>
      <c r="AB60" s="282">
        <f>T60</f>
        <v>5147.9999999999991</v>
      </c>
      <c r="AD60" s="152"/>
    </row>
    <row r="61" spans="1:30" x14ac:dyDescent="0.3">
      <c r="A61" s="157" t="s">
        <v>611</v>
      </c>
      <c r="B61" s="157" t="s">
        <v>55</v>
      </c>
      <c r="C61" s="157" t="s">
        <v>592</v>
      </c>
      <c r="D61" s="157" t="s">
        <v>50</v>
      </c>
      <c r="E61" s="157" t="s">
        <v>520</v>
      </c>
      <c r="F61" s="158" t="s">
        <v>541</v>
      </c>
      <c r="G61" s="157">
        <v>3</v>
      </c>
      <c r="H61" s="157" t="s">
        <v>24</v>
      </c>
      <c r="I61" s="175">
        <v>3</v>
      </c>
      <c r="J61" s="176"/>
      <c r="K61" s="176"/>
      <c r="L61" s="177"/>
      <c r="M61" s="163">
        <v>1</v>
      </c>
      <c r="N61" s="166">
        <v>1550</v>
      </c>
      <c r="O61" s="173">
        <v>0.2</v>
      </c>
      <c r="P61" s="166">
        <f>N61*(1-O61)</f>
        <v>1240</v>
      </c>
      <c r="Q61" s="166">
        <f t="shared" si="7"/>
        <v>3720</v>
      </c>
      <c r="R61" s="206" t="e">
        <f>(Q61+Q64+#REF!+#REF!)/E37*1000</f>
        <v>#REF!</v>
      </c>
      <c r="S61" s="167">
        <f t="shared" si="9"/>
        <v>5.5538966855777847E-2</v>
      </c>
      <c r="T61" s="168">
        <f t="shared" si="10"/>
        <v>3720</v>
      </c>
      <c r="U61" s="150"/>
      <c r="V61" s="169"/>
      <c r="W61" s="169">
        <f>T61</f>
        <v>3720</v>
      </c>
      <c r="Y61" s="152"/>
      <c r="Z61" s="282"/>
      <c r="AA61" s="171"/>
      <c r="AB61" s="282">
        <f>T61</f>
        <v>3720</v>
      </c>
      <c r="AD61" s="152"/>
    </row>
    <row r="62" spans="1:30" x14ac:dyDescent="0.3">
      <c r="A62" s="157" t="s">
        <v>611</v>
      </c>
      <c r="B62" s="157" t="s">
        <v>55</v>
      </c>
      <c r="C62" s="157"/>
      <c r="D62" s="157" t="s">
        <v>57</v>
      </c>
      <c r="E62" s="157" t="s">
        <v>520</v>
      </c>
      <c r="F62" s="158" t="s">
        <v>523</v>
      </c>
      <c r="G62" s="157">
        <v>4</v>
      </c>
      <c r="H62" s="157" t="s">
        <v>58</v>
      </c>
      <c r="I62" s="175">
        <v>4</v>
      </c>
      <c r="J62" s="179"/>
      <c r="K62" s="176">
        <v>4</v>
      </c>
      <c r="L62" s="180"/>
      <c r="M62" s="163">
        <v>2</v>
      </c>
      <c r="N62" s="166">
        <v>2450</v>
      </c>
      <c r="O62" s="173">
        <v>0.2</v>
      </c>
      <c r="P62" s="166">
        <f>N62*(1-O62)</f>
        <v>1960</v>
      </c>
      <c r="Q62" s="166">
        <f t="shared" si="7"/>
        <v>15680</v>
      </c>
      <c r="R62" s="206" t="e">
        <f>(Q62+Q65+#REF!+#REF!)/E38*1000</f>
        <v>#REF!</v>
      </c>
      <c r="S62" s="167">
        <f t="shared" si="9"/>
        <v>0.2340997312630636</v>
      </c>
      <c r="T62" s="168">
        <f t="shared" si="10"/>
        <v>15680</v>
      </c>
      <c r="U62" s="150"/>
      <c r="V62" s="169"/>
      <c r="W62" s="169">
        <f>T62</f>
        <v>15680</v>
      </c>
      <c r="Y62" s="152"/>
      <c r="Z62" s="282"/>
      <c r="AA62" s="171"/>
      <c r="AB62" s="282">
        <f>T62</f>
        <v>15680</v>
      </c>
      <c r="AD62" s="152"/>
    </row>
    <row r="63" spans="1:30" x14ac:dyDescent="0.3">
      <c r="A63" s="157" t="s">
        <v>611</v>
      </c>
      <c r="B63" s="157" t="s">
        <v>56</v>
      </c>
      <c r="C63" s="157" t="s">
        <v>517</v>
      </c>
      <c r="D63" s="157" t="s">
        <v>26</v>
      </c>
      <c r="E63" s="157" t="s">
        <v>520</v>
      </c>
      <c r="F63" s="158" t="s">
        <v>588</v>
      </c>
      <c r="G63" s="157">
        <v>1</v>
      </c>
      <c r="H63" s="157" t="s">
        <v>24</v>
      </c>
      <c r="I63" s="159">
        <v>1</v>
      </c>
      <c r="J63" s="161"/>
      <c r="K63" s="161"/>
      <c r="L63" s="2209"/>
      <c r="M63" s="163">
        <v>1</v>
      </c>
      <c r="N63" s="166">
        <v>3500</v>
      </c>
      <c r="O63" s="173">
        <v>0.2</v>
      </c>
      <c r="P63" s="166">
        <f t="shared" ref="P63:P65" si="11">N63*(1-O63)</f>
        <v>2800</v>
      </c>
      <c r="Q63" s="166">
        <f t="shared" si="7"/>
        <v>2800</v>
      </c>
      <c r="R63" s="206"/>
      <c r="S63" s="504">
        <f>Q63/$Q$72</f>
        <v>4.1803523439832783E-2</v>
      </c>
      <c r="T63" s="168">
        <f t="shared" si="10"/>
        <v>2800</v>
      </c>
      <c r="U63" s="150">
        <f t="shared" si="8"/>
        <v>2800</v>
      </c>
      <c r="V63" s="169"/>
      <c r="Y63" s="152"/>
      <c r="Z63" s="282"/>
      <c r="AA63" s="171">
        <f>T63</f>
        <v>2800</v>
      </c>
      <c r="AB63" s="280"/>
      <c r="AC63" s="169">
        <f>T63</f>
        <v>2800</v>
      </c>
      <c r="AD63" s="152"/>
    </row>
    <row r="64" spans="1:30" x14ac:dyDescent="0.3">
      <c r="A64" s="157" t="s">
        <v>611</v>
      </c>
      <c r="B64" s="157" t="s">
        <v>56</v>
      </c>
      <c r="C64" s="157" t="s">
        <v>517</v>
      </c>
      <c r="D64" s="157" t="s">
        <v>27</v>
      </c>
      <c r="E64" s="157" t="s">
        <v>520</v>
      </c>
      <c r="F64" s="158" t="s">
        <v>612</v>
      </c>
      <c r="G64" s="157">
        <v>13</v>
      </c>
      <c r="H64" s="157" t="s">
        <v>24</v>
      </c>
      <c r="I64" s="175">
        <v>13</v>
      </c>
      <c r="J64" s="176"/>
      <c r="K64" s="179"/>
      <c r="L64" s="180"/>
      <c r="M64" s="163">
        <v>1</v>
      </c>
      <c r="N64" s="166">
        <v>1500</v>
      </c>
      <c r="O64" s="173">
        <v>0.2</v>
      </c>
      <c r="P64" s="166">
        <f t="shared" si="11"/>
        <v>1200</v>
      </c>
      <c r="Q64" s="166">
        <f t="shared" si="7"/>
        <v>15600</v>
      </c>
      <c r="R64" s="206" t="e">
        <f>(Q64+#REF!)/E36*1000</f>
        <v>#REF!</v>
      </c>
      <c r="S64" s="504">
        <f t="shared" ref="S64:S65" si="12">Q64/$Q$72</f>
        <v>0.23290534487906839</v>
      </c>
      <c r="T64" s="168">
        <f t="shared" si="10"/>
        <v>15600</v>
      </c>
      <c r="U64" s="150">
        <f t="shared" si="8"/>
        <v>15600</v>
      </c>
      <c r="W64" s="169"/>
      <c r="Y64" s="152"/>
      <c r="Z64" s="283">
        <f>T64</f>
        <v>15600</v>
      </c>
      <c r="AA64" s="171"/>
      <c r="AB64" s="280"/>
      <c r="AC64" s="169">
        <f>T64</f>
        <v>15600</v>
      </c>
      <c r="AD64" s="152"/>
    </row>
    <row r="65" spans="1:30" x14ac:dyDescent="0.3">
      <c r="A65" s="157" t="s">
        <v>611</v>
      </c>
      <c r="B65" s="157" t="s">
        <v>56</v>
      </c>
      <c r="C65" s="157" t="s">
        <v>517</v>
      </c>
      <c r="D65" s="157" t="s">
        <v>27</v>
      </c>
      <c r="E65" s="157" t="s">
        <v>520</v>
      </c>
      <c r="F65" s="158" t="s">
        <v>613</v>
      </c>
      <c r="G65" s="157">
        <v>13</v>
      </c>
      <c r="H65" s="157" t="s">
        <v>24</v>
      </c>
      <c r="I65" s="474"/>
      <c r="J65" s="1"/>
      <c r="K65" s="176">
        <v>13</v>
      </c>
      <c r="L65" s="177"/>
      <c r="M65" s="163">
        <v>1</v>
      </c>
      <c r="N65" s="166">
        <v>1500</v>
      </c>
      <c r="O65" s="173">
        <v>0.2</v>
      </c>
      <c r="P65" s="166">
        <f t="shared" si="11"/>
        <v>1200</v>
      </c>
      <c r="Q65" s="166">
        <f t="shared" si="7"/>
        <v>15600</v>
      </c>
      <c r="R65" s="206" t="e">
        <f>(Q65+#REF!)/E38*1000</f>
        <v>#REF!</v>
      </c>
      <c r="S65" s="504">
        <f t="shared" si="12"/>
        <v>0.23290534487906839</v>
      </c>
      <c r="T65" s="168">
        <f t="shared" si="10"/>
        <v>15600</v>
      </c>
      <c r="U65" s="150">
        <f t="shared" si="8"/>
        <v>15600</v>
      </c>
      <c r="W65" s="169"/>
      <c r="Y65" s="152"/>
      <c r="Z65" s="283">
        <f>T65</f>
        <v>15600</v>
      </c>
      <c r="AA65" s="171"/>
      <c r="AB65" s="280"/>
      <c r="AC65" s="169">
        <f>T65</f>
        <v>15600</v>
      </c>
      <c r="AD65" s="152"/>
    </row>
    <row r="66" spans="1:30" x14ac:dyDescent="0.3">
      <c r="A66" s="157"/>
      <c r="B66" s="157"/>
      <c r="C66" s="157"/>
      <c r="D66" s="157"/>
      <c r="E66" s="157"/>
      <c r="F66" s="158"/>
      <c r="G66" s="157"/>
      <c r="H66" s="157"/>
      <c r="I66" s="474"/>
      <c r="J66" s="1"/>
      <c r="K66" s="1"/>
      <c r="L66" s="163"/>
      <c r="M66" s="163"/>
      <c r="N66" s="473"/>
      <c r="O66" s="165"/>
      <c r="P66" s="476"/>
      <c r="Q66" s="473"/>
      <c r="R66" s="9"/>
      <c r="S66" s="506"/>
      <c r="T66" s="478"/>
      <c r="U66" s="565"/>
      <c r="Y66" s="152"/>
      <c r="Z66" s="282"/>
      <c r="AA66" s="171"/>
      <c r="AB66" s="280"/>
      <c r="AD66" s="152"/>
    </row>
    <row r="67" spans="1:30" x14ac:dyDescent="0.3">
      <c r="A67" s="157"/>
      <c r="B67" s="157"/>
      <c r="C67" s="157"/>
      <c r="D67" s="157"/>
      <c r="E67" s="157"/>
      <c r="F67" s="158"/>
      <c r="G67" s="157"/>
      <c r="H67" s="157"/>
      <c r="I67" s="474"/>
      <c r="J67" s="1"/>
      <c r="K67" s="1"/>
      <c r="L67" s="163"/>
      <c r="M67" s="163"/>
      <c r="N67" s="473"/>
      <c r="O67" s="165"/>
      <c r="P67" s="476"/>
      <c r="Q67" s="473"/>
      <c r="R67" s="9"/>
      <c r="S67" s="506"/>
      <c r="T67" s="478"/>
      <c r="U67" s="565"/>
      <c r="Y67" s="152"/>
      <c r="Z67" s="282"/>
      <c r="AA67" s="171"/>
      <c r="AB67" s="280"/>
      <c r="AD67" s="152"/>
    </row>
    <row r="68" spans="1:30" x14ac:dyDescent="0.3">
      <c r="A68" s="157"/>
      <c r="B68" s="157"/>
      <c r="C68" s="157"/>
      <c r="D68" s="157"/>
      <c r="E68" s="157"/>
      <c r="F68" s="158"/>
      <c r="G68" s="157"/>
      <c r="H68" s="157"/>
      <c r="I68" s="474"/>
      <c r="J68" s="1"/>
      <c r="K68" s="1"/>
      <c r="L68" s="163"/>
      <c r="M68" s="163"/>
      <c r="N68" s="473"/>
      <c r="O68" s="165"/>
      <c r="P68" s="476"/>
      <c r="Q68" s="473"/>
      <c r="R68" s="9"/>
      <c r="S68" s="506"/>
      <c r="T68" s="478"/>
      <c r="U68" s="565"/>
      <c r="Y68" s="152"/>
      <c r="Z68" s="282"/>
      <c r="AA68" s="171"/>
      <c r="AB68" s="280"/>
      <c r="AD68" s="152"/>
    </row>
    <row r="69" spans="1:30" x14ac:dyDescent="0.3">
      <c r="A69" s="190" t="s">
        <v>614</v>
      </c>
      <c r="B69" s="190" t="s">
        <v>528</v>
      </c>
      <c r="C69" s="190"/>
      <c r="D69" s="190"/>
      <c r="E69" s="190"/>
      <c r="F69" s="191"/>
      <c r="G69" s="190"/>
      <c r="H69" s="190"/>
      <c r="I69" s="575"/>
      <c r="J69" s="576"/>
      <c r="K69" s="576"/>
      <c r="L69" s="577"/>
      <c r="M69" s="163"/>
      <c r="N69" s="194"/>
      <c r="O69" s="195"/>
      <c r="P69" s="186"/>
      <c r="Q69" s="166"/>
      <c r="R69" s="288"/>
      <c r="S69" s="196"/>
      <c r="T69" s="168"/>
      <c r="U69" s="150"/>
      <c r="X69" s="169">
        <f>T69</f>
        <v>0</v>
      </c>
      <c r="Y69" s="152"/>
      <c r="Z69" s="280"/>
      <c r="AA69" s="171"/>
      <c r="AB69" s="280"/>
      <c r="AD69" s="152"/>
    </row>
    <row r="70" spans="1:30" x14ac:dyDescent="0.3">
      <c r="A70" s="108" t="s">
        <v>615</v>
      </c>
      <c r="B70" s="108" t="s">
        <v>529</v>
      </c>
      <c r="C70" s="108"/>
      <c r="D70" s="108" t="s">
        <v>530</v>
      </c>
      <c r="E70" s="108"/>
      <c r="F70" s="479"/>
      <c r="G70" s="108"/>
      <c r="H70" s="108"/>
      <c r="I70" s="254"/>
      <c r="J70" s="254"/>
      <c r="K70" s="254"/>
      <c r="L70" s="254"/>
      <c r="M70" s="108"/>
      <c r="N70" s="257"/>
      <c r="O70" s="109"/>
      <c r="P70" s="290"/>
      <c r="Q70" s="257">
        <v>5000</v>
      </c>
      <c r="R70" s="480"/>
      <c r="S70" s="291">
        <f>Q70/Q72</f>
        <v>7.4649148999701403E-2</v>
      </c>
      <c r="T70" s="168">
        <f>Q70</f>
        <v>5000</v>
      </c>
      <c r="U70" s="150"/>
      <c r="Y70" s="171">
        <f>T70</f>
        <v>5000</v>
      </c>
      <c r="Z70" s="280"/>
      <c r="AA70" s="152"/>
      <c r="AB70" s="280"/>
      <c r="AD70" s="152"/>
    </row>
    <row r="71" spans="1:30" x14ac:dyDescent="0.3">
      <c r="I71" s="115">
        <f>I72/M72</f>
        <v>0.57499999999999996</v>
      </c>
      <c r="J71" s="115"/>
      <c r="K71" s="115">
        <f>K72/M72</f>
        <v>0.42499999999999999</v>
      </c>
      <c r="T71" s="325"/>
      <c r="U71" s="578"/>
      <c r="V71" s="245"/>
      <c r="W71" s="245"/>
      <c r="X71" s="245"/>
      <c r="Y71" s="567"/>
      <c r="Z71" s="566"/>
      <c r="AA71" s="567"/>
      <c r="AB71" s="566"/>
      <c r="AC71" s="245"/>
      <c r="AD71" s="567"/>
    </row>
    <row r="72" spans="1:30" x14ac:dyDescent="0.3">
      <c r="A72" s="212" t="s">
        <v>531</v>
      </c>
      <c r="B72" s="213"/>
      <c r="C72" s="213"/>
      <c r="D72" s="213"/>
      <c r="E72" s="213"/>
      <c r="F72" s="214"/>
      <c r="G72" s="213"/>
      <c r="H72" s="213"/>
      <c r="I72" s="213">
        <f>I64+I63+I60+I59+I62+I61</f>
        <v>23</v>
      </c>
      <c r="J72" s="213"/>
      <c r="K72" s="213">
        <f>K65+K62</f>
        <v>17</v>
      </c>
      <c r="L72" s="213"/>
      <c r="M72" s="213">
        <f>SUM(I72:L72)</f>
        <v>40</v>
      </c>
      <c r="N72" s="215"/>
      <c r="O72" s="216"/>
      <c r="P72" s="215"/>
      <c r="Q72" s="481">
        <f>SUM(Q59:Q71)</f>
        <v>66980</v>
      </c>
      <c r="R72" s="481"/>
      <c r="S72" s="218">
        <f>SUM(S59:S70)</f>
        <v>1</v>
      </c>
      <c r="T72" s="292">
        <f>SUM(T59:T71)</f>
        <v>66980</v>
      </c>
      <c r="U72" s="220">
        <f t="shared" ref="U72:AA72" si="13">SUM(U59:U70)</f>
        <v>42580</v>
      </c>
      <c r="V72" s="221">
        <f t="shared" si="13"/>
        <v>0</v>
      </c>
      <c r="W72" s="221">
        <f t="shared" si="13"/>
        <v>19400</v>
      </c>
      <c r="X72" s="221">
        <f t="shared" si="13"/>
        <v>0</v>
      </c>
      <c r="Y72" s="223">
        <f t="shared" si="13"/>
        <v>5000</v>
      </c>
      <c r="Z72" s="222">
        <f t="shared" si="13"/>
        <v>31200</v>
      </c>
      <c r="AA72" s="223">
        <f t="shared" si="13"/>
        <v>11379.999999999998</v>
      </c>
      <c r="AB72" s="220">
        <f>SUM(AB59:AB71)</f>
        <v>27980</v>
      </c>
      <c r="AC72" s="221">
        <f>SUM(AC59:AC71)</f>
        <v>34000</v>
      </c>
      <c r="AD72" s="579"/>
    </row>
    <row r="73" spans="1:30" x14ac:dyDescent="0.3">
      <c r="A73" s="228" t="s">
        <v>532</v>
      </c>
      <c r="B73" s="229"/>
      <c r="C73" s="229"/>
      <c r="D73" s="229"/>
      <c r="E73" s="229"/>
      <c r="F73" s="230"/>
      <c r="G73" s="229"/>
      <c r="H73" s="229"/>
      <c r="I73" s="229">
        <f>I64+I63+I60+I59+I62+I61</f>
        <v>23</v>
      </c>
      <c r="J73" s="229">
        <f>I64+I63+I60+I59+I61</f>
        <v>19</v>
      </c>
      <c r="K73" s="229">
        <f>K65+I63+I60+I59+K62+I61</f>
        <v>23</v>
      </c>
      <c r="L73" s="229">
        <f>K65+I63+I60+I59+I61</f>
        <v>19</v>
      </c>
      <c r="M73" s="229">
        <f>SUM(I73:L73)</f>
        <v>84</v>
      </c>
      <c r="N73" s="231"/>
      <c r="O73" s="232"/>
      <c r="P73" s="231"/>
      <c r="Q73" s="231"/>
      <c r="R73" s="231"/>
      <c r="S73" s="233"/>
      <c r="T73" s="234"/>
      <c r="U73" s="580">
        <f>U72/T72</f>
        <v>0.6357121528814571</v>
      </c>
      <c r="V73" s="236">
        <f>V72/T72</f>
        <v>0</v>
      </c>
      <c r="W73" s="236">
        <f>W72/T72</f>
        <v>0.28963869811884146</v>
      </c>
      <c r="X73" s="236">
        <f>X72/T72</f>
        <v>0</v>
      </c>
      <c r="Y73" s="297">
        <f>Y72/T72</f>
        <v>7.4649148999701403E-2</v>
      </c>
      <c r="Z73" s="298">
        <f>Z72/T72</f>
        <v>0.46581068975813678</v>
      </c>
      <c r="AA73" s="297">
        <f>AA72/T72</f>
        <v>0.16990146312332036</v>
      </c>
      <c r="AB73" s="573"/>
      <c r="AC73" s="487"/>
      <c r="AD73" s="242"/>
    </row>
    <row r="74" spans="1:30" x14ac:dyDescent="0.3">
      <c r="A74" s="243" t="s">
        <v>533</v>
      </c>
      <c r="B74" s="193"/>
      <c r="C74" s="193"/>
      <c r="D74" s="193"/>
      <c r="E74" s="193"/>
      <c r="F74" s="244"/>
      <c r="G74" s="193"/>
      <c r="H74" s="193"/>
      <c r="I74" s="2182">
        <f>I73/M73</f>
        <v>0.27380952380952384</v>
      </c>
      <c r="J74" s="2182">
        <f>J73/M73</f>
        <v>0.22619047619047619</v>
      </c>
      <c r="K74" s="2182">
        <v>0.27</v>
      </c>
      <c r="L74" s="2182">
        <v>0.23</v>
      </c>
      <c r="M74" s="193"/>
      <c r="N74" s="246"/>
      <c r="O74" s="196"/>
      <c r="P74" s="246"/>
      <c r="Q74" s="194">
        <f>U72</f>
        <v>42580</v>
      </c>
      <c r="R74" s="288"/>
      <c r="S74" s="247">
        <f>Q74/Q79</f>
        <v>0.6357121528814571</v>
      </c>
      <c r="Y74" s="248"/>
      <c r="Z74" s="357">
        <f>I64+K65+I63</f>
        <v>27</v>
      </c>
      <c r="AA74" s="358">
        <f>I59+I60+I61+I62+K62</f>
        <v>13</v>
      </c>
    </row>
    <row r="75" spans="1:30" x14ac:dyDescent="0.3">
      <c r="A75" s="251" t="s">
        <v>11</v>
      </c>
      <c r="B75" s="252"/>
      <c r="C75" s="252"/>
      <c r="D75" s="252"/>
      <c r="E75" s="252"/>
      <c r="F75" s="253"/>
      <c r="G75" s="252"/>
      <c r="H75" s="252"/>
      <c r="I75" s="254"/>
      <c r="J75" s="254"/>
      <c r="K75" s="254"/>
      <c r="L75" s="254"/>
      <c r="M75" s="252"/>
      <c r="N75" s="255"/>
      <c r="O75" s="256"/>
      <c r="P75" s="255"/>
      <c r="Q75" s="257">
        <f>V72</f>
        <v>0</v>
      </c>
      <c r="R75" s="290"/>
      <c r="S75" s="256">
        <f>Q75/Q79</f>
        <v>0</v>
      </c>
      <c r="T75" s="574">
        <f>Q72/M72</f>
        <v>1674.5</v>
      </c>
      <c r="U75" s="489" t="s">
        <v>535</v>
      </c>
      <c r="Z75" s="195">
        <f>Z74/M72</f>
        <v>0.67500000000000004</v>
      </c>
      <c r="AA75" s="247">
        <f>AA74/M72</f>
        <v>0.32500000000000001</v>
      </c>
    </row>
    <row r="76" spans="1:30" x14ac:dyDescent="0.3">
      <c r="A76" s="251" t="s">
        <v>536</v>
      </c>
      <c r="B76" s="252"/>
      <c r="C76" s="252"/>
      <c r="D76" s="252"/>
      <c r="E76" s="252"/>
      <c r="F76" s="253"/>
      <c r="G76" s="252"/>
      <c r="H76" s="252"/>
      <c r="I76" s="254"/>
      <c r="J76" s="254"/>
      <c r="K76" s="254"/>
      <c r="L76" s="254"/>
      <c r="M76" s="252"/>
      <c r="N76" s="255"/>
      <c r="O76" s="256"/>
      <c r="P76" s="255"/>
      <c r="Q76" s="257">
        <f>W72</f>
        <v>19400</v>
      </c>
      <c r="R76" s="290"/>
      <c r="S76" s="262">
        <f>Q76/Q79</f>
        <v>0.28963869811884146</v>
      </c>
      <c r="V76" s="263"/>
      <c r="X76" s="99"/>
      <c r="Z76" s="2265" t="s">
        <v>537</v>
      </c>
      <c r="AA76" s="2265"/>
    </row>
    <row r="77" spans="1:30" x14ac:dyDescent="0.3">
      <c r="A77" s="251" t="s">
        <v>529</v>
      </c>
      <c r="B77" s="252"/>
      <c r="C77" s="252"/>
      <c r="D77" s="252"/>
      <c r="E77" s="252"/>
      <c r="F77" s="253"/>
      <c r="G77" s="252"/>
      <c r="H77" s="252"/>
      <c r="I77" s="254"/>
      <c r="J77" s="254"/>
      <c r="K77" s="254"/>
      <c r="L77" s="254"/>
      <c r="M77" s="252"/>
      <c r="N77" s="255"/>
      <c r="O77" s="256"/>
      <c r="P77" s="255"/>
      <c r="Q77" s="257">
        <f>Y72</f>
        <v>5000</v>
      </c>
      <c r="R77" s="290"/>
      <c r="S77" s="262">
        <f>Q77/Q79</f>
        <v>7.4649148999701403E-2</v>
      </c>
      <c r="V77" s="263"/>
    </row>
    <row r="78" spans="1:30" x14ac:dyDescent="0.3">
      <c r="A78" s="251" t="s">
        <v>528</v>
      </c>
      <c r="B78" s="252"/>
      <c r="C78" s="252"/>
      <c r="D78" s="252"/>
      <c r="E78" s="252"/>
      <c r="F78" s="253"/>
      <c r="G78" s="252"/>
      <c r="H78" s="252"/>
      <c r="I78" s="254"/>
      <c r="J78" s="254"/>
      <c r="K78" s="254"/>
      <c r="L78" s="254"/>
      <c r="M78" s="252"/>
      <c r="N78" s="255"/>
      <c r="O78" s="256"/>
      <c r="P78" s="255"/>
      <c r="Q78" s="257">
        <f>X72</f>
        <v>0</v>
      </c>
      <c r="R78" s="290"/>
      <c r="S78" s="262">
        <f>Q78/Q79</f>
        <v>0</v>
      </c>
    </row>
    <row r="79" spans="1:30" x14ac:dyDescent="0.3">
      <c r="A79" s="251"/>
      <c r="B79" s="252"/>
      <c r="C79" s="252"/>
      <c r="D79" s="252"/>
      <c r="E79" s="252"/>
      <c r="F79" s="253"/>
      <c r="G79" s="252"/>
      <c r="H79" s="252"/>
      <c r="I79" s="254"/>
      <c r="J79" s="254"/>
      <c r="K79" s="254"/>
      <c r="L79" s="254"/>
      <c r="M79" s="252"/>
      <c r="N79" s="255"/>
      <c r="O79" s="256"/>
      <c r="P79" s="255"/>
      <c r="Q79" s="264">
        <f>SUM(Q74:Q78)</f>
        <v>66980</v>
      </c>
      <c r="R79" s="490"/>
      <c r="S79" s="262">
        <f>SUM(S74:S78)</f>
        <v>1</v>
      </c>
    </row>
    <row r="80" spans="1:30" x14ac:dyDescent="0.3">
      <c r="B80" s="2"/>
    </row>
    <row r="81" spans="1:30" x14ac:dyDescent="0.3">
      <c r="B81" s="2"/>
    </row>
    <row r="83" spans="1:30" x14ac:dyDescent="0.3">
      <c r="B83" s="2"/>
    </row>
    <row r="84" spans="1:30" x14ac:dyDescent="0.3">
      <c r="B84" s="2"/>
      <c r="E84" s="1" t="s">
        <v>543</v>
      </c>
      <c r="F84" s="2" t="s">
        <v>616</v>
      </c>
      <c r="G84" s="1" t="s">
        <v>545</v>
      </c>
      <c r="H84" s="1"/>
      <c r="I84" s="304">
        <v>0.28999999999999998</v>
      </c>
      <c r="J84" s="304"/>
    </row>
    <row r="85" spans="1:30" x14ac:dyDescent="0.3">
      <c r="B85" s="2"/>
      <c r="E85" s="1" t="s">
        <v>473</v>
      </c>
      <c r="F85" s="2" t="s">
        <v>617</v>
      </c>
      <c r="G85" s="1" t="s">
        <v>473</v>
      </c>
      <c r="H85" s="1"/>
      <c r="I85" s="1">
        <v>21</v>
      </c>
      <c r="J85" s="1"/>
    </row>
    <row r="86" spans="1:30" x14ac:dyDescent="0.3">
      <c r="B86" s="2"/>
      <c r="E86" s="1" t="s">
        <v>475</v>
      </c>
      <c r="F86" s="2" t="s">
        <v>618</v>
      </c>
      <c r="G86" s="1" t="s">
        <v>475</v>
      </c>
      <c r="H86" s="1"/>
      <c r="I86" s="95">
        <v>600</v>
      </c>
      <c r="J86" s="95"/>
    </row>
    <row r="87" spans="1:30" x14ac:dyDescent="0.3">
      <c r="B87" s="2"/>
      <c r="E87" s="1" t="s">
        <v>477</v>
      </c>
      <c r="F87" s="2" t="s">
        <v>619</v>
      </c>
      <c r="G87" s="1" t="s">
        <v>477</v>
      </c>
      <c r="H87" s="1"/>
      <c r="I87" s="95">
        <v>1595947</v>
      </c>
      <c r="J87" s="95"/>
    </row>
    <row r="88" spans="1:30" x14ac:dyDescent="0.3">
      <c r="B88" s="2"/>
    </row>
    <row r="89" spans="1:30" ht="18" x14ac:dyDescent="0.35">
      <c r="A89" s="118" t="s">
        <v>549</v>
      </c>
      <c r="S89" s="98"/>
    </row>
    <row r="91" spans="1:30" x14ac:dyDescent="0.3">
      <c r="A91" s="2335" t="s">
        <v>480</v>
      </c>
      <c r="B91" s="2336"/>
      <c r="C91" s="2336"/>
      <c r="D91" s="2336"/>
      <c r="E91" s="2336"/>
      <c r="F91" s="2336"/>
      <c r="G91" s="2336"/>
      <c r="H91" s="2336"/>
      <c r="I91" s="2336"/>
      <c r="J91" s="2336"/>
      <c r="K91" s="2336"/>
      <c r="L91" s="2336"/>
      <c r="M91" s="2336"/>
      <c r="N91" s="2336"/>
      <c r="O91" s="2336"/>
      <c r="P91" s="2336"/>
      <c r="Q91" s="2336"/>
      <c r="R91" s="2336"/>
      <c r="S91" s="2337"/>
      <c r="T91" s="2338" t="s">
        <v>584</v>
      </c>
      <c r="U91" s="2339"/>
      <c r="V91" s="2339"/>
      <c r="W91" s="2339"/>
      <c r="X91" s="2339"/>
      <c r="Y91" s="2339"/>
      <c r="Z91" s="2339"/>
      <c r="AA91" s="2339"/>
      <c r="AB91" s="2339"/>
      <c r="AC91" s="2339"/>
      <c r="AD91" s="2340"/>
    </row>
    <row r="92" spans="1:30" ht="15.6" x14ac:dyDescent="0.3">
      <c r="A92" s="2256" t="s">
        <v>482</v>
      </c>
      <c r="B92" s="2258" t="s">
        <v>483</v>
      </c>
      <c r="C92" s="2258" t="s">
        <v>484</v>
      </c>
      <c r="D92" s="2258" t="s">
        <v>485</v>
      </c>
      <c r="E92" s="2258" t="s">
        <v>486</v>
      </c>
      <c r="F92" s="2260" t="s">
        <v>487</v>
      </c>
      <c r="G92" s="2258" t="s">
        <v>488</v>
      </c>
      <c r="H92" s="2258" t="s">
        <v>489</v>
      </c>
      <c r="I92" s="2240" t="s">
        <v>490</v>
      </c>
      <c r="J92" s="2240"/>
      <c r="K92" s="2240"/>
      <c r="L92" s="2240"/>
      <c r="M92" s="305" t="s">
        <v>491</v>
      </c>
      <c r="N92" s="306" t="s">
        <v>492</v>
      </c>
      <c r="O92" s="307" t="s">
        <v>493</v>
      </c>
      <c r="P92" s="306" t="s">
        <v>492</v>
      </c>
      <c r="Q92" s="306" t="s">
        <v>494</v>
      </c>
      <c r="R92" s="512" t="s">
        <v>585</v>
      </c>
      <c r="S92" s="2343" t="s">
        <v>495</v>
      </c>
      <c r="T92" s="581" t="s">
        <v>496</v>
      </c>
      <c r="U92" s="2345" t="s">
        <v>497</v>
      </c>
      <c r="V92" s="2346"/>
      <c r="W92" s="2346"/>
      <c r="X92" s="2346"/>
      <c r="Y92" s="2347"/>
      <c r="Z92" s="2355" t="s">
        <v>498</v>
      </c>
      <c r="AA92" s="2352"/>
      <c r="AB92" s="2351" t="s">
        <v>499</v>
      </c>
      <c r="AC92" s="2355"/>
      <c r="AD92" s="2352"/>
    </row>
    <row r="93" spans="1:30" ht="15.6" x14ac:dyDescent="0.3">
      <c r="A93" s="2257"/>
      <c r="B93" s="2259"/>
      <c r="C93" s="2259"/>
      <c r="D93" s="2259"/>
      <c r="E93" s="2259"/>
      <c r="F93" s="2261"/>
      <c r="G93" s="2259"/>
      <c r="H93" s="2259"/>
      <c r="I93" s="310" t="s">
        <v>500</v>
      </c>
      <c r="J93" s="310" t="s">
        <v>501</v>
      </c>
      <c r="K93" s="310" t="s">
        <v>502</v>
      </c>
      <c r="L93" s="310" t="s">
        <v>503</v>
      </c>
      <c r="M93" s="311" t="s">
        <v>504</v>
      </c>
      <c r="N93" s="312" t="s">
        <v>505</v>
      </c>
      <c r="O93" s="313" t="s">
        <v>506</v>
      </c>
      <c r="P93" s="312" t="s">
        <v>507</v>
      </c>
      <c r="Q93" s="312" t="s">
        <v>507</v>
      </c>
      <c r="R93" s="514"/>
      <c r="S93" s="2344"/>
      <c r="T93" s="582" t="s">
        <v>508</v>
      </c>
      <c r="U93" s="2348"/>
      <c r="V93" s="2349"/>
      <c r="W93" s="2349"/>
      <c r="X93" s="2349"/>
      <c r="Y93" s="2350"/>
      <c r="Z93" s="2356"/>
      <c r="AA93" s="2354"/>
      <c r="AB93" s="2353"/>
      <c r="AC93" s="2356"/>
      <c r="AD93" s="2354"/>
    </row>
    <row r="94" spans="1:30" ht="18" x14ac:dyDescent="0.35">
      <c r="A94" s="2359" t="s">
        <v>550</v>
      </c>
      <c r="B94" s="2360"/>
      <c r="C94" s="2360"/>
      <c r="D94" s="2360"/>
      <c r="E94" s="2360"/>
      <c r="F94" s="2360"/>
      <c r="G94" s="2360"/>
      <c r="H94" s="2360"/>
      <c r="I94" s="2360"/>
      <c r="J94" s="2360"/>
      <c r="K94" s="2360"/>
      <c r="L94" s="2360"/>
      <c r="M94" s="2360"/>
      <c r="N94" s="2360"/>
      <c r="O94" s="2360"/>
      <c r="P94" s="2360"/>
      <c r="Q94" s="2360"/>
      <c r="R94" s="2360"/>
      <c r="S94" s="2360"/>
      <c r="T94" s="559"/>
      <c r="U94" s="560" t="s">
        <v>510</v>
      </c>
      <c r="V94" s="561" t="s">
        <v>11</v>
      </c>
      <c r="W94" s="561" t="s">
        <v>511</v>
      </c>
      <c r="X94" s="561" t="s">
        <v>512</v>
      </c>
      <c r="Y94" s="562" t="s">
        <v>513</v>
      </c>
      <c r="Z94" s="563" t="s">
        <v>514</v>
      </c>
      <c r="AA94" s="562" t="s">
        <v>515</v>
      </c>
      <c r="AB94" s="563" t="s">
        <v>19</v>
      </c>
      <c r="AC94" s="561" t="s">
        <v>54</v>
      </c>
      <c r="AD94" s="564"/>
    </row>
    <row r="95" spans="1:30" x14ac:dyDescent="0.3">
      <c r="A95" s="154"/>
      <c r="B95" s="462"/>
      <c r="C95" s="462"/>
      <c r="D95" s="462"/>
      <c r="E95" s="462"/>
      <c r="F95" s="463"/>
      <c r="G95" s="462"/>
      <c r="H95" s="462"/>
      <c r="I95" s="464"/>
      <c r="J95" s="465"/>
      <c r="K95" s="465"/>
      <c r="L95" s="466"/>
      <c r="M95" s="467"/>
      <c r="N95" s="468"/>
      <c r="O95" s="469"/>
      <c r="P95" s="468"/>
      <c r="Q95" s="468"/>
      <c r="R95" s="470"/>
      <c r="S95" s="501"/>
      <c r="T95" s="149"/>
      <c r="U95" s="150"/>
      <c r="Y95" s="152"/>
      <c r="Z95" s="280"/>
      <c r="AA95" s="152"/>
      <c r="AB95" s="280"/>
      <c r="AD95" s="152"/>
    </row>
    <row r="96" spans="1:30" x14ac:dyDescent="0.3">
      <c r="A96" s="157" t="s">
        <v>611</v>
      </c>
      <c r="B96" s="157" t="s">
        <v>55</v>
      </c>
      <c r="C96" s="157" t="s">
        <v>517</v>
      </c>
      <c r="D96" s="157" t="s">
        <v>26</v>
      </c>
      <c r="E96" s="157" t="s">
        <v>520</v>
      </c>
      <c r="F96" s="158" t="s">
        <v>590</v>
      </c>
      <c r="G96" s="157">
        <v>1</v>
      </c>
      <c r="H96" s="157" t="s">
        <v>24</v>
      </c>
      <c r="I96" s="159">
        <v>1</v>
      </c>
      <c r="J96" s="161"/>
      <c r="K96" s="161"/>
      <c r="L96" s="2209"/>
      <c r="M96" s="163">
        <v>1</v>
      </c>
      <c r="N96" s="164">
        <v>5200</v>
      </c>
      <c r="O96" s="165">
        <v>0.34</v>
      </c>
      <c r="P96" s="166">
        <f>N96*(1-O96)</f>
        <v>3431.9999999999995</v>
      </c>
      <c r="Q96" s="166">
        <f t="shared" ref="Q96:Q100" si="14">P96*M96*G96</f>
        <v>3431.9999999999995</v>
      </c>
      <c r="R96" s="206" t="e">
        <f>(Q96+Q97+Q99+#REF!)/E72*1000</f>
        <v>#REF!</v>
      </c>
      <c r="S96" s="178">
        <f>Q96/$Q$105</f>
        <v>8.7266069975589902E-2</v>
      </c>
      <c r="T96" s="168">
        <f>Q96*4</f>
        <v>13727.999999999998</v>
      </c>
      <c r="U96" s="150">
        <f t="shared" ref="U96:U100" si="15">T96</f>
        <v>13727.999999999998</v>
      </c>
      <c r="V96" s="169"/>
      <c r="W96" s="169"/>
      <c r="X96" s="169"/>
      <c r="Y96" s="171"/>
      <c r="Z96" s="282"/>
      <c r="AA96" s="171">
        <f>T96</f>
        <v>13727.999999999998</v>
      </c>
      <c r="AB96" s="282">
        <f>T96</f>
        <v>13727.999999999998</v>
      </c>
      <c r="AD96" s="152"/>
    </row>
    <row r="97" spans="1:30" x14ac:dyDescent="0.3">
      <c r="A97" s="157" t="s">
        <v>611</v>
      </c>
      <c r="B97" s="157" t="s">
        <v>55</v>
      </c>
      <c r="C97" s="157" t="s">
        <v>517</v>
      </c>
      <c r="D97" s="157" t="s">
        <v>21</v>
      </c>
      <c r="E97" s="157" t="s">
        <v>518</v>
      </c>
      <c r="F97" s="158" t="s">
        <v>588</v>
      </c>
      <c r="G97" s="157">
        <v>2</v>
      </c>
      <c r="H97" s="157" t="s">
        <v>24</v>
      </c>
      <c r="I97" s="159">
        <v>2</v>
      </c>
      <c r="J97" s="161"/>
      <c r="K97" s="161"/>
      <c r="L97" s="2209"/>
      <c r="M97" s="163">
        <v>1</v>
      </c>
      <c r="N97" s="166">
        <v>7800</v>
      </c>
      <c r="O97" s="173">
        <v>0.34</v>
      </c>
      <c r="P97" s="166">
        <f>N97*(1-O97)</f>
        <v>5147.9999999999991</v>
      </c>
      <c r="Q97" s="166">
        <f t="shared" si="14"/>
        <v>10295.999999999998</v>
      </c>
      <c r="R97" s="206" t="e">
        <f>(Q97+Q98+#REF!+#REF!)/E73*1000</f>
        <v>#REF!</v>
      </c>
      <c r="S97" s="167">
        <f>Q97/$Q$105</f>
        <v>0.26179820992676966</v>
      </c>
      <c r="T97" s="168">
        <f t="shared" ref="T97:T100" si="16">Q97*4</f>
        <v>41183.999999999993</v>
      </c>
      <c r="U97" s="150">
        <f t="shared" si="15"/>
        <v>41183.999999999993</v>
      </c>
      <c r="V97" s="169"/>
      <c r="Y97" s="152"/>
      <c r="Z97" s="282"/>
      <c r="AA97" s="171">
        <f>T97</f>
        <v>41183.999999999993</v>
      </c>
      <c r="AB97" s="282">
        <f>T97</f>
        <v>41183.999999999993</v>
      </c>
      <c r="AD97" s="152"/>
    </row>
    <row r="98" spans="1:30" x14ac:dyDescent="0.3">
      <c r="A98" s="157" t="s">
        <v>611</v>
      </c>
      <c r="B98" s="157" t="s">
        <v>56</v>
      </c>
      <c r="C98" s="157" t="s">
        <v>517</v>
      </c>
      <c r="D98" s="157" t="s">
        <v>26</v>
      </c>
      <c r="E98" s="157" t="s">
        <v>520</v>
      </c>
      <c r="F98" s="158" t="s">
        <v>588</v>
      </c>
      <c r="G98" s="157">
        <v>1</v>
      </c>
      <c r="H98" s="157" t="s">
        <v>24</v>
      </c>
      <c r="I98" s="159">
        <v>1</v>
      </c>
      <c r="J98" s="161"/>
      <c r="K98" s="161"/>
      <c r="L98" s="2209"/>
      <c r="M98" s="163">
        <v>1</v>
      </c>
      <c r="N98" s="166">
        <v>3500</v>
      </c>
      <c r="O98" s="173">
        <v>0.2</v>
      </c>
      <c r="P98" s="166">
        <f t="shared" ref="P98:P100" si="17">N98*(1-O98)</f>
        <v>2800</v>
      </c>
      <c r="Q98" s="166">
        <f t="shared" si="14"/>
        <v>2800</v>
      </c>
      <c r="R98" s="206"/>
      <c r="S98" s="504">
        <f>Q98/$Q$105</f>
        <v>7.119609438567942E-2</v>
      </c>
      <c r="T98" s="168">
        <f t="shared" si="16"/>
        <v>11200</v>
      </c>
      <c r="U98" s="150">
        <f t="shared" si="15"/>
        <v>11200</v>
      </c>
      <c r="V98" s="169"/>
      <c r="Y98" s="152"/>
      <c r="Z98" s="282"/>
      <c r="AA98" s="171">
        <f>T98</f>
        <v>11200</v>
      </c>
      <c r="AB98" s="280"/>
      <c r="AC98" s="169">
        <f>T98</f>
        <v>11200</v>
      </c>
      <c r="AD98" s="152"/>
    </row>
    <row r="99" spans="1:30" x14ac:dyDescent="0.3">
      <c r="A99" s="157" t="s">
        <v>611</v>
      </c>
      <c r="B99" s="157" t="s">
        <v>56</v>
      </c>
      <c r="C99" s="157" t="s">
        <v>517</v>
      </c>
      <c r="D99" s="157" t="s">
        <v>27</v>
      </c>
      <c r="E99" s="157" t="s">
        <v>520</v>
      </c>
      <c r="F99" s="158" t="s">
        <v>612</v>
      </c>
      <c r="G99" s="157">
        <v>8</v>
      </c>
      <c r="H99" s="157" t="s">
        <v>24</v>
      </c>
      <c r="I99" s="175">
        <v>8</v>
      </c>
      <c r="J99" s="176"/>
      <c r="K99" s="179"/>
      <c r="L99" s="180"/>
      <c r="M99" s="163">
        <v>1</v>
      </c>
      <c r="N99" s="166">
        <v>1500</v>
      </c>
      <c r="O99" s="173">
        <v>0.2</v>
      </c>
      <c r="P99" s="166">
        <f t="shared" si="17"/>
        <v>1200</v>
      </c>
      <c r="Q99" s="166">
        <f t="shared" si="14"/>
        <v>9600</v>
      </c>
      <c r="R99" s="206" t="e">
        <f>(Q99+#REF!)/E73*1000</f>
        <v>#REF!</v>
      </c>
      <c r="S99" s="504">
        <f t="shared" ref="S99:S100" si="18">Q99/$Q$105</f>
        <v>0.24410089503661514</v>
      </c>
      <c r="T99" s="168">
        <f t="shared" si="16"/>
        <v>38400</v>
      </c>
      <c r="U99" s="150">
        <f t="shared" si="15"/>
        <v>38400</v>
      </c>
      <c r="W99" s="169"/>
      <c r="Y99" s="152"/>
      <c r="Z99" s="283">
        <f>T99</f>
        <v>38400</v>
      </c>
      <c r="AA99" s="171"/>
      <c r="AB99" s="280"/>
      <c r="AC99" s="169">
        <f>T99</f>
        <v>38400</v>
      </c>
      <c r="AD99" s="152"/>
    </row>
    <row r="100" spans="1:30" x14ac:dyDescent="0.3">
      <c r="A100" s="157" t="s">
        <v>611</v>
      </c>
      <c r="B100" s="157" t="s">
        <v>56</v>
      </c>
      <c r="C100" s="157" t="s">
        <v>517</v>
      </c>
      <c r="D100" s="157" t="s">
        <v>27</v>
      </c>
      <c r="E100" s="157" t="s">
        <v>520</v>
      </c>
      <c r="F100" s="158" t="s">
        <v>613</v>
      </c>
      <c r="G100" s="157">
        <v>8</v>
      </c>
      <c r="H100" s="157" t="s">
        <v>24</v>
      </c>
      <c r="I100" s="474"/>
      <c r="J100" s="1"/>
      <c r="K100" s="176">
        <v>8</v>
      </c>
      <c r="L100" s="177"/>
      <c r="M100" s="163">
        <v>1</v>
      </c>
      <c r="N100" s="166">
        <v>1500</v>
      </c>
      <c r="O100" s="173">
        <v>0.2</v>
      </c>
      <c r="P100" s="166">
        <f t="shared" si="17"/>
        <v>1200</v>
      </c>
      <c r="Q100" s="166">
        <f t="shared" si="14"/>
        <v>9600</v>
      </c>
      <c r="R100" s="206" t="e">
        <f>(Q100+#REF!)/E75*1000</f>
        <v>#REF!</v>
      </c>
      <c r="S100" s="504">
        <f t="shared" si="18"/>
        <v>0.24410089503661514</v>
      </c>
      <c r="T100" s="168">
        <f t="shared" si="16"/>
        <v>38400</v>
      </c>
      <c r="U100" s="150">
        <f t="shared" si="15"/>
        <v>38400</v>
      </c>
      <c r="W100" s="169"/>
      <c r="Y100" s="152"/>
      <c r="Z100" s="283">
        <f>T100</f>
        <v>38400</v>
      </c>
      <c r="AA100" s="171"/>
      <c r="AB100" s="280"/>
      <c r="AC100" s="169">
        <f>T100</f>
        <v>38400</v>
      </c>
      <c r="AD100" s="152"/>
    </row>
    <row r="101" spans="1:30" x14ac:dyDescent="0.3">
      <c r="A101" s="157"/>
      <c r="B101" s="157"/>
      <c r="C101" s="157"/>
      <c r="D101" s="157"/>
      <c r="E101" s="157"/>
      <c r="F101" s="158"/>
      <c r="G101" s="157"/>
      <c r="H101" s="157"/>
      <c r="I101" s="474"/>
      <c r="J101" s="1"/>
      <c r="K101" s="1"/>
      <c r="L101" s="163"/>
      <c r="M101" s="163"/>
      <c r="N101" s="473"/>
      <c r="O101" s="165"/>
      <c r="P101" s="476"/>
      <c r="Q101" s="473"/>
      <c r="R101" s="9"/>
      <c r="S101" s="506"/>
      <c r="T101" s="478"/>
      <c r="U101" s="565"/>
      <c r="Y101" s="152"/>
      <c r="Z101" s="282"/>
      <c r="AA101" s="171"/>
      <c r="AB101" s="280"/>
      <c r="AD101" s="152"/>
    </row>
    <row r="102" spans="1:30" x14ac:dyDescent="0.3">
      <c r="A102" s="190" t="s">
        <v>614</v>
      </c>
      <c r="B102" s="190" t="s">
        <v>528</v>
      </c>
      <c r="C102" s="190"/>
      <c r="D102" s="190"/>
      <c r="E102" s="190"/>
      <c r="F102" s="191"/>
      <c r="G102" s="190"/>
      <c r="H102" s="190"/>
      <c r="I102" s="192"/>
      <c r="J102" s="193"/>
      <c r="K102" s="193"/>
      <c r="L102" s="193"/>
      <c r="M102" s="190"/>
      <c r="N102" s="194"/>
      <c r="O102" s="195"/>
      <c r="P102" s="186"/>
      <c r="Q102" s="166"/>
      <c r="R102" s="288"/>
      <c r="S102" s="196"/>
      <c r="T102" s="168">
        <f t="shared" ref="T102" si="19">Q102*2</f>
        <v>0</v>
      </c>
      <c r="U102" s="150"/>
      <c r="X102" s="169">
        <f>T102</f>
        <v>0</v>
      </c>
      <c r="Y102" s="152"/>
      <c r="Z102" s="280"/>
      <c r="AA102" s="171"/>
      <c r="AB102" s="280"/>
      <c r="AD102" s="152"/>
    </row>
    <row r="103" spans="1:30" x14ac:dyDescent="0.3">
      <c r="A103" s="108" t="s">
        <v>615</v>
      </c>
      <c r="B103" s="108" t="s">
        <v>529</v>
      </c>
      <c r="C103" s="108"/>
      <c r="D103" s="108" t="s">
        <v>530</v>
      </c>
      <c r="E103" s="108"/>
      <c r="F103" s="479"/>
      <c r="G103" s="108"/>
      <c r="H103" s="108"/>
      <c r="I103" s="254"/>
      <c r="J103" s="254"/>
      <c r="K103" s="254"/>
      <c r="L103" s="254"/>
      <c r="M103" s="108"/>
      <c r="N103" s="257"/>
      <c r="O103" s="109"/>
      <c r="P103" s="290"/>
      <c r="Q103" s="257">
        <v>3600</v>
      </c>
      <c r="R103" s="480"/>
      <c r="S103" s="291">
        <f>Q103/Q105</f>
        <v>9.1537835638730677E-2</v>
      </c>
      <c r="T103" s="168">
        <f>Q103*4</f>
        <v>14400</v>
      </c>
      <c r="U103" s="150"/>
      <c r="Y103" s="171">
        <f>T103</f>
        <v>14400</v>
      </c>
      <c r="Z103" s="280"/>
      <c r="AA103" s="152"/>
      <c r="AB103" s="280"/>
      <c r="AD103" s="152"/>
    </row>
    <row r="104" spans="1:30" x14ac:dyDescent="0.3">
      <c r="I104" s="115">
        <f>I105/M105</f>
        <v>0.6</v>
      </c>
      <c r="J104" s="115"/>
      <c r="K104" s="115">
        <f>K105/M105</f>
        <v>0.4</v>
      </c>
      <c r="T104" s="149"/>
      <c r="U104" s="150"/>
      <c r="Y104" s="152"/>
      <c r="Z104" s="280"/>
      <c r="AA104" s="152"/>
      <c r="AB104" s="566"/>
      <c r="AC104" s="245"/>
      <c r="AD104" s="567"/>
    </row>
    <row r="105" spans="1:30" x14ac:dyDescent="0.3">
      <c r="A105" s="326" t="s">
        <v>531</v>
      </c>
      <c r="B105" s="327"/>
      <c r="C105" s="327"/>
      <c r="D105" s="327"/>
      <c r="E105" s="327"/>
      <c r="F105" s="328"/>
      <c r="G105" s="327"/>
      <c r="H105" s="327"/>
      <c r="I105" s="327">
        <f>I99+I98+I97+I96</f>
        <v>12</v>
      </c>
      <c r="J105" s="327"/>
      <c r="K105" s="327">
        <f>K100</f>
        <v>8</v>
      </c>
      <c r="L105" s="327"/>
      <c r="M105" s="327">
        <f>SUM(I105:L105)</f>
        <v>20</v>
      </c>
      <c r="N105" s="329"/>
      <c r="O105" s="330"/>
      <c r="P105" s="329"/>
      <c r="Q105" s="331">
        <f>SUM(Q96:Q104)</f>
        <v>39328</v>
      </c>
      <c r="R105" s="331"/>
      <c r="S105" s="332">
        <f>SUM(S96:S103)</f>
        <v>0.99999999999999989</v>
      </c>
      <c r="T105" s="583">
        <f>SUM(T96:T104)</f>
        <v>157312</v>
      </c>
      <c r="U105" s="584">
        <f t="shared" ref="U105:AA105" si="20">SUM(U96:U103)</f>
        <v>142912</v>
      </c>
      <c r="V105" s="585">
        <f t="shared" si="20"/>
        <v>0</v>
      </c>
      <c r="W105" s="585">
        <f t="shared" si="20"/>
        <v>0</v>
      </c>
      <c r="X105" s="585">
        <f t="shared" si="20"/>
        <v>0</v>
      </c>
      <c r="Y105" s="586">
        <f t="shared" si="20"/>
        <v>14400</v>
      </c>
      <c r="Z105" s="587">
        <f>SUM(Z96:Z103)</f>
        <v>76800</v>
      </c>
      <c r="AA105" s="586">
        <f t="shared" si="20"/>
        <v>66112</v>
      </c>
      <c r="AB105" s="588">
        <f>SUM(AB96:AB104)</f>
        <v>54911.999999999993</v>
      </c>
      <c r="AC105" s="589">
        <f>SUM(AC96:AC104)</f>
        <v>88000</v>
      </c>
      <c r="AD105" s="590"/>
    </row>
    <row r="106" spans="1:30" x14ac:dyDescent="0.3">
      <c r="A106" s="342" t="s">
        <v>532</v>
      </c>
      <c r="B106" s="343"/>
      <c r="C106" s="343"/>
      <c r="D106" s="343"/>
      <c r="E106" s="343"/>
      <c r="F106" s="344"/>
      <c r="G106" s="343"/>
      <c r="H106" s="343"/>
      <c r="I106" s="343">
        <f>I99+I98+I97+I96</f>
        <v>12</v>
      </c>
      <c r="J106" s="343">
        <f>I99+I98+I97+I96</f>
        <v>12</v>
      </c>
      <c r="K106" s="343">
        <f>K100+I98+I97+I96</f>
        <v>12</v>
      </c>
      <c r="L106" s="343">
        <f>K100+I98+I97+I96</f>
        <v>12</v>
      </c>
      <c r="M106" s="343">
        <f>SUM(I106:L106)</f>
        <v>48</v>
      </c>
      <c r="N106" s="345"/>
      <c r="O106" s="346"/>
      <c r="P106" s="345"/>
      <c r="Q106" s="345"/>
      <c r="R106" s="345"/>
      <c r="S106" s="347"/>
      <c r="T106" s="348"/>
      <c r="U106" s="349">
        <f>U105/T105</f>
        <v>0.90846216436126936</v>
      </c>
      <c r="V106" s="350">
        <f>V105/T105</f>
        <v>0</v>
      </c>
      <c r="W106" s="350">
        <f>W105/T105</f>
        <v>0</v>
      </c>
      <c r="X106" s="350">
        <f>X105/T105</f>
        <v>0</v>
      </c>
      <c r="Y106" s="352">
        <f>Y105/T105</f>
        <v>9.1537835638730677E-2</v>
      </c>
      <c r="Z106" s="351">
        <f>Z105/T105</f>
        <v>0.48820179007323028</v>
      </c>
      <c r="AA106" s="352">
        <f>AA105/T105</f>
        <v>0.42026037428803903</v>
      </c>
      <c r="AB106" s="591"/>
      <c r="AC106" s="524"/>
      <c r="AD106" s="356"/>
    </row>
    <row r="107" spans="1:30" x14ac:dyDescent="0.3">
      <c r="A107" s="243" t="s">
        <v>533</v>
      </c>
      <c r="B107" s="193"/>
      <c r="C107" s="193"/>
      <c r="D107" s="193"/>
      <c r="E107" s="193"/>
      <c r="F107" s="244"/>
      <c r="G107" s="193"/>
      <c r="H107" s="193"/>
      <c r="I107" s="2182">
        <f>I106/M106</f>
        <v>0.25</v>
      </c>
      <c r="J107" s="245"/>
      <c r="K107" s="245"/>
      <c r="L107" s="245"/>
      <c r="M107" s="193"/>
      <c r="N107" s="246"/>
      <c r="O107" s="196"/>
      <c r="P107" s="246"/>
      <c r="Q107" s="194">
        <f>U105/4</f>
        <v>35728</v>
      </c>
      <c r="R107" s="288"/>
      <c r="S107" s="247">
        <f>Q107/Q112</f>
        <v>0.90846216436126936</v>
      </c>
      <c r="Y107" s="248"/>
      <c r="Z107" s="357">
        <f>I99+K100+I98+I96</f>
        <v>18</v>
      </c>
      <c r="AA107" s="358">
        <f>I97</f>
        <v>2</v>
      </c>
    </row>
    <row r="108" spans="1:30" x14ac:dyDescent="0.3">
      <c r="A108" s="251" t="s">
        <v>11</v>
      </c>
      <c r="B108" s="252"/>
      <c r="C108" s="252"/>
      <c r="D108" s="252"/>
      <c r="E108" s="252"/>
      <c r="F108" s="253"/>
      <c r="G108" s="252"/>
      <c r="H108" s="252"/>
      <c r="I108" s="254"/>
      <c r="J108" s="254"/>
      <c r="K108" s="254"/>
      <c r="L108" s="254"/>
      <c r="M108" s="252"/>
      <c r="N108" s="255"/>
      <c r="O108" s="256"/>
      <c r="P108" s="255"/>
      <c r="Q108" s="257">
        <f>V105/4</f>
        <v>0</v>
      </c>
      <c r="R108" s="290"/>
      <c r="S108" s="256">
        <f>Q108/Q112</f>
        <v>0</v>
      </c>
      <c r="T108" s="525">
        <f>Q105/M105</f>
        <v>1966.4</v>
      </c>
      <c r="U108" s="526" t="s">
        <v>535</v>
      </c>
      <c r="Z108" s="195">
        <f>Z107/M105</f>
        <v>0.9</v>
      </c>
      <c r="AA108" s="247">
        <f>AA107/M105</f>
        <v>0.1</v>
      </c>
    </row>
    <row r="109" spans="1:30" x14ac:dyDescent="0.3">
      <c r="A109" s="251" t="s">
        <v>536</v>
      </c>
      <c r="B109" s="252"/>
      <c r="C109" s="252"/>
      <c r="D109" s="252"/>
      <c r="E109" s="252"/>
      <c r="F109" s="253"/>
      <c r="G109" s="252"/>
      <c r="H109" s="252"/>
      <c r="I109" s="254"/>
      <c r="J109" s="254"/>
      <c r="K109" s="254"/>
      <c r="L109" s="254"/>
      <c r="M109" s="252"/>
      <c r="N109" s="255"/>
      <c r="O109" s="256"/>
      <c r="P109" s="255"/>
      <c r="Q109" s="257">
        <f>W105/4</f>
        <v>0</v>
      </c>
      <c r="R109" s="290"/>
      <c r="S109" s="262">
        <f>Q109/Q112</f>
        <v>0</v>
      </c>
      <c r="V109" s="263"/>
      <c r="X109" s="99"/>
      <c r="Z109" s="2265" t="s">
        <v>537</v>
      </c>
      <c r="AA109" s="2265"/>
    </row>
    <row r="110" spans="1:30" x14ac:dyDescent="0.3">
      <c r="A110" s="251" t="s">
        <v>529</v>
      </c>
      <c r="B110" s="252"/>
      <c r="C110" s="252"/>
      <c r="D110" s="252"/>
      <c r="E110" s="252"/>
      <c r="F110" s="253"/>
      <c r="G110" s="252"/>
      <c r="H110" s="252"/>
      <c r="I110" s="254"/>
      <c r="J110" s="254"/>
      <c r="K110" s="254"/>
      <c r="L110" s="254"/>
      <c r="M110" s="252"/>
      <c r="N110" s="255"/>
      <c r="O110" s="256"/>
      <c r="P110" s="255"/>
      <c r="Q110" s="257">
        <f>Y105/4</f>
        <v>3600</v>
      </c>
      <c r="R110" s="290"/>
      <c r="S110" s="262">
        <f>Q110/Q112</f>
        <v>9.1537835638730677E-2</v>
      </c>
      <c r="V110" s="263"/>
    </row>
    <row r="111" spans="1:30" x14ac:dyDescent="0.3">
      <c r="A111" s="251" t="s">
        <v>528</v>
      </c>
      <c r="B111" s="252"/>
      <c r="C111" s="252"/>
      <c r="D111" s="252"/>
      <c r="E111" s="252"/>
      <c r="F111" s="253"/>
      <c r="G111" s="252"/>
      <c r="H111" s="252"/>
      <c r="I111" s="254"/>
      <c r="J111" s="254"/>
      <c r="K111" s="254"/>
      <c r="L111" s="254"/>
      <c r="M111" s="252"/>
      <c r="N111" s="255"/>
      <c r="O111" s="256"/>
      <c r="P111" s="255"/>
      <c r="Q111" s="257">
        <f>X105/4</f>
        <v>0</v>
      </c>
      <c r="R111" s="290"/>
      <c r="S111" s="262">
        <f>Q111/Q112</f>
        <v>0</v>
      </c>
    </row>
    <row r="112" spans="1:30" x14ac:dyDescent="0.3">
      <c r="A112" s="251"/>
      <c r="B112" s="252"/>
      <c r="C112" s="252"/>
      <c r="D112" s="252"/>
      <c r="E112" s="252"/>
      <c r="F112" s="253"/>
      <c r="G112" s="252"/>
      <c r="H112" s="252"/>
      <c r="I112" s="254"/>
      <c r="J112" s="254"/>
      <c r="K112" s="254"/>
      <c r="L112" s="254"/>
      <c r="M112" s="252"/>
      <c r="N112" s="255"/>
      <c r="O112" s="256"/>
      <c r="P112" s="255"/>
      <c r="Q112" s="264">
        <f>SUM(Q107:Q111)</f>
        <v>39328</v>
      </c>
      <c r="R112" s="490"/>
      <c r="S112" s="262">
        <f>SUM(S107:S111)</f>
        <v>1</v>
      </c>
    </row>
    <row r="113" spans="1:30" x14ac:dyDescent="0.3">
      <c r="A113" s="465"/>
      <c r="B113" s="527"/>
      <c r="C113" s="527"/>
      <c r="D113" s="527"/>
      <c r="E113" s="527"/>
      <c r="F113" s="528"/>
      <c r="G113" s="527"/>
      <c r="H113" s="527"/>
      <c r="I113" s="465"/>
      <c r="J113" s="465"/>
      <c r="K113" s="465"/>
      <c r="L113" s="465"/>
      <c r="M113" s="527"/>
      <c r="N113" s="529"/>
      <c r="O113" s="530"/>
      <c r="P113" s="529"/>
      <c r="Q113" s="531"/>
      <c r="R113" s="531"/>
      <c r="S113" s="530"/>
      <c r="T113" s="5"/>
      <c r="U113" s="7"/>
    </row>
    <row r="114" spans="1:30" x14ac:dyDescent="0.3">
      <c r="A114" s="188"/>
      <c r="N114" s="5"/>
      <c r="O114" s="6"/>
      <c r="P114" s="5"/>
      <c r="Q114" s="7"/>
      <c r="R114" s="7"/>
      <c r="S114" s="8"/>
      <c r="T114" s="5"/>
    </row>
    <row r="115" spans="1:30" x14ac:dyDescent="0.3">
      <c r="A115" s="188"/>
      <c r="N115" s="5"/>
      <c r="O115" s="6"/>
      <c r="P115" s="5"/>
      <c r="Q115" s="7"/>
      <c r="R115" s="7"/>
      <c r="S115" s="8"/>
      <c r="T115" s="5"/>
    </row>
    <row r="116" spans="1:30" x14ac:dyDescent="0.3">
      <c r="A116" s="188"/>
      <c r="N116" s="5"/>
      <c r="O116" s="6"/>
      <c r="P116" s="5"/>
      <c r="Q116" s="7"/>
      <c r="R116" s="7"/>
      <c r="S116" s="8"/>
      <c r="T116" s="5"/>
    </row>
    <row r="117" spans="1:30" x14ac:dyDescent="0.3">
      <c r="A117" s="188"/>
      <c r="N117" s="5"/>
      <c r="O117" s="6"/>
      <c r="P117" s="5"/>
      <c r="Q117" s="7"/>
      <c r="R117" s="7"/>
      <c r="S117" s="8"/>
      <c r="T117" s="5"/>
    </row>
    <row r="118" spans="1:30" ht="18" x14ac:dyDescent="0.35">
      <c r="A118" s="118" t="s">
        <v>554</v>
      </c>
      <c r="N118" s="5"/>
      <c r="O118" s="6"/>
      <c r="P118" s="5"/>
      <c r="Q118" s="7"/>
      <c r="R118" s="7"/>
      <c r="S118" s="8"/>
      <c r="T118" s="5"/>
    </row>
    <row r="119" spans="1:30" x14ac:dyDescent="0.3">
      <c r="A119" s="188"/>
      <c r="N119" s="5"/>
      <c r="O119" s="6"/>
      <c r="P119" s="5"/>
      <c r="Q119" s="7"/>
      <c r="R119" s="7"/>
      <c r="S119" s="6"/>
      <c r="T119" s="5"/>
    </row>
    <row r="120" spans="1:30" x14ac:dyDescent="0.3">
      <c r="A120" s="2335" t="s">
        <v>480</v>
      </c>
      <c r="B120" s="2336"/>
      <c r="C120" s="2336"/>
      <c r="D120" s="2336"/>
      <c r="E120" s="2336"/>
      <c r="F120" s="2336"/>
      <c r="G120" s="2336"/>
      <c r="H120" s="2336"/>
      <c r="I120" s="2336"/>
      <c r="J120" s="2336"/>
      <c r="K120" s="2336"/>
      <c r="L120" s="2336"/>
      <c r="M120" s="2336"/>
      <c r="N120" s="2336"/>
      <c r="O120" s="2336"/>
      <c r="P120" s="2336"/>
      <c r="Q120" s="2336"/>
      <c r="R120" s="2336"/>
      <c r="S120" s="2337"/>
      <c r="T120" s="2338" t="s">
        <v>584</v>
      </c>
      <c r="U120" s="2339"/>
      <c r="V120" s="2339"/>
      <c r="W120" s="2339"/>
      <c r="X120" s="2339"/>
      <c r="Y120" s="2339"/>
      <c r="Z120" s="2339"/>
      <c r="AA120" s="2339"/>
      <c r="AB120" s="2339"/>
      <c r="AC120" s="2339"/>
      <c r="AD120" s="2340"/>
    </row>
    <row r="121" spans="1:30" ht="15.6" x14ac:dyDescent="0.3">
      <c r="A121" s="2256" t="s">
        <v>482</v>
      </c>
      <c r="B121" s="2258" t="s">
        <v>483</v>
      </c>
      <c r="C121" s="2258" t="s">
        <v>484</v>
      </c>
      <c r="D121" s="2258" t="s">
        <v>555</v>
      </c>
      <c r="E121" s="2258" t="s">
        <v>556</v>
      </c>
      <c r="F121" s="2260" t="s">
        <v>487</v>
      </c>
      <c r="G121" s="2258" t="s">
        <v>557</v>
      </c>
      <c r="H121" s="2258" t="s">
        <v>489</v>
      </c>
      <c r="I121" s="2240" t="s">
        <v>490</v>
      </c>
      <c r="J121" s="2240"/>
      <c r="K121" s="2240"/>
      <c r="L121" s="2240"/>
      <c r="M121" s="305" t="s">
        <v>491</v>
      </c>
      <c r="N121" s="306" t="s">
        <v>558</v>
      </c>
      <c r="O121" s="307" t="s">
        <v>493</v>
      </c>
      <c r="P121" s="306" t="s">
        <v>558</v>
      </c>
      <c r="Q121" s="306" t="s">
        <v>559</v>
      </c>
      <c r="R121" s="512" t="s">
        <v>585</v>
      </c>
      <c r="S121" s="2343" t="s">
        <v>495</v>
      </c>
      <c r="T121" s="581" t="s">
        <v>496</v>
      </c>
      <c r="U121" s="2345" t="s">
        <v>497</v>
      </c>
      <c r="V121" s="2346"/>
      <c r="W121" s="2346"/>
      <c r="X121" s="2346"/>
      <c r="Y121" s="2347"/>
      <c r="Z121" s="2355" t="s">
        <v>498</v>
      </c>
      <c r="AA121" s="2352"/>
      <c r="AB121" s="2351" t="s">
        <v>499</v>
      </c>
      <c r="AC121" s="2355"/>
      <c r="AD121" s="2352"/>
    </row>
    <row r="122" spans="1:30" ht="15.6" x14ac:dyDescent="0.3">
      <c r="A122" s="2257"/>
      <c r="B122" s="2259"/>
      <c r="C122" s="2259"/>
      <c r="D122" s="2259"/>
      <c r="E122" s="2259"/>
      <c r="F122" s="2261"/>
      <c r="G122" s="2259"/>
      <c r="H122" s="2259"/>
      <c r="I122" s="310" t="s">
        <v>500</v>
      </c>
      <c r="J122" s="310" t="s">
        <v>501</v>
      </c>
      <c r="K122" s="310" t="s">
        <v>502</v>
      </c>
      <c r="L122" s="310" t="s">
        <v>503</v>
      </c>
      <c r="M122" s="311" t="s">
        <v>504</v>
      </c>
      <c r="N122" s="312" t="s">
        <v>505</v>
      </c>
      <c r="O122" s="313" t="s">
        <v>506</v>
      </c>
      <c r="P122" s="312" t="s">
        <v>507</v>
      </c>
      <c r="Q122" s="312" t="s">
        <v>560</v>
      </c>
      <c r="R122" s="312"/>
      <c r="S122" s="2344"/>
      <c r="T122" s="582" t="s">
        <v>508</v>
      </c>
      <c r="U122" s="2348"/>
      <c r="V122" s="2349"/>
      <c r="W122" s="2349"/>
      <c r="X122" s="2349"/>
      <c r="Y122" s="2350"/>
      <c r="Z122" s="2356"/>
      <c r="AA122" s="2354"/>
      <c r="AB122" s="2353"/>
      <c r="AC122" s="2356"/>
      <c r="AD122" s="2354"/>
    </row>
    <row r="123" spans="1:30" ht="18" x14ac:dyDescent="0.35">
      <c r="A123" s="2357" t="s">
        <v>561</v>
      </c>
      <c r="B123" s="2358"/>
      <c r="C123" s="2358"/>
      <c r="D123" s="2358"/>
      <c r="E123" s="2358"/>
      <c r="F123" s="2358"/>
      <c r="G123" s="2358"/>
      <c r="H123" s="2358"/>
      <c r="I123" s="2358"/>
      <c r="J123" s="2358"/>
      <c r="K123" s="2358"/>
      <c r="L123" s="2358"/>
      <c r="M123" s="2358"/>
      <c r="N123" s="2358"/>
      <c r="O123" s="2358"/>
      <c r="P123" s="2358"/>
      <c r="Q123" s="2358"/>
      <c r="R123" s="2358"/>
      <c r="S123" s="2358"/>
      <c r="T123" s="559"/>
      <c r="U123" s="560" t="s">
        <v>510</v>
      </c>
      <c r="V123" s="561" t="s">
        <v>11</v>
      </c>
      <c r="W123" s="561" t="s">
        <v>511</v>
      </c>
      <c r="X123" s="561" t="s">
        <v>512</v>
      </c>
      <c r="Y123" s="562" t="s">
        <v>513</v>
      </c>
      <c r="Z123" s="563" t="s">
        <v>514</v>
      </c>
      <c r="AA123" s="562" t="s">
        <v>515</v>
      </c>
      <c r="AB123" s="563" t="s">
        <v>19</v>
      </c>
      <c r="AC123" s="561" t="s">
        <v>54</v>
      </c>
      <c r="AD123" s="564"/>
    </row>
    <row r="124" spans="1:30" x14ac:dyDescent="0.3">
      <c r="A124" s="154"/>
      <c r="B124" s="462"/>
      <c r="C124" s="462"/>
      <c r="D124" s="462"/>
      <c r="E124" s="462"/>
      <c r="F124" s="463"/>
      <c r="G124" s="462"/>
      <c r="H124" s="462"/>
      <c r="I124" s="465"/>
      <c r="J124" s="465"/>
      <c r="K124" s="465"/>
      <c r="L124" s="465"/>
      <c r="M124" s="462"/>
      <c r="N124" s="468"/>
      <c r="O124" s="469"/>
      <c r="P124" s="468"/>
      <c r="Q124" s="468"/>
      <c r="R124" s="470"/>
      <c r="S124" s="532"/>
      <c r="T124" s="149"/>
      <c r="U124" s="150"/>
      <c r="Y124" s="152"/>
      <c r="Z124" s="280"/>
      <c r="AA124" s="152"/>
      <c r="AB124" s="280"/>
      <c r="AD124" s="152"/>
    </row>
    <row r="125" spans="1:30" x14ac:dyDescent="0.3">
      <c r="A125" s="157" t="s">
        <v>611</v>
      </c>
      <c r="B125" s="157" t="s">
        <v>55</v>
      </c>
      <c r="C125" s="157" t="s">
        <v>517</v>
      </c>
      <c r="D125" s="157" t="s">
        <v>21</v>
      </c>
      <c r="E125" s="157" t="s">
        <v>518</v>
      </c>
      <c r="F125" s="158" t="s">
        <v>588</v>
      </c>
      <c r="G125" s="157">
        <v>1</v>
      </c>
      <c r="H125" s="157" t="s">
        <v>24</v>
      </c>
      <c r="I125" s="159">
        <v>1</v>
      </c>
      <c r="J125" s="161"/>
      <c r="K125" s="161"/>
      <c r="L125" s="2209"/>
      <c r="M125" s="163">
        <v>1</v>
      </c>
      <c r="N125" s="166">
        <v>7800</v>
      </c>
      <c r="O125" s="173">
        <v>0.34</v>
      </c>
      <c r="P125" s="166">
        <f>N125*(1-O125)</f>
        <v>5147.9999999999991</v>
      </c>
      <c r="Q125" s="166">
        <f t="shared" ref="Q125:Q130" si="21">P125*M125*G125</f>
        <v>5147.9999999999991</v>
      </c>
      <c r="R125" s="206" t="e">
        <f>(Q125+Q128+#REF!+#REF!)/E102*1000</f>
        <v>#REF!</v>
      </c>
      <c r="S125" s="167">
        <f>Q125/$Q$137</f>
        <v>0.12535307295217685</v>
      </c>
      <c r="T125" s="168">
        <f t="shared" ref="T125:T130" si="22">Q125</f>
        <v>5147.9999999999991</v>
      </c>
      <c r="U125" s="150">
        <f t="shared" ref="U125" si="23">T125</f>
        <v>5147.9999999999991</v>
      </c>
      <c r="V125" s="169"/>
      <c r="Y125" s="152"/>
      <c r="Z125" s="282"/>
      <c r="AA125" s="171">
        <f>T125</f>
        <v>5147.9999999999991</v>
      </c>
      <c r="AB125" s="282">
        <f>T125</f>
        <v>5147.9999999999991</v>
      </c>
      <c r="AD125" s="152"/>
    </row>
    <row r="126" spans="1:30" x14ac:dyDescent="0.3">
      <c r="A126" s="157" t="s">
        <v>611</v>
      </c>
      <c r="B126" s="157" t="s">
        <v>55</v>
      </c>
      <c r="C126" s="157" t="s">
        <v>592</v>
      </c>
      <c r="D126" s="157" t="s">
        <v>50</v>
      </c>
      <c r="E126" s="157" t="s">
        <v>520</v>
      </c>
      <c r="F126" s="158" t="s">
        <v>541</v>
      </c>
      <c r="G126" s="157">
        <v>2</v>
      </c>
      <c r="H126" s="157" t="s">
        <v>24</v>
      </c>
      <c r="I126" s="175">
        <v>2</v>
      </c>
      <c r="J126" s="176"/>
      <c r="K126" s="176"/>
      <c r="L126" s="177"/>
      <c r="M126" s="163">
        <v>1</v>
      </c>
      <c r="N126" s="166">
        <v>1550</v>
      </c>
      <c r="O126" s="173">
        <v>0.2</v>
      </c>
      <c r="P126" s="166">
        <f>N126*(1-O126)</f>
        <v>1240</v>
      </c>
      <c r="Q126" s="166">
        <f t="shared" si="21"/>
        <v>2480</v>
      </c>
      <c r="R126" s="206" t="e">
        <f>(Q126+Q129+#REF!+#REF!)/E103*1000</f>
        <v>#REF!</v>
      </c>
      <c r="S126" s="178">
        <f t="shared" ref="S126:S127" si="24">Q126/$Q$137</f>
        <v>6.0387649751631439E-2</v>
      </c>
      <c r="T126" s="168">
        <f t="shared" si="22"/>
        <v>2480</v>
      </c>
      <c r="U126" s="150"/>
      <c r="V126" s="169"/>
      <c r="W126" s="169">
        <f>T126</f>
        <v>2480</v>
      </c>
      <c r="Y126" s="152"/>
      <c r="Z126" s="282"/>
      <c r="AA126" s="171"/>
      <c r="AB126" s="282">
        <f>T126</f>
        <v>2480</v>
      </c>
      <c r="AD126" s="152"/>
    </row>
    <row r="127" spans="1:30" x14ac:dyDescent="0.3">
      <c r="A127" s="157" t="s">
        <v>611</v>
      </c>
      <c r="B127" s="157" t="s">
        <v>55</v>
      </c>
      <c r="C127" s="157"/>
      <c r="D127" s="157" t="s">
        <v>57</v>
      </c>
      <c r="E127" s="157" t="s">
        <v>520</v>
      </c>
      <c r="F127" s="158" t="s">
        <v>523</v>
      </c>
      <c r="G127" s="157">
        <v>2</v>
      </c>
      <c r="H127" s="157" t="s">
        <v>58</v>
      </c>
      <c r="I127" s="175">
        <v>2</v>
      </c>
      <c r="J127" s="179"/>
      <c r="K127" s="176">
        <v>2</v>
      </c>
      <c r="L127" s="180"/>
      <c r="M127" s="163">
        <v>2</v>
      </c>
      <c r="N127" s="166">
        <v>2450</v>
      </c>
      <c r="O127" s="173">
        <v>0.2</v>
      </c>
      <c r="P127" s="166">
        <f>N127*(1-O127)</f>
        <v>1960</v>
      </c>
      <c r="Q127" s="166">
        <f t="shared" si="21"/>
        <v>7840</v>
      </c>
      <c r="R127" s="206" t="e">
        <f>(Q127+Q130+#REF!+#REF!)/E104*1000</f>
        <v>#REF!</v>
      </c>
      <c r="S127" s="178">
        <f t="shared" si="24"/>
        <v>0.19090289276322198</v>
      </c>
      <c r="T127" s="168">
        <f t="shared" si="22"/>
        <v>7840</v>
      </c>
      <c r="U127" s="150"/>
      <c r="V127" s="169"/>
      <c r="W127" s="169">
        <f>T127</f>
        <v>7840</v>
      </c>
      <c r="Y127" s="152"/>
      <c r="Z127" s="282"/>
      <c r="AA127" s="171"/>
      <c r="AB127" s="282">
        <f>T127</f>
        <v>7840</v>
      </c>
      <c r="AD127" s="152"/>
    </row>
    <row r="128" spans="1:30" x14ac:dyDescent="0.3">
      <c r="A128" s="157" t="s">
        <v>611</v>
      </c>
      <c r="B128" s="157" t="s">
        <v>56</v>
      </c>
      <c r="C128" s="157" t="s">
        <v>517</v>
      </c>
      <c r="D128" s="157" t="s">
        <v>26</v>
      </c>
      <c r="E128" s="157" t="s">
        <v>520</v>
      </c>
      <c r="F128" s="158" t="s">
        <v>588</v>
      </c>
      <c r="G128" s="157">
        <v>1</v>
      </c>
      <c r="H128" s="157" t="s">
        <v>24</v>
      </c>
      <c r="I128" s="159">
        <v>1</v>
      </c>
      <c r="J128" s="161"/>
      <c r="K128" s="161"/>
      <c r="L128" s="2209"/>
      <c r="M128" s="163">
        <v>1</v>
      </c>
      <c r="N128" s="166">
        <v>3500</v>
      </c>
      <c r="O128" s="173">
        <v>0.2</v>
      </c>
      <c r="P128" s="166">
        <f t="shared" ref="P128:P130" si="25">N128*(1-O128)</f>
        <v>2800</v>
      </c>
      <c r="Q128" s="166">
        <f t="shared" si="21"/>
        <v>2800</v>
      </c>
      <c r="R128" s="206"/>
      <c r="S128" s="504">
        <f>Q128/$Q$137</f>
        <v>6.8179604558293555E-2</v>
      </c>
      <c r="T128" s="168">
        <f t="shared" si="22"/>
        <v>2800</v>
      </c>
      <c r="U128" s="150">
        <f t="shared" ref="U128:U130" si="26">T128</f>
        <v>2800</v>
      </c>
      <c r="V128" s="169"/>
      <c r="Y128" s="152"/>
      <c r="Z128" s="282"/>
      <c r="AA128" s="171">
        <f>T128</f>
        <v>2800</v>
      </c>
      <c r="AB128" s="280"/>
      <c r="AC128" s="169">
        <f>T128</f>
        <v>2800</v>
      </c>
      <c r="AD128" s="152"/>
    </row>
    <row r="129" spans="1:30" x14ac:dyDescent="0.3">
      <c r="A129" s="157" t="s">
        <v>611</v>
      </c>
      <c r="B129" s="157" t="s">
        <v>56</v>
      </c>
      <c r="C129" s="157" t="s">
        <v>517</v>
      </c>
      <c r="D129" s="157" t="s">
        <v>27</v>
      </c>
      <c r="E129" s="157" t="s">
        <v>520</v>
      </c>
      <c r="F129" s="158" t="s">
        <v>612</v>
      </c>
      <c r="G129" s="157">
        <v>8</v>
      </c>
      <c r="H129" s="157" t="s">
        <v>24</v>
      </c>
      <c r="I129" s="175">
        <v>8</v>
      </c>
      <c r="J129" s="176"/>
      <c r="K129" s="179"/>
      <c r="L129" s="180"/>
      <c r="M129" s="163">
        <v>1</v>
      </c>
      <c r="N129" s="166">
        <v>1500</v>
      </c>
      <c r="O129" s="173">
        <v>0.2</v>
      </c>
      <c r="P129" s="166">
        <f t="shared" si="25"/>
        <v>1200</v>
      </c>
      <c r="Q129" s="166">
        <f t="shared" si="21"/>
        <v>9600</v>
      </c>
      <c r="R129" s="206" t="e">
        <f>(Q129+#REF!)/E102*1000</f>
        <v>#REF!</v>
      </c>
      <c r="S129" s="504">
        <f t="shared" ref="S129:S130" si="27">Q129/$Q$137</f>
        <v>0.23375864419986364</v>
      </c>
      <c r="T129" s="168">
        <f t="shared" si="22"/>
        <v>9600</v>
      </c>
      <c r="U129" s="150">
        <f t="shared" si="26"/>
        <v>9600</v>
      </c>
      <c r="W129" s="169"/>
      <c r="Y129" s="152"/>
      <c r="Z129" s="283">
        <f>T129</f>
        <v>9600</v>
      </c>
      <c r="AA129" s="171"/>
      <c r="AB129" s="280"/>
      <c r="AC129" s="169">
        <f>T129</f>
        <v>9600</v>
      </c>
      <c r="AD129" s="152"/>
    </row>
    <row r="130" spans="1:30" x14ac:dyDescent="0.3">
      <c r="A130" s="157" t="s">
        <v>611</v>
      </c>
      <c r="B130" s="157" t="s">
        <v>56</v>
      </c>
      <c r="C130" s="157" t="s">
        <v>517</v>
      </c>
      <c r="D130" s="157" t="s">
        <v>27</v>
      </c>
      <c r="E130" s="157" t="s">
        <v>520</v>
      </c>
      <c r="F130" s="158" t="s">
        <v>613</v>
      </c>
      <c r="G130" s="157">
        <v>8</v>
      </c>
      <c r="H130" s="157" t="s">
        <v>24</v>
      </c>
      <c r="I130" s="474"/>
      <c r="J130" s="1"/>
      <c r="K130" s="176">
        <v>8</v>
      </c>
      <c r="L130" s="177"/>
      <c r="M130" s="163">
        <v>1</v>
      </c>
      <c r="N130" s="166">
        <v>1500</v>
      </c>
      <c r="O130" s="173">
        <v>0.2</v>
      </c>
      <c r="P130" s="166">
        <f t="shared" si="25"/>
        <v>1200</v>
      </c>
      <c r="Q130" s="166">
        <f t="shared" si="21"/>
        <v>9600</v>
      </c>
      <c r="R130" s="206" t="e">
        <f>(Q130+#REF!)/E104*1000</f>
        <v>#REF!</v>
      </c>
      <c r="S130" s="504">
        <f t="shared" si="27"/>
        <v>0.23375864419986364</v>
      </c>
      <c r="T130" s="168">
        <f t="shared" si="22"/>
        <v>9600</v>
      </c>
      <c r="U130" s="150">
        <f t="shared" si="26"/>
        <v>9600</v>
      </c>
      <c r="W130" s="169"/>
      <c r="Y130" s="152"/>
      <c r="Z130" s="283">
        <f>T130</f>
        <v>9600</v>
      </c>
      <c r="AA130" s="171"/>
      <c r="AB130" s="280"/>
      <c r="AC130" s="169">
        <f>T130</f>
        <v>9600</v>
      </c>
      <c r="AD130" s="152"/>
    </row>
    <row r="131" spans="1:30" x14ac:dyDescent="0.3">
      <c r="A131" s="157"/>
      <c r="B131" s="157"/>
      <c r="C131" s="157"/>
      <c r="D131" s="157"/>
      <c r="E131" s="157"/>
      <c r="F131" s="158"/>
      <c r="G131" s="157"/>
      <c r="H131" s="157"/>
      <c r="I131" s="592"/>
      <c r="J131" s="179"/>
      <c r="K131" s="179"/>
      <c r="L131" s="180"/>
      <c r="M131" s="163"/>
      <c r="N131" s="473"/>
      <c r="O131" s="165"/>
      <c r="P131" s="476"/>
      <c r="Q131" s="473"/>
      <c r="R131" s="9"/>
      <c r="S131" s="506"/>
      <c r="T131" s="478"/>
      <c r="U131" s="565"/>
      <c r="Y131" s="152"/>
      <c r="Z131" s="282"/>
      <c r="AA131" s="171"/>
      <c r="AB131" s="280"/>
      <c r="AD131" s="152"/>
    </row>
    <row r="132" spans="1:30" x14ac:dyDescent="0.3">
      <c r="A132" s="157"/>
      <c r="B132" s="157"/>
      <c r="C132" s="157"/>
      <c r="D132" s="157"/>
      <c r="E132" s="157"/>
      <c r="F132" s="158"/>
      <c r="G132" s="157"/>
      <c r="H132" s="157"/>
      <c r="I132" s="592"/>
      <c r="J132" s="179"/>
      <c r="K132" s="179"/>
      <c r="L132" s="180"/>
      <c r="M132" s="163"/>
      <c r="N132" s="473"/>
      <c r="O132" s="165"/>
      <c r="P132" s="476"/>
      <c r="Q132" s="473"/>
      <c r="R132" s="9"/>
      <c r="S132" s="506"/>
      <c r="T132" s="478"/>
      <c r="U132" s="565"/>
      <c r="Y132" s="152"/>
      <c r="Z132" s="282"/>
      <c r="AA132" s="171"/>
      <c r="AB132" s="280"/>
      <c r="AD132" s="152"/>
    </row>
    <row r="133" spans="1:30" x14ac:dyDescent="0.3">
      <c r="A133" s="157"/>
      <c r="B133" s="157"/>
      <c r="C133" s="157"/>
      <c r="D133" s="157"/>
      <c r="E133" s="157"/>
      <c r="F133" s="158"/>
      <c r="G133" s="157"/>
      <c r="H133" s="157"/>
      <c r="I133" s="592"/>
      <c r="J133" s="179"/>
      <c r="K133" s="179"/>
      <c r="L133" s="180"/>
      <c r="M133" s="163"/>
      <c r="N133" s="473"/>
      <c r="O133" s="165"/>
      <c r="P133" s="476"/>
      <c r="Q133" s="473"/>
      <c r="R133" s="9"/>
      <c r="S133" s="506"/>
      <c r="T133" s="478"/>
      <c r="U133" s="565"/>
      <c r="Y133" s="152"/>
      <c r="Z133" s="282"/>
      <c r="AA133" s="171"/>
      <c r="AB133" s="280"/>
      <c r="AD133" s="152"/>
    </row>
    <row r="134" spans="1:30" x14ac:dyDescent="0.3">
      <c r="A134" s="190" t="s">
        <v>614</v>
      </c>
      <c r="B134" s="190" t="s">
        <v>528</v>
      </c>
      <c r="C134" s="190"/>
      <c r="D134" s="190"/>
      <c r="E134" s="190"/>
      <c r="F134" s="191"/>
      <c r="G134" s="190"/>
      <c r="H134" s="190"/>
      <c r="I134" s="575"/>
      <c r="J134" s="576"/>
      <c r="K134" s="576"/>
      <c r="L134" s="577"/>
      <c r="M134" s="163"/>
      <c r="N134" s="194"/>
      <c r="O134" s="195"/>
      <c r="P134" s="186"/>
      <c r="Q134" s="166"/>
      <c r="R134" s="288"/>
      <c r="S134" s="196"/>
      <c r="T134" s="168">
        <f>Q134</f>
        <v>0</v>
      </c>
      <c r="U134" s="150"/>
      <c r="X134" s="169">
        <f>T134</f>
        <v>0</v>
      </c>
      <c r="Y134" s="152"/>
      <c r="Z134" s="280"/>
      <c r="AA134" s="171"/>
      <c r="AB134" s="280"/>
      <c r="AD134" s="152"/>
    </row>
    <row r="135" spans="1:30" x14ac:dyDescent="0.3">
      <c r="A135" s="108" t="s">
        <v>615</v>
      </c>
      <c r="B135" s="108" t="s">
        <v>529</v>
      </c>
      <c r="C135" s="108"/>
      <c r="D135" s="108" t="s">
        <v>530</v>
      </c>
      <c r="E135" s="108"/>
      <c r="F135" s="479"/>
      <c r="G135" s="108"/>
      <c r="H135" s="108"/>
      <c r="I135" s="254"/>
      <c r="J135" s="254"/>
      <c r="K135" s="254"/>
      <c r="L135" s="254"/>
      <c r="M135" s="108"/>
      <c r="N135" s="257"/>
      <c r="O135" s="109"/>
      <c r="P135" s="290"/>
      <c r="Q135" s="257">
        <v>3600</v>
      </c>
      <c r="R135" s="480"/>
      <c r="S135" s="291">
        <f>Q135/Q137</f>
        <v>8.7659491574948858E-2</v>
      </c>
      <c r="T135" s="168">
        <f>Q135</f>
        <v>3600</v>
      </c>
      <c r="U135" s="150"/>
      <c r="Y135" s="171">
        <f>T135</f>
        <v>3600</v>
      </c>
      <c r="Z135" s="280"/>
      <c r="AA135" s="152"/>
      <c r="AB135" s="280"/>
      <c r="AD135" s="152"/>
    </row>
    <row r="136" spans="1:30" x14ac:dyDescent="0.3">
      <c r="I136" s="115">
        <f>I137/M137</f>
        <v>0.58333333333333337</v>
      </c>
      <c r="J136" s="115"/>
      <c r="K136" s="115">
        <f>K137/M137</f>
        <v>0.41666666666666669</v>
      </c>
      <c r="T136" s="149"/>
      <c r="U136" s="150"/>
      <c r="Y136" s="152"/>
      <c r="Z136" s="280"/>
      <c r="AA136" s="152"/>
      <c r="AB136" s="280"/>
      <c r="AD136" s="152"/>
    </row>
    <row r="137" spans="1:30" x14ac:dyDescent="0.3">
      <c r="A137" s="326" t="s">
        <v>531</v>
      </c>
      <c r="B137" s="327"/>
      <c r="C137" s="327"/>
      <c r="D137" s="327"/>
      <c r="E137" s="327"/>
      <c r="F137" s="328"/>
      <c r="G137" s="327"/>
      <c r="H137" s="327"/>
      <c r="I137" s="327">
        <f>I129+I128+I125+I126+I127</f>
        <v>14</v>
      </c>
      <c r="J137" s="327"/>
      <c r="K137" s="327">
        <f>K130+K127</f>
        <v>10</v>
      </c>
      <c r="L137" s="327"/>
      <c r="M137" s="327">
        <f>SUM(I137:L137)</f>
        <v>24</v>
      </c>
      <c r="N137" s="329"/>
      <c r="O137" s="330"/>
      <c r="P137" s="329"/>
      <c r="Q137" s="331">
        <f>SUM(Q125:Q136)</f>
        <v>41068</v>
      </c>
      <c r="R137" s="331"/>
      <c r="S137" s="332">
        <f>SUM(S125:S135)</f>
        <v>1</v>
      </c>
      <c r="T137" s="333">
        <f>SUM(T125:T136)</f>
        <v>41068</v>
      </c>
      <c r="U137" s="334">
        <f t="shared" ref="U137:AA137" si="28">SUM(U125:U135)</f>
        <v>27148</v>
      </c>
      <c r="V137" s="335">
        <f t="shared" si="28"/>
        <v>0</v>
      </c>
      <c r="W137" s="335">
        <f t="shared" si="28"/>
        <v>10320</v>
      </c>
      <c r="X137" s="335">
        <f t="shared" si="28"/>
        <v>0</v>
      </c>
      <c r="Y137" s="337">
        <f t="shared" si="28"/>
        <v>3600</v>
      </c>
      <c r="Z137" s="336">
        <f t="shared" si="28"/>
        <v>19200</v>
      </c>
      <c r="AA137" s="337">
        <f t="shared" si="28"/>
        <v>7947.9999999999991</v>
      </c>
      <c r="AB137" s="334">
        <f>SUM(AB125:AB136)</f>
        <v>15468</v>
      </c>
      <c r="AC137" s="335">
        <f>SUM(AC125:AC136)</f>
        <v>22000</v>
      </c>
      <c r="AD137" s="593"/>
    </row>
    <row r="138" spans="1:30" x14ac:dyDescent="0.3">
      <c r="A138" s="342" t="s">
        <v>532</v>
      </c>
      <c r="B138" s="343"/>
      <c r="C138" s="343"/>
      <c r="D138" s="343"/>
      <c r="E138" s="343"/>
      <c r="F138" s="344"/>
      <c r="G138" s="343"/>
      <c r="H138" s="343"/>
      <c r="I138" s="343">
        <f>I129+I128+I125+I126+I127</f>
        <v>14</v>
      </c>
      <c r="J138" s="343">
        <f>I129+I128+I125+I126</f>
        <v>12</v>
      </c>
      <c r="K138" s="343">
        <f>K130+I128+I125+I126+K127</f>
        <v>14</v>
      </c>
      <c r="L138" s="343">
        <f>K130+I128+I125+I126</f>
        <v>12</v>
      </c>
      <c r="M138" s="343">
        <f>SUM(I138:L138)</f>
        <v>52</v>
      </c>
      <c r="N138" s="345"/>
      <c r="O138" s="346"/>
      <c r="P138" s="345"/>
      <c r="Q138" s="345"/>
      <c r="R138" s="345"/>
      <c r="S138" s="347"/>
      <c r="T138" s="348"/>
      <c r="U138" s="349">
        <f>U137/T137</f>
        <v>0.66104996591019771</v>
      </c>
      <c r="V138" s="350">
        <f>V137/T137</f>
        <v>0</v>
      </c>
      <c r="W138" s="350">
        <f>W137/T137</f>
        <v>0.25129054251485339</v>
      </c>
      <c r="X138" s="350">
        <f>X137/T137</f>
        <v>0</v>
      </c>
      <c r="Y138" s="352">
        <f>Y137/T137</f>
        <v>8.7659491574948858E-2</v>
      </c>
      <c r="Z138" s="351">
        <f>Z137/T137</f>
        <v>0.46751728839972728</v>
      </c>
      <c r="AA138" s="352">
        <f>AA137/T137</f>
        <v>0.19353267751047043</v>
      </c>
      <c r="AB138" s="591"/>
      <c r="AC138" s="524"/>
      <c r="AD138" s="356"/>
    </row>
    <row r="139" spans="1:30" x14ac:dyDescent="0.3">
      <c r="A139" s="243" t="s">
        <v>533</v>
      </c>
      <c r="B139" s="193"/>
      <c r="C139" s="193"/>
      <c r="D139" s="193"/>
      <c r="E139" s="193"/>
      <c r="F139" s="244"/>
      <c r="G139" s="193"/>
      <c r="H139" s="193"/>
      <c r="I139" s="2182">
        <f>I138/M138</f>
        <v>0.26923076923076922</v>
      </c>
      <c r="J139" s="2182">
        <f>J138/M138</f>
        <v>0.23076923076923078</v>
      </c>
      <c r="K139" s="245"/>
      <c r="L139" s="245"/>
      <c r="M139" s="193"/>
      <c r="N139" s="246"/>
      <c r="O139" s="196"/>
      <c r="P139" s="246"/>
      <c r="Q139" s="194">
        <f>U137</f>
        <v>27148</v>
      </c>
      <c r="R139" s="288"/>
      <c r="S139" s="247">
        <f>Q139/Q144</f>
        <v>0.66104996591019771</v>
      </c>
      <c r="Y139" s="248"/>
      <c r="Z139" s="357">
        <f>I129+K130+I128+I127+K127+I126</f>
        <v>23</v>
      </c>
      <c r="AA139" s="358">
        <f>I125</f>
        <v>1</v>
      </c>
    </row>
    <row r="140" spans="1:30" x14ac:dyDescent="0.3">
      <c r="A140" s="251" t="s">
        <v>11</v>
      </c>
      <c r="B140" s="252"/>
      <c r="C140" s="252"/>
      <c r="D140" s="252"/>
      <c r="E140" s="252"/>
      <c r="F140" s="253"/>
      <c r="G140" s="252"/>
      <c r="H140" s="252"/>
      <c r="I140" s="254"/>
      <c r="J140" s="254"/>
      <c r="K140" s="254"/>
      <c r="L140" s="254"/>
      <c r="M140" s="252"/>
      <c r="N140" s="255"/>
      <c r="O140" s="256"/>
      <c r="P140" s="255"/>
      <c r="Q140" s="257">
        <f>V137</f>
        <v>0</v>
      </c>
      <c r="R140" s="290"/>
      <c r="S140" s="256">
        <f>Q140/Q144</f>
        <v>0</v>
      </c>
      <c r="T140" s="525">
        <f>Q137/M137</f>
        <v>1711.1666666666667</v>
      </c>
      <c r="U140" s="526" t="s">
        <v>535</v>
      </c>
      <c r="Z140" s="195">
        <f>Z139/M137</f>
        <v>0.95833333333333337</v>
      </c>
      <c r="AA140" s="247">
        <f>AA139/M137</f>
        <v>4.1666666666666664E-2</v>
      </c>
    </row>
    <row r="141" spans="1:30" x14ac:dyDescent="0.3">
      <c r="A141" s="251" t="s">
        <v>536</v>
      </c>
      <c r="B141" s="252"/>
      <c r="C141" s="252"/>
      <c r="D141" s="252"/>
      <c r="E141" s="252"/>
      <c r="F141" s="253"/>
      <c r="G141" s="252"/>
      <c r="H141" s="252"/>
      <c r="I141" s="254"/>
      <c r="J141" s="254"/>
      <c r="K141" s="254"/>
      <c r="L141" s="254"/>
      <c r="M141" s="252"/>
      <c r="N141" s="255"/>
      <c r="O141" s="256"/>
      <c r="P141" s="255"/>
      <c r="Q141" s="257">
        <f>W137</f>
        <v>10320</v>
      </c>
      <c r="R141" s="290"/>
      <c r="S141" s="262">
        <f>Q141/Q144</f>
        <v>0.25129054251485339</v>
      </c>
      <c r="V141" s="263"/>
      <c r="X141" s="99"/>
      <c r="Z141" s="2265" t="s">
        <v>537</v>
      </c>
      <c r="AA141" s="2265"/>
    </row>
    <row r="142" spans="1:30" x14ac:dyDescent="0.3">
      <c r="A142" s="251" t="s">
        <v>529</v>
      </c>
      <c r="B142" s="252"/>
      <c r="C142" s="252"/>
      <c r="D142" s="252"/>
      <c r="E142" s="252"/>
      <c r="F142" s="253"/>
      <c r="G142" s="252"/>
      <c r="H142" s="252"/>
      <c r="I142" s="254"/>
      <c r="J142" s="254"/>
      <c r="K142" s="254"/>
      <c r="L142" s="254"/>
      <c r="M142" s="252"/>
      <c r="N142" s="255"/>
      <c r="O142" s="256"/>
      <c r="P142" s="255"/>
      <c r="Q142" s="257">
        <f>Y137</f>
        <v>3600</v>
      </c>
      <c r="R142" s="290"/>
      <c r="S142" s="262">
        <f>Q142/Q144</f>
        <v>8.7659491574948858E-2</v>
      </c>
      <c r="V142" s="263"/>
    </row>
    <row r="143" spans="1:30" x14ac:dyDescent="0.3">
      <c r="A143" s="251" t="s">
        <v>528</v>
      </c>
      <c r="B143" s="252"/>
      <c r="C143" s="252"/>
      <c r="D143" s="252"/>
      <c r="E143" s="252"/>
      <c r="F143" s="253"/>
      <c r="G143" s="252"/>
      <c r="H143" s="252"/>
      <c r="I143" s="254"/>
      <c r="J143" s="254"/>
      <c r="K143" s="254"/>
      <c r="L143" s="254"/>
      <c r="M143" s="252"/>
      <c r="N143" s="255"/>
      <c r="O143" s="256"/>
      <c r="P143" s="255"/>
      <c r="Q143" s="257">
        <f>X137</f>
        <v>0</v>
      </c>
      <c r="R143" s="290"/>
      <c r="S143" s="262">
        <f>Q143/Q144</f>
        <v>0</v>
      </c>
    </row>
    <row r="144" spans="1:30" x14ac:dyDescent="0.3">
      <c r="A144" s="251"/>
      <c r="B144" s="252"/>
      <c r="C144" s="252"/>
      <c r="D144" s="252"/>
      <c r="E144" s="252"/>
      <c r="F144" s="253"/>
      <c r="G144" s="252"/>
      <c r="H144" s="252"/>
      <c r="I144" s="254"/>
      <c r="J144" s="254"/>
      <c r="K144" s="254"/>
      <c r="L144" s="254"/>
      <c r="M144" s="252"/>
      <c r="N144" s="255"/>
      <c r="O144" s="256"/>
      <c r="P144" s="255"/>
      <c r="Q144" s="264">
        <f>SUM(Q139:Q143)</f>
        <v>41068</v>
      </c>
      <c r="R144" s="490"/>
      <c r="S144" s="262">
        <f>SUM(S139:S143)</f>
        <v>1</v>
      </c>
    </row>
    <row r="148" spans="1:30" x14ac:dyDescent="0.3">
      <c r="E148" s="1" t="s">
        <v>562</v>
      </c>
      <c r="F148" s="2" t="s">
        <v>620</v>
      </c>
    </row>
    <row r="149" spans="1:30" x14ac:dyDescent="0.3">
      <c r="E149" s="1" t="s">
        <v>473</v>
      </c>
      <c r="F149" s="2" t="s">
        <v>59</v>
      </c>
    </row>
    <row r="150" spans="1:30" x14ac:dyDescent="0.3">
      <c r="E150" s="1" t="s">
        <v>475</v>
      </c>
      <c r="F150" s="2" t="s">
        <v>621</v>
      </c>
    </row>
    <row r="151" spans="1:30" x14ac:dyDescent="0.3">
      <c r="E151" s="1" t="s">
        <v>477</v>
      </c>
      <c r="F151" s="2" t="s">
        <v>622</v>
      </c>
    </row>
    <row r="153" spans="1:30" ht="18" x14ac:dyDescent="0.35">
      <c r="A153" s="118" t="s">
        <v>567</v>
      </c>
      <c r="S153" s="98"/>
    </row>
    <row r="155" spans="1:30" x14ac:dyDescent="0.3">
      <c r="A155" s="2335" t="s">
        <v>480</v>
      </c>
      <c r="B155" s="2336"/>
      <c r="C155" s="2336"/>
      <c r="D155" s="2336"/>
      <c r="E155" s="2336"/>
      <c r="F155" s="2336"/>
      <c r="G155" s="2336"/>
      <c r="H155" s="2336"/>
      <c r="I155" s="2336"/>
      <c r="J155" s="2336"/>
      <c r="K155" s="2336"/>
      <c r="L155" s="2336"/>
      <c r="M155" s="2336"/>
      <c r="N155" s="2336"/>
      <c r="O155" s="2336"/>
      <c r="P155" s="2336"/>
      <c r="Q155" s="2336"/>
      <c r="R155" s="2336"/>
      <c r="S155" s="2337"/>
      <c r="T155" s="2338" t="s">
        <v>584</v>
      </c>
      <c r="U155" s="2339"/>
      <c r="V155" s="2339"/>
      <c r="W155" s="2339"/>
      <c r="X155" s="2339"/>
      <c r="Y155" s="2339"/>
      <c r="Z155" s="2339"/>
      <c r="AA155" s="2339"/>
      <c r="AB155" s="2339"/>
      <c r="AC155" s="2339"/>
      <c r="AD155" s="2340"/>
    </row>
    <row r="156" spans="1:30" ht="15.6" x14ac:dyDescent="0.3">
      <c r="A156" s="2227" t="s">
        <v>482</v>
      </c>
      <c r="B156" s="2215" t="s">
        <v>483</v>
      </c>
      <c r="C156" s="2215" t="s">
        <v>484</v>
      </c>
      <c r="D156" s="2215" t="s">
        <v>555</v>
      </c>
      <c r="E156" s="2215" t="s">
        <v>556</v>
      </c>
      <c r="F156" s="2213" t="s">
        <v>487</v>
      </c>
      <c r="G156" s="2215" t="s">
        <v>557</v>
      </c>
      <c r="H156" s="2215" t="s">
        <v>489</v>
      </c>
      <c r="I156" s="2217" t="s">
        <v>490</v>
      </c>
      <c r="J156" s="373"/>
      <c r="K156" s="373"/>
      <c r="L156" s="2218"/>
      <c r="M156" s="374" t="s">
        <v>491</v>
      </c>
      <c r="N156" s="375" t="s">
        <v>558</v>
      </c>
      <c r="O156" s="376" t="s">
        <v>493</v>
      </c>
      <c r="P156" s="375" t="s">
        <v>558</v>
      </c>
      <c r="Q156" s="375" t="s">
        <v>559</v>
      </c>
      <c r="R156" s="534" t="s">
        <v>585</v>
      </c>
      <c r="S156" s="2327" t="s">
        <v>495</v>
      </c>
      <c r="T156" s="594" t="s">
        <v>496</v>
      </c>
      <c r="U156" s="2329" t="s">
        <v>497</v>
      </c>
      <c r="V156" s="2330"/>
      <c r="W156" s="2330"/>
      <c r="X156" s="2330"/>
      <c r="Y156" s="2331"/>
      <c r="Z156" s="2318" t="s">
        <v>498</v>
      </c>
      <c r="AA156" s="2319"/>
      <c r="AB156" s="2317" t="s">
        <v>499</v>
      </c>
      <c r="AC156" s="2318"/>
      <c r="AD156" s="2319"/>
    </row>
    <row r="157" spans="1:30" ht="15.6" x14ac:dyDescent="0.3">
      <c r="A157" s="2341"/>
      <c r="B157" s="2326"/>
      <c r="C157" s="2326"/>
      <c r="D157" s="2326"/>
      <c r="E157" s="2326"/>
      <c r="F157" s="2342"/>
      <c r="G157" s="2326"/>
      <c r="H157" s="2326"/>
      <c r="I157" s="536" t="s">
        <v>500</v>
      </c>
      <c r="J157" s="536" t="s">
        <v>501</v>
      </c>
      <c r="K157" s="536" t="s">
        <v>502</v>
      </c>
      <c r="L157" s="536" t="s">
        <v>503</v>
      </c>
      <c r="M157" s="537" t="s">
        <v>504</v>
      </c>
      <c r="N157" s="538" t="s">
        <v>505</v>
      </c>
      <c r="O157" s="539" t="s">
        <v>506</v>
      </c>
      <c r="P157" s="538" t="s">
        <v>507</v>
      </c>
      <c r="Q157" s="538" t="s">
        <v>560</v>
      </c>
      <c r="R157" s="538"/>
      <c r="S157" s="2328"/>
      <c r="T157" s="595" t="s">
        <v>508</v>
      </c>
      <c r="U157" s="2332"/>
      <c r="V157" s="2333"/>
      <c r="W157" s="2333"/>
      <c r="X157" s="2333"/>
      <c r="Y157" s="2334"/>
      <c r="Z157" s="2321"/>
      <c r="AA157" s="2322"/>
      <c r="AB157" s="2320"/>
      <c r="AC157" s="2321"/>
      <c r="AD157" s="2322"/>
    </row>
    <row r="158" spans="1:30" ht="18" x14ac:dyDescent="0.35">
      <c r="A158" s="2323" t="s">
        <v>568</v>
      </c>
      <c r="B158" s="2324"/>
      <c r="C158" s="2324"/>
      <c r="D158" s="2324"/>
      <c r="E158" s="2324"/>
      <c r="F158" s="2324"/>
      <c r="G158" s="2324"/>
      <c r="H158" s="2324"/>
      <c r="I158" s="2324"/>
      <c r="J158" s="2324"/>
      <c r="K158" s="2324"/>
      <c r="L158" s="2324"/>
      <c r="M158" s="2324"/>
      <c r="N158" s="2324"/>
      <c r="O158" s="2324"/>
      <c r="P158" s="2324"/>
      <c r="Q158" s="2324"/>
      <c r="R158" s="2324"/>
      <c r="S158" s="2324"/>
      <c r="T158" s="559"/>
      <c r="U158" s="596" t="s">
        <v>510</v>
      </c>
      <c r="V158" s="561" t="s">
        <v>11</v>
      </c>
      <c r="W158" s="561" t="s">
        <v>511</v>
      </c>
      <c r="X158" s="561" t="s">
        <v>512</v>
      </c>
      <c r="Y158" s="562" t="s">
        <v>513</v>
      </c>
      <c r="Z158" s="563" t="s">
        <v>514</v>
      </c>
      <c r="AA158" s="562" t="s">
        <v>515</v>
      </c>
      <c r="AB158" s="563" t="s">
        <v>19</v>
      </c>
      <c r="AC158" s="561" t="s">
        <v>54</v>
      </c>
      <c r="AD158" s="564"/>
    </row>
    <row r="159" spans="1:30" x14ac:dyDescent="0.3">
      <c r="A159" s="154"/>
      <c r="B159" s="462"/>
      <c r="C159" s="462"/>
      <c r="D159" s="462"/>
      <c r="E159" s="462"/>
      <c r="F159" s="463"/>
      <c r="G159" s="462"/>
      <c r="H159" s="462"/>
      <c r="I159" s="465"/>
      <c r="J159" s="465"/>
      <c r="K159" s="465"/>
      <c r="L159" s="465"/>
      <c r="M159" s="462"/>
      <c r="N159" s="468"/>
      <c r="O159" s="469"/>
      <c r="P159" s="468"/>
      <c r="Q159" s="468"/>
      <c r="R159" s="468"/>
      <c r="S159" s="532"/>
      <c r="T159" s="149"/>
      <c r="Y159" s="286"/>
      <c r="AA159" s="286"/>
      <c r="AB159" s="280"/>
      <c r="AD159" s="152"/>
    </row>
    <row r="160" spans="1:30" x14ac:dyDescent="0.3">
      <c r="A160" s="157" t="s">
        <v>611</v>
      </c>
      <c r="B160" s="157" t="s">
        <v>55</v>
      </c>
      <c r="C160" s="157" t="s">
        <v>517</v>
      </c>
      <c r="D160" s="157" t="s">
        <v>26</v>
      </c>
      <c r="E160" s="157" t="s">
        <v>520</v>
      </c>
      <c r="F160" s="158" t="s">
        <v>590</v>
      </c>
      <c r="G160" s="157">
        <v>1</v>
      </c>
      <c r="H160" s="157" t="s">
        <v>24</v>
      </c>
      <c r="I160" s="159">
        <v>1</v>
      </c>
      <c r="J160" s="161"/>
      <c r="K160" s="161"/>
      <c r="L160" s="2209"/>
      <c r="M160" s="163">
        <v>1</v>
      </c>
      <c r="N160" s="164">
        <v>5200</v>
      </c>
      <c r="O160" s="165">
        <v>0.34</v>
      </c>
      <c r="P160" s="166">
        <f>N160*(1-O160)</f>
        <v>3431.9999999999995</v>
      </c>
      <c r="Q160" s="166">
        <f t="shared" ref="Q160:Q164" si="29">P160*M160*G160</f>
        <v>3431.9999999999995</v>
      </c>
      <c r="R160" s="206" t="e">
        <f>(Q160+Q161+Q163+#REF!)/E136*1000</f>
        <v>#REF!</v>
      </c>
      <c r="S160" s="178">
        <f>Q160/$Q$169</f>
        <v>0.14616695059625212</v>
      </c>
      <c r="T160" s="168">
        <f>Q160*2</f>
        <v>6863.9999999999991</v>
      </c>
      <c r="U160" s="7">
        <f t="shared" ref="U160:U164" si="30">T160</f>
        <v>6863.9999999999991</v>
      </c>
      <c r="V160" s="169"/>
      <c r="W160" s="169"/>
      <c r="X160" s="169"/>
      <c r="Y160" s="395"/>
      <c r="Z160" s="394"/>
      <c r="AA160" s="395">
        <f>T160</f>
        <v>6863.9999999999991</v>
      </c>
      <c r="AB160" s="282">
        <f>T160</f>
        <v>6863.9999999999991</v>
      </c>
      <c r="AD160" s="152"/>
    </row>
    <row r="161" spans="1:30" x14ac:dyDescent="0.3">
      <c r="A161" s="157" t="s">
        <v>611</v>
      </c>
      <c r="B161" s="157" t="s">
        <v>55</v>
      </c>
      <c r="C161" s="157" t="s">
        <v>517</v>
      </c>
      <c r="D161" s="157" t="s">
        <v>21</v>
      </c>
      <c r="E161" s="157" t="s">
        <v>518</v>
      </c>
      <c r="F161" s="158" t="s">
        <v>588</v>
      </c>
      <c r="G161" s="157">
        <v>1</v>
      </c>
      <c r="H161" s="157" t="s">
        <v>24</v>
      </c>
      <c r="I161" s="159">
        <v>1</v>
      </c>
      <c r="J161" s="161"/>
      <c r="K161" s="161"/>
      <c r="L161" s="2209"/>
      <c r="M161" s="163">
        <v>1</v>
      </c>
      <c r="N161" s="166">
        <v>7800</v>
      </c>
      <c r="O161" s="173">
        <v>0.34</v>
      </c>
      <c r="P161" s="166">
        <f>N161*(1-O161)</f>
        <v>5147.9999999999991</v>
      </c>
      <c r="Q161" s="166">
        <f t="shared" si="29"/>
        <v>5147.9999999999991</v>
      </c>
      <c r="R161" s="206" t="e">
        <f>(Q161+Q162+#REF!+#REF!)/E137*1000</f>
        <v>#REF!</v>
      </c>
      <c r="S161" s="167">
        <f>Q161/$Q$169</f>
        <v>0.21925042589437815</v>
      </c>
      <c r="T161" s="168">
        <f t="shared" ref="T161:T164" si="31">Q161*2</f>
        <v>10295.999999999998</v>
      </c>
      <c r="U161" s="7">
        <f t="shared" si="30"/>
        <v>10295.999999999998</v>
      </c>
      <c r="V161" s="169"/>
      <c r="Y161" s="286"/>
      <c r="Z161" s="394"/>
      <c r="AA161" s="395">
        <f>T161</f>
        <v>10295.999999999998</v>
      </c>
      <c r="AB161" s="282">
        <f>T161</f>
        <v>10295.999999999998</v>
      </c>
      <c r="AD161" s="152"/>
    </row>
    <row r="162" spans="1:30" x14ac:dyDescent="0.3">
      <c r="A162" s="157" t="s">
        <v>611</v>
      </c>
      <c r="B162" s="157" t="s">
        <v>56</v>
      </c>
      <c r="C162" s="157" t="s">
        <v>517</v>
      </c>
      <c r="D162" s="157" t="s">
        <v>26</v>
      </c>
      <c r="E162" s="157" t="s">
        <v>520</v>
      </c>
      <c r="F162" s="158" t="s">
        <v>588</v>
      </c>
      <c r="G162" s="157">
        <v>1</v>
      </c>
      <c r="H162" s="157" t="s">
        <v>24</v>
      </c>
      <c r="I162" s="159">
        <v>1</v>
      </c>
      <c r="J162" s="161"/>
      <c r="K162" s="161"/>
      <c r="L162" s="2209"/>
      <c r="M162" s="163">
        <v>1</v>
      </c>
      <c r="N162" s="166">
        <v>3500</v>
      </c>
      <c r="O162" s="173">
        <v>0.2</v>
      </c>
      <c r="P162" s="166">
        <f t="shared" ref="P162:P164" si="32">N162*(1-O162)</f>
        <v>2800</v>
      </c>
      <c r="Q162" s="166">
        <f t="shared" si="29"/>
        <v>2800</v>
      </c>
      <c r="R162" s="206"/>
      <c r="S162" s="504">
        <f>Q162/$Q$169</f>
        <v>0.11925042589437819</v>
      </c>
      <c r="T162" s="168">
        <f t="shared" si="31"/>
        <v>5600</v>
      </c>
      <c r="U162" s="7">
        <f t="shared" si="30"/>
        <v>5600</v>
      </c>
      <c r="V162" s="169"/>
      <c r="Y162" s="286"/>
      <c r="Z162" s="394"/>
      <c r="AA162" s="395">
        <f>T162</f>
        <v>5600</v>
      </c>
      <c r="AB162" s="280"/>
      <c r="AC162" s="169">
        <f>T162</f>
        <v>5600</v>
      </c>
      <c r="AD162" s="152"/>
    </row>
    <row r="163" spans="1:30" x14ac:dyDescent="0.3">
      <c r="A163" s="157" t="s">
        <v>611</v>
      </c>
      <c r="B163" s="157" t="s">
        <v>56</v>
      </c>
      <c r="C163" s="157" t="s">
        <v>517</v>
      </c>
      <c r="D163" s="157" t="s">
        <v>27</v>
      </c>
      <c r="E163" s="157" t="s">
        <v>520</v>
      </c>
      <c r="F163" s="158" t="s">
        <v>612</v>
      </c>
      <c r="G163" s="157">
        <v>4</v>
      </c>
      <c r="H163" s="157" t="s">
        <v>24</v>
      </c>
      <c r="I163" s="175">
        <v>4</v>
      </c>
      <c r="J163" s="176"/>
      <c r="K163" s="179"/>
      <c r="L163" s="180"/>
      <c r="M163" s="163">
        <v>1</v>
      </c>
      <c r="N163" s="166">
        <v>1500</v>
      </c>
      <c r="O163" s="173">
        <v>0.2</v>
      </c>
      <c r="P163" s="166">
        <f t="shared" si="32"/>
        <v>1200</v>
      </c>
      <c r="Q163" s="166">
        <f t="shared" si="29"/>
        <v>4800</v>
      </c>
      <c r="R163" s="206" t="e">
        <f>(Q163+#REF!)/E137*1000</f>
        <v>#REF!</v>
      </c>
      <c r="S163" s="504">
        <f t="shared" ref="S163:S164" si="33">Q163/$Q$169</f>
        <v>0.20442930153321975</v>
      </c>
      <c r="T163" s="168">
        <f t="shared" si="31"/>
        <v>9600</v>
      </c>
      <c r="U163" s="7">
        <f t="shared" si="30"/>
        <v>9600</v>
      </c>
      <c r="W163" s="169"/>
      <c r="Y163" s="286"/>
      <c r="Z163" s="206">
        <f>T163</f>
        <v>9600</v>
      </c>
      <c r="AA163" s="395"/>
      <c r="AB163" s="280"/>
      <c r="AC163" s="169">
        <f>T163</f>
        <v>9600</v>
      </c>
      <c r="AD163" s="152"/>
    </row>
    <row r="164" spans="1:30" x14ac:dyDescent="0.3">
      <c r="A164" s="157" t="s">
        <v>611</v>
      </c>
      <c r="B164" s="157" t="s">
        <v>56</v>
      </c>
      <c r="C164" s="157" t="s">
        <v>517</v>
      </c>
      <c r="D164" s="157" t="s">
        <v>27</v>
      </c>
      <c r="E164" s="157" t="s">
        <v>520</v>
      </c>
      <c r="F164" s="158" t="s">
        <v>613</v>
      </c>
      <c r="G164" s="157">
        <v>4</v>
      </c>
      <c r="H164" s="157" t="s">
        <v>24</v>
      </c>
      <c r="I164" s="474"/>
      <c r="J164" s="1"/>
      <c r="K164" s="176">
        <v>4</v>
      </c>
      <c r="L164" s="177"/>
      <c r="M164" s="163">
        <v>1</v>
      </c>
      <c r="N164" s="166">
        <v>1500</v>
      </c>
      <c r="O164" s="173">
        <v>0.2</v>
      </c>
      <c r="P164" s="166">
        <f t="shared" si="32"/>
        <v>1200</v>
      </c>
      <c r="Q164" s="166">
        <f t="shared" si="29"/>
        <v>4800</v>
      </c>
      <c r="R164" s="206" t="e">
        <f>(Q164+#REF!)/E139*1000</f>
        <v>#REF!</v>
      </c>
      <c r="S164" s="504">
        <f t="shared" si="33"/>
        <v>0.20442930153321975</v>
      </c>
      <c r="T164" s="168">
        <f t="shared" si="31"/>
        <v>9600</v>
      </c>
      <c r="U164" s="7">
        <f t="shared" si="30"/>
        <v>9600</v>
      </c>
      <c r="W164" s="169"/>
      <c r="Y164" s="286"/>
      <c r="Z164" s="206">
        <f>T164</f>
        <v>9600</v>
      </c>
      <c r="AA164" s="395"/>
      <c r="AB164" s="280"/>
      <c r="AC164" s="169">
        <f>T164</f>
        <v>9600</v>
      </c>
      <c r="AD164" s="152"/>
    </row>
    <row r="165" spans="1:30" x14ac:dyDescent="0.3">
      <c r="A165" s="157"/>
      <c r="B165" s="157"/>
      <c r="C165" s="157"/>
      <c r="D165" s="157"/>
      <c r="E165" s="157"/>
      <c r="F165" s="158"/>
      <c r="G165" s="157"/>
      <c r="H165" s="157"/>
      <c r="I165" s="474"/>
      <c r="J165" s="1"/>
      <c r="K165" s="1"/>
      <c r="L165" s="163"/>
      <c r="M165" s="163"/>
      <c r="N165" s="473"/>
      <c r="O165" s="165"/>
      <c r="P165" s="476"/>
      <c r="Q165" s="473"/>
      <c r="R165" s="9"/>
      <c r="S165" s="506"/>
      <c r="T165" s="478"/>
      <c r="U165" s="15"/>
      <c r="Y165" s="286"/>
      <c r="Z165" s="394"/>
      <c r="AA165" s="395"/>
      <c r="AB165" s="280"/>
      <c r="AD165" s="152"/>
    </row>
    <row r="166" spans="1:30" x14ac:dyDescent="0.3">
      <c r="A166" s="190" t="s">
        <v>614</v>
      </c>
      <c r="B166" s="190" t="s">
        <v>528</v>
      </c>
      <c r="C166" s="190"/>
      <c r="D166" s="190"/>
      <c r="E166" s="190"/>
      <c r="F166" s="191"/>
      <c r="G166" s="190"/>
      <c r="H166" s="190"/>
      <c r="I166" s="192"/>
      <c r="J166" s="193"/>
      <c r="K166" s="193"/>
      <c r="L166" s="193"/>
      <c r="M166" s="190"/>
      <c r="N166" s="194"/>
      <c r="O166" s="195"/>
      <c r="P166" s="186"/>
      <c r="Q166" s="166"/>
      <c r="R166" s="288"/>
      <c r="S166" s="196"/>
      <c r="T166" s="168"/>
      <c r="U166" s="7"/>
      <c r="X166" s="169">
        <f>T166</f>
        <v>0</v>
      </c>
      <c r="Y166" s="286"/>
      <c r="Z166" s="188"/>
      <c r="AA166" s="395"/>
      <c r="AB166" s="280"/>
      <c r="AD166" s="152"/>
    </row>
    <row r="167" spans="1:30" x14ac:dyDescent="0.3">
      <c r="A167" s="108" t="s">
        <v>615</v>
      </c>
      <c r="B167" s="108" t="s">
        <v>529</v>
      </c>
      <c r="C167" s="108"/>
      <c r="D167" s="108" t="s">
        <v>530</v>
      </c>
      <c r="E167" s="108"/>
      <c r="F167" s="479"/>
      <c r="G167" s="108"/>
      <c r="H167" s="108"/>
      <c r="I167" s="254"/>
      <c r="J167" s="254"/>
      <c r="K167" s="254"/>
      <c r="L167" s="254"/>
      <c r="M167" s="108"/>
      <c r="N167" s="257"/>
      <c r="O167" s="109"/>
      <c r="P167" s="290"/>
      <c r="Q167" s="257">
        <v>2500</v>
      </c>
      <c r="R167" s="480"/>
      <c r="S167" s="291">
        <f>Q167/Q169</f>
        <v>0.10647359454855196</v>
      </c>
      <c r="T167" s="168">
        <f>Q167*2</f>
        <v>5000</v>
      </c>
      <c r="U167" s="7"/>
      <c r="Y167" s="395">
        <f>T167</f>
        <v>5000</v>
      </c>
      <c r="Z167" s="188"/>
      <c r="AA167" s="286"/>
      <c r="AB167" s="280"/>
      <c r="AD167" s="152"/>
    </row>
    <row r="168" spans="1:30" x14ac:dyDescent="0.3">
      <c r="I168" s="115">
        <f>I169/M169</f>
        <v>0.63636363636363635</v>
      </c>
      <c r="J168" s="115"/>
      <c r="K168" s="115">
        <f>K169/M169</f>
        <v>0.36363636363636365</v>
      </c>
      <c r="T168" s="149"/>
      <c r="U168" s="7"/>
      <c r="Y168" s="286"/>
      <c r="Z168" s="188"/>
      <c r="AA168" s="286"/>
      <c r="AB168" s="280"/>
      <c r="AD168" s="152"/>
    </row>
    <row r="169" spans="1:30" x14ac:dyDescent="0.3">
      <c r="A169" s="396" t="s">
        <v>531</v>
      </c>
      <c r="B169" s="373"/>
      <c r="C169" s="373"/>
      <c r="D169" s="373"/>
      <c r="E169" s="373"/>
      <c r="F169" s="397"/>
      <c r="G169" s="373"/>
      <c r="H169" s="373"/>
      <c r="I169" s="373">
        <f>I163+I162+I161+I160</f>
        <v>7</v>
      </c>
      <c r="J169" s="373"/>
      <c r="K169" s="373">
        <f>K164</f>
        <v>4</v>
      </c>
      <c r="L169" s="373"/>
      <c r="M169" s="373">
        <f>SUM(I169:L169)</f>
        <v>11</v>
      </c>
      <c r="N169" s="398"/>
      <c r="O169" s="399"/>
      <c r="P169" s="398"/>
      <c r="Q169" s="400">
        <f>SUM(Q160:Q168)</f>
        <v>23480</v>
      </c>
      <c r="R169" s="400"/>
      <c r="S169" s="401">
        <f>SUM(S160:S167)</f>
        <v>1</v>
      </c>
      <c r="T169" s="402">
        <f>SUM(T160:T168)</f>
        <v>46960</v>
      </c>
      <c r="U169" s="403">
        <f t="shared" ref="U169:AA169" si="34">SUM(U160:U167)</f>
        <v>41960</v>
      </c>
      <c r="V169" s="404">
        <f t="shared" si="34"/>
        <v>0</v>
      </c>
      <c r="W169" s="404">
        <f t="shared" si="34"/>
        <v>0</v>
      </c>
      <c r="X169" s="404">
        <f t="shared" si="34"/>
        <v>0</v>
      </c>
      <c r="Y169" s="404">
        <f t="shared" si="34"/>
        <v>5000</v>
      </c>
      <c r="Z169" s="543">
        <f t="shared" si="34"/>
        <v>19200</v>
      </c>
      <c r="AA169" s="544">
        <f t="shared" si="34"/>
        <v>22759.999999999996</v>
      </c>
      <c r="AB169" s="403">
        <f>SUM(AB160:AB168)</f>
        <v>17159.999999999996</v>
      </c>
      <c r="AC169" s="404">
        <f>SUM(AC160:AC168)</f>
        <v>24800</v>
      </c>
      <c r="AD169" s="597"/>
    </row>
    <row r="170" spans="1:30" x14ac:dyDescent="0.3">
      <c r="A170" s="410" t="s">
        <v>532</v>
      </c>
      <c r="B170" s="411"/>
      <c r="C170" s="411"/>
      <c r="D170" s="411"/>
      <c r="E170" s="411"/>
      <c r="F170" s="412"/>
      <c r="G170" s="411"/>
      <c r="H170" s="411"/>
      <c r="I170" s="411">
        <f>I163+I162+I161+I160</f>
        <v>7</v>
      </c>
      <c r="J170" s="411">
        <f>I163+I162+I161+I160</f>
        <v>7</v>
      </c>
      <c r="K170" s="411">
        <f>K164+I162+I161+I160</f>
        <v>7</v>
      </c>
      <c r="L170" s="411">
        <f>K164+I162+I161+I160</f>
        <v>7</v>
      </c>
      <c r="M170" s="411">
        <f>SUM(I170:L170)</f>
        <v>28</v>
      </c>
      <c r="N170" s="413"/>
      <c r="O170" s="414"/>
      <c r="P170" s="413"/>
      <c r="Q170" s="413"/>
      <c r="R170" s="413"/>
      <c r="S170" s="415"/>
      <c r="T170" s="416"/>
      <c r="U170" s="598">
        <f>U169/T169</f>
        <v>0.89352640545144801</v>
      </c>
      <c r="V170" s="418">
        <f>V169/T169</f>
        <v>0</v>
      </c>
      <c r="W170" s="418">
        <f>W169/T169</f>
        <v>0</v>
      </c>
      <c r="X170" s="418">
        <f>X169/T169</f>
        <v>0</v>
      </c>
      <c r="Y170" s="418">
        <f>Y169/T169</f>
        <v>0.10647359454855196</v>
      </c>
      <c r="Z170" s="539">
        <f>Z169/T169</f>
        <v>0.40885860306643951</v>
      </c>
      <c r="AA170" s="548">
        <f>AA169/T169</f>
        <v>0.48466780238500845</v>
      </c>
      <c r="AB170" s="599"/>
      <c r="AC170" s="550"/>
      <c r="AD170" s="424"/>
    </row>
    <row r="171" spans="1:30" x14ac:dyDescent="0.3">
      <c r="A171" s="243" t="s">
        <v>533</v>
      </c>
      <c r="B171" s="193"/>
      <c r="C171" s="193"/>
      <c r="D171" s="193"/>
      <c r="E171" s="193"/>
      <c r="F171" s="244"/>
      <c r="G171" s="193"/>
      <c r="H171" s="193"/>
      <c r="I171" s="245"/>
      <c r="J171" s="245"/>
      <c r="K171" s="245"/>
      <c r="L171" s="245"/>
      <c r="M171" s="193"/>
      <c r="N171" s="246"/>
      <c r="O171" s="196"/>
      <c r="P171" s="246"/>
      <c r="Q171" s="194">
        <f>U169/2</f>
        <v>20980</v>
      </c>
      <c r="R171" s="288"/>
      <c r="S171" s="247">
        <f>Q171/Q176</f>
        <v>0.89352640545144801</v>
      </c>
      <c r="Y171" s="248"/>
      <c r="Z171" s="357">
        <f>I160+I162+I163+K164</f>
        <v>10</v>
      </c>
      <c r="AA171" s="358">
        <f>I161</f>
        <v>1</v>
      </c>
    </row>
    <row r="172" spans="1:30" x14ac:dyDescent="0.3">
      <c r="A172" s="251" t="s">
        <v>11</v>
      </c>
      <c r="B172" s="252"/>
      <c r="C172" s="252"/>
      <c r="D172" s="252"/>
      <c r="E172" s="252"/>
      <c r="F172" s="253"/>
      <c r="G172" s="252"/>
      <c r="H172" s="252"/>
      <c r="I172" s="254"/>
      <c r="J172" s="254"/>
      <c r="K172" s="254"/>
      <c r="L172" s="254"/>
      <c r="M172" s="252"/>
      <c r="N172" s="255"/>
      <c r="O172" s="256"/>
      <c r="P172" s="255"/>
      <c r="Q172" s="257">
        <f>V169/2</f>
        <v>0</v>
      </c>
      <c r="R172" s="290"/>
      <c r="S172" s="256">
        <f>Q172/Q176</f>
        <v>0</v>
      </c>
      <c r="T172" s="551">
        <f>Q169/M169</f>
        <v>2134.5454545454545</v>
      </c>
      <c r="U172" s="426" t="s">
        <v>535</v>
      </c>
      <c r="Z172" s="195">
        <f>Z171/M169</f>
        <v>0.90909090909090906</v>
      </c>
      <c r="AA172" s="247">
        <f>AA171/M169</f>
        <v>9.0909090909090912E-2</v>
      </c>
    </row>
    <row r="173" spans="1:30" x14ac:dyDescent="0.3">
      <c r="A173" s="251" t="s">
        <v>536</v>
      </c>
      <c r="B173" s="252"/>
      <c r="C173" s="252"/>
      <c r="D173" s="252"/>
      <c r="E173" s="252"/>
      <c r="F173" s="253"/>
      <c r="G173" s="252"/>
      <c r="H173" s="252"/>
      <c r="I173" s="254"/>
      <c r="J173" s="254"/>
      <c r="K173" s="254"/>
      <c r="L173" s="254"/>
      <c r="M173" s="252"/>
      <c r="N173" s="255"/>
      <c r="O173" s="256"/>
      <c r="P173" s="255"/>
      <c r="Q173" s="257">
        <f>W169/2</f>
        <v>0</v>
      </c>
      <c r="R173" s="290"/>
      <c r="S173" s="262">
        <f>Q173/Q176</f>
        <v>0</v>
      </c>
      <c r="V173" s="263"/>
      <c r="X173" s="99"/>
      <c r="Z173" s="2265" t="s">
        <v>537</v>
      </c>
      <c r="AA173" s="2265"/>
    </row>
    <row r="174" spans="1:30" x14ac:dyDescent="0.3">
      <c r="A174" s="251" t="s">
        <v>529</v>
      </c>
      <c r="B174" s="252"/>
      <c r="C174" s="252"/>
      <c r="D174" s="252"/>
      <c r="E174" s="252"/>
      <c r="F174" s="253"/>
      <c r="G174" s="252"/>
      <c r="H174" s="252"/>
      <c r="I174" s="254"/>
      <c r="J174" s="254"/>
      <c r="K174" s="254"/>
      <c r="L174" s="254"/>
      <c r="M174" s="252"/>
      <c r="N174" s="255"/>
      <c r="O174" s="256"/>
      <c r="P174" s="255"/>
      <c r="Q174" s="257">
        <f>Y169/2</f>
        <v>2500</v>
      </c>
      <c r="R174" s="290"/>
      <c r="S174" s="262">
        <f>Q174/Q176</f>
        <v>0.10647359454855196</v>
      </c>
      <c r="V174" s="263"/>
    </row>
    <row r="175" spans="1:30" x14ac:dyDescent="0.3">
      <c r="A175" s="251" t="s">
        <v>528</v>
      </c>
      <c r="B175" s="252"/>
      <c r="C175" s="252"/>
      <c r="D175" s="252"/>
      <c r="E175" s="252"/>
      <c r="F175" s="253"/>
      <c r="G175" s="252"/>
      <c r="H175" s="252"/>
      <c r="I175" s="254"/>
      <c r="J175" s="254"/>
      <c r="K175" s="254"/>
      <c r="L175" s="254"/>
      <c r="M175" s="252"/>
      <c r="N175" s="255"/>
      <c r="O175" s="256"/>
      <c r="P175" s="255"/>
      <c r="Q175" s="257">
        <f>X169/2</f>
        <v>0</v>
      </c>
      <c r="R175" s="290"/>
      <c r="S175" s="262">
        <f>Q175/Q176</f>
        <v>0</v>
      </c>
    </row>
    <row r="176" spans="1:30" x14ac:dyDescent="0.3">
      <c r="A176" s="251"/>
      <c r="B176" s="252"/>
      <c r="C176" s="252"/>
      <c r="D176" s="252"/>
      <c r="E176" s="252"/>
      <c r="F176" s="253"/>
      <c r="G176" s="252"/>
      <c r="H176" s="252"/>
      <c r="I176" s="254"/>
      <c r="J176" s="254"/>
      <c r="K176" s="254"/>
      <c r="L176" s="254"/>
      <c r="M176" s="252"/>
      <c r="N176" s="255"/>
      <c r="O176" s="256"/>
      <c r="P176" s="255"/>
      <c r="Q176" s="264">
        <f>SUM(Q171:Q175)</f>
        <v>23480</v>
      </c>
      <c r="R176" s="490"/>
      <c r="S176" s="262">
        <f>SUM(S171:S175)</f>
        <v>1</v>
      </c>
      <c r="T176" s="600"/>
    </row>
    <row r="178" spans="1:29" ht="18" x14ac:dyDescent="0.35">
      <c r="AA178" s="303">
        <f>SUM(AB179:AC179)</f>
        <v>396240</v>
      </c>
      <c r="AB178" s="601" t="s">
        <v>19</v>
      </c>
      <c r="AC178" s="602" t="s">
        <v>54</v>
      </c>
    </row>
    <row r="179" spans="1:29" ht="18" x14ac:dyDescent="0.35">
      <c r="A179" s="430" t="s">
        <v>569</v>
      </c>
      <c r="B179" s="431"/>
      <c r="C179" s="431"/>
      <c r="D179" s="432"/>
      <c r="E179" s="432"/>
      <c r="F179" s="433"/>
      <c r="G179" s="432"/>
      <c r="H179" s="432"/>
      <c r="I179" s="434"/>
      <c r="J179" s="434"/>
      <c r="K179" s="434"/>
      <c r="L179" s="434"/>
      <c r="M179" s="431"/>
      <c r="N179" s="435"/>
      <c r="O179" s="436"/>
      <c r="P179" s="435"/>
      <c r="Q179" s="435"/>
      <c r="R179" s="436"/>
      <c r="S179" s="437"/>
      <c r="T179" s="435">
        <f>T169+T137+T105+T72+T43</f>
        <v>434240</v>
      </c>
      <c r="AA179" s="137" t="s">
        <v>601</v>
      </c>
      <c r="AB179" s="552">
        <f>AB169+AB137+AB105+AB72+AB43</f>
        <v>149839.99999999997</v>
      </c>
      <c r="AC179" s="553">
        <f>AC169+AC137+AC105+AC72+AC43</f>
        <v>246400</v>
      </c>
    </row>
    <row r="180" spans="1:29" x14ac:dyDescent="0.3">
      <c r="S180" s="3" t="s">
        <v>571</v>
      </c>
      <c r="T180" s="99">
        <f>D18-T179</f>
        <v>643333.75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59"/>
  <sheetViews>
    <sheetView workbookViewId="0">
      <selection activeCell="H28" sqref="H28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1166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328</v>
      </c>
      <c r="C2" t="s">
        <v>347</v>
      </c>
      <c r="D2" t="s">
        <v>348</v>
      </c>
      <c r="E2" s="1" t="s">
        <v>55</v>
      </c>
      <c r="F2" s="1" t="s">
        <v>26</v>
      </c>
      <c r="G2" s="2186">
        <v>3</v>
      </c>
      <c r="H2" s="2186">
        <f>VLOOKUP(G2,Pesos!A:B,2,0)</f>
        <v>0.7</v>
      </c>
      <c r="I2" s="1" t="s">
        <v>308</v>
      </c>
      <c r="J2" s="1"/>
      <c r="K2" s="1">
        <v>2</v>
      </c>
      <c r="L2" s="1">
        <v>3</v>
      </c>
      <c r="M2" s="1">
        <v>2</v>
      </c>
      <c r="N2" s="1" t="s">
        <v>24</v>
      </c>
      <c r="O2" s="1">
        <v>2</v>
      </c>
      <c r="P2" s="1"/>
      <c r="Q2" s="1">
        <v>1</v>
      </c>
      <c r="R2" s="1"/>
      <c r="S2" s="1">
        <v>1</v>
      </c>
      <c r="T2" s="15">
        <v>5200</v>
      </c>
      <c r="U2" s="25">
        <v>0.34</v>
      </c>
      <c r="V2" s="25">
        <f>T2*(1-U2)</f>
        <v>3431.9999999999995</v>
      </c>
      <c r="W2" s="25">
        <f>V2*S2*M2</f>
        <v>6863.9999999999991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328</v>
      </c>
      <c r="C3" t="s">
        <v>347</v>
      </c>
      <c r="D3" t="s">
        <v>348</v>
      </c>
      <c r="E3" s="1" t="s">
        <v>55</v>
      </c>
      <c r="F3" s="1" t="s">
        <v>21</v>
      </c>
      <c r="G3" s="2186">
        <v>2</v>
      </c>
      <c r="H3" s="2186">
        <f>VLOOKUP(G3,Pesos!A:B,2,0)</f>
        <v>0.8</v>
      </c>
      <c r="J3" s="1" t="s">
        <v>305</v>
      </c>
      <c r="K3" s="1">
        <v>2</v>
      </c>
      <c r="L3" s="1">
        <v>4</v>
      </c>
      <c r="M3" s="1">
        <v>2</v>
      </c>
      <c r="N3" s="1" t="s">
        <v>24</v>
      </c>
      <c r="O3" s="1">
        <v>2</v>
      </c>
      <c r="S3" s="1">
        <v>1</v>
      </c>
      <c r="T3" s="5">
        <v>7800</v>
      </c>
      <c r="U3" s="24">
        <v>0.34</v>
      </c>
      <c r="V3" s="26">
        <f>T3*(1-U3)</f>
        <v>5147.9999999999991</v>
      </c>
      <c r="W3" s="26">
        <f>V3*S3*M3</f>
        <v>10295.999999999998</v>
      </c>
      <c r="X3" s="6"/>
      <c r="Y3" s="22"/>
      <c r="Z3" s="1"/>
    </row>
    <row r="4" spans="1:32" x14ac:dyDescent="0.3">
      <c r="A4" t="s">
        <v>327</v>
      </c>
      <c r="B4" t="s">
        <v>328</v>
      </c>
      <c r="C4" t="s">
        <v>347</v>
      </c>
      <c r="D4" t="s">
        <v>348</v>
      </c>
      <c r="E4" s="1" t="s">
        <v>56</v>
      </c>
      <c r="F4" s="1" t="s">
        <v>26</v>
      </c>
      <c r="G4" s="2186">
        <v>3</v>
      </c>
      <c r="H4" s="2186">
        <f>VLOOKUP(G4,Pesos!A:B,2,0)</f>
        <v>0.7</v>
      </c>
      <c r="I4" s="1" t="s">
        <v>308</v>
      </c>
      <c r="K4" s="1">
        <v>2</v>
      </c>
      <c r="L4" s="1">
        <v>4</v>
      </c>
      <c r="M4" s="1">
        <v>1</v>
      </c>
      <c r="N4" s="1" t="s">
        <v>24</v>
      </c>
      <c r="O4" s="1">
        <v>1</v>
      </c>
      <c r="S4" s="1">
        <v>1</v>
      </c>
      <c r="T4" s="5">
        <v>3500</v>
      </c>
      <c r="U4" s="24">
        <v>0.2</v>
      </c>
      <c r="V4" s="26">
        <f t="shared" ref="V4:V17" si="0">T4*(1-U4)</f>
        <v>2800</v>
      </c>
      <c r="W4" s="26">
        <f>V4*S4*M4</f>
        <v>2800</v>
      </c>
      <c r="X4" s="6"/>
      <c r="Y4" s="22"/>
      <c r="Z4" s="1"/>
    </row>
    <row r="5" spans="1:32" x14ac:dyDescent="0.3">
      <c r="A5" t="s">
        <v>327</v>
      </c>
      <c r="B5" t="s">
        <v>328</v>
      </c>
      <c r="C5" t="s">
        <v>347</v>
      </c>
      <c r="D5" t="s">
        <v>348</v>
      </c>
      <c r="E5" s="1" t="s">
        <v>56</v>
      </c>
      <c r="F5" s="1" t="s">
        <v>27</v>
      </c>
      <c r="G5" s="2186">
        <v>1</v>
      </c>
      <c r="H5" s="2186">
        <f>VLOOKUP(G5,Pesos!A:B,2,0)</f>
        <v>0.9</v>
      </c>
      <c r="I5" s="1" t="s">
        <v>305</v>
      </c>
      <c r="K5" s="1">
        <v>10</v>
      </c>
      <c r="L5" s="2" t="s">
        <v>51</v>
      </c>
      <c r="M5" s="1">
        <v>15</v>
      </c>
      <c r="N5" s="1" t="s">
        <v>24</v>
      </c>
      <c r="O5" s="1">
        <v>15</v>
      </c>
      <c r="S5" s="1">
        <v>1</v>
      </c>
      <c r="T5" s="5">
        <v>1500</v>
      </c>
      <c r="U5" s="24">
        <v>0.2</v>
      </c>
      <c r="V5" s="26">
        <f t="shared" si="0"/>
        <v>1200</v>
      </c>
      <c r="W5" s="26">
        <f>V5*S5*M5</f>
        <v>18000</v>
      </c>
      <c r="X5" s="18"/>
      <c r="Y5" s="22"/>
      <c r="Z5" s="1"/>
    </row>
    <row r="6" spans="1:32" x14ac:dyDescent="0.3">
      <c r="A6" t="s">
        <v>327</v>
      </c>
      <c r="B6" t="s">
        <v>328</v>
      </c>
      <c r="C6" t="s">
        <v>347</v>
      </c>
      <c r="D6" t="s">
        <v>348</v>
      </c>
      <c r="E6" s="1" t="s">
        <v>56</v>
      </c>
      <c r="F6" s="1" t="s">
        <v>27</v>
      </c>
      <c r="G6" s="2186">
        <v>1</v>
      </c>
      <c r="H6" s="2186">
        <f>VLOOKUP(G6,Pesos!A:B,2,0)</f>
        <v>0.9</v>
      </c>
      <c r="I6" s="1" t="s">
        <v>308</v>
      </c>
      <c r="K6" s="1">
        <v>10</v>
      </c>
      <c r="L6" s="2" t="s">
        <v>51</v>
      </c>
      <c r="M6" s="1">
        <v>15</v>
      </c>
      <c r="N6" s="1" t="s">
        <v>24</v>
      </c>
      <c r="Q6" s="1">
        <v>15</v>
      </c>
      <c r="S6" s="1">
        <v>1</v>
      </c>
      <c r="T6" s="5">
        <v>1500</v>
      </c>
      <c r="U6" s="24">
        <v>0.2</v>
      </c>
      <c r="V6" s="26">
        <f t="shared" si="0"/>
        <v>1200</v>
      </c>
      <c r="W6" s="26">
        <f>V6*S6*M6</f>
        <v>18000</v>
      </c>
      <c r="X6" s="6"/>
      <c r="Y6" s="22"/>
      <c r="Z6" s="1"/>
    </row>
    <row r="7" spans="1:32" x14ac:dyDescent="0.3">
      <c r="G7" s="2186"/>
      <c r="H7" s="2186"/>
      <c r="L7" s="2"/>
      <c r="M7" s="1"/>
      <c r="T7" s="5"/>
      <c r="U7" s="29"/>
      <c r="V7" s="26"/>
      <c r="W7" s="26"/>
      <c r="X7" s="6"/>
      <c r="Y7" s="22"/>
      <c r="Z7" s="1"/>
    </row>
    <row r="8" spans="1:32" x14ac:dyDescent="0.3">
      <c r="A8" t="s">
        <v>340</v>
      </c>
      <c r="B8" t="s">
        <v>328</v>
      </c>
      <c r="C8" t="s">
        <v>347</v>
      </c>
      <c r="D8" t="s">
        <v>348</v>
      </c>
      <c r="E8" s="1" t="s">
        <v>55</v>
      </c>
      <c r="F8" s="1" t="s">
        <v>26</v>
      </c>
      <c r="G8" s="2186">
        <v>4</v>
      </c>
      <c r="H8" s="2186">
        <f>VLOOKUP(G8,Pesos!A:B,2,0)</f>
        <v>0.6</v>
      </c>
      <c r="I8" s="1" t="s">
        <v>308</v>
      </c>
      <c r="K8" s="1">
        <v>2</v>
      </c>
      <c r="L8" s="2" t="s">
        <v>333</v>
      </c>
      <c r="M8" s="1">
        <v>1</v>
      </c>
      <c r="N8" s="1" t="s">
        <v>24</v>
      </c>
      <c r="O8" s="1">
        <v>1</v>
      </c>
      <c r="S8" s="1">
        <v>1</v>
      </c>
      <c r="T8" s="15">
        <v>5200</v>
      </c>
      <c r="U8" s="29">
        <v>0.34</v>
      </c>
      <c r="V8" s="26">
        <f t="shared" si="0"/>
        <v>3431.9999999999995</v>
      </c>
      <c r="W8" s="26">
        <f t="shared" ref="W8:W14" si="1">V8*S8*M8</f>
        <v>3431.9999999999995</v>
      </c>
      <c r="X8" s="6"/>
      <c r="Y8" s="22"/>
      <c r="Z8" s="1"/>
    </row>
    <row r="9" spans="1:32" x14ac:dyDescent="0.3">
      <c r="A9" t="s">
        <v>340</v>
      </c>
      <c r="B9" t="s">
        <v>328</v>
      </c>
      <c r="C9" t="s">
        <v>347</v>
      </c>
      <c r="D9" t="s">
        <v>348</v>
      </c>
      <c r="E9" s="1" t="s">
        <v>55</v>
      </c>
      <c r="F9" s="1" t="s">
        <v>21</v>
      </c>
      <c r="G9" s="2186">
        <v>1</v>
      </c>
      <c r="H9" s="2186">
        <f>VLOOKUP(G9,Pesos!A:B,2,0)</f>
        <v>0.9</v>
      </c>
      <c r="J9" s="1" t="s">
        <v>308</v>
      </c>
      <c r="K9" s="1">
        <v>2</v>
      </c>
      <c r="L9" s="2" t="s">
        <v>346</v>
      </c>
      <c r="M9" s="1">
        <v>1</v>
      </c>
      <c r="N9" s="1" t="s">
        <v>24</v>
      </c>
      <c r="O9" s="1">
        <v>1</v>
      </c>
      <c r="S9" s="1">
        <v>1</v>
      </c>
      <c r="T9" s="5">
        <v>7800</v>
      </c>
      <c r="U9" s="24">
        <v>0.34</v>
      </c>
      <c r="V9" s="26">
        <f t="shared" si="0"/>
        <v>5147.9999999999991</v>
      </c>
      <c r="W9" s="26">
        <f t="shared" si="1"/>
        <v>5147.9999999999991</v>
      </c>
      <c r="X9" s="6"/>
      <c r="Y9" s="22"/>
      <c r="Z9" s="1"/>
    </row>
    <row r="10" spans="1:32" x14ac:dyDescent="0.3">
      <c r="A10" t="s">
        <v>340</v>
      </c>
      <c r="B10" t="s">
        <v>328</v>
      </c>
      <c r="C10" t="s">
        <v>347</v>
      </c>
      <c r="D10" t="s">
        <v>348</v>
      </c>
      <c r="E10" s="1" t="s">
        <v>55</v>
      </c>
      <c r="F10" s="1" t="s">
        <v>50</v>
      </c>
      <c r="G10" s="2186">
        <v>2</v>
      </c>
      <c r="H10" s="2186">
        <f>VLOOKUP(G10,Pesos!A:B,2,0)</f>
        <v>0.8</v>
      </c>
      <c r="I10" s="1" t="s">
        <v>308</v>
      </c>
      <c r="K10" s="1">
        <v>5</v>
      </c>
      <c r="L10" s="2" t="s">
        <v>203</v>
      </c>
      <c r="M10" s="1">
        <v>3</v>
      </c>
      <c r="N10" s="1" t="s">
        <v>24</v>
      </c>
      <c r="O10" s="1">
        <v>3</v>
      </c>
      <c r="S10" s="1">
        <v>1</v>
      </c>
      <c r="T10" s="5">
        <v>1550</v>
      </c>
      <c r="U10" s="24">
        <v>0.2</v>
      </c>
      <c r="V10" s="26">
        <f t="shared" si="0"/>
        <v>1240</v>
      </c>
      <c r="W10" s="26">
        <f t="shared" si="1"/>
        <v>3720</v>
      </c>
      <c r="X10" s="6"/>
      <c r="Y10" s="22"/>
      <c r="Z10" s="1"/>
    </row>
    <row r="11" spans="1:32" x14ac:dyDescent="0.3">
      <c r="A11" t="s">
        <v>340</v>
      </c>
      <c r="B11" t="s">
        <v>328</v>
      </c>
      <c r="C11" t="s">
        <v>347</v>
      </c>
      <c r="D11" t="s">
        <v>348</v>
      </c>
      <c r="E11" s="1" t="s">
        <v>55</v>
      </c>
      <c r="F11" s="1" t="s">
        <v>57</v>
      </c>
      <c r="G11" s="2186">
        <v>5</v>
      </c>
      <c r="H11" s="2186">
        <f>VLOOKUP(G11,Pesos!A:B,2,0)</f>
        <v>0.5</v>
      </c>
      <c r="I11" s="1" t="s">
        <v>308</v>
      </c>
      <c r="K11" s="1">
        <v>2</v>
      </c>
      <c r="L11" s="2" t="s">
        <v>229</v>
      </c>
      <c r="M11" s="1">
        <v>4</v>
      </c>
      <c r="N11" s="1" t="s">
        <v>58</v>
      </c>
      <c r="O11" s="1">
        <v>4</v>
      </c>
      <c r="Q11" s="1">
        <v>4</v>
      </c>
      <c r="S11" s="1">
        <v>2</v>
      </c>
      <c r="T11" s="5">
        <v>2450</v>
      </c>
      <c r="U11" s="24">
        <v>0.2</v>
      </c>
      <c r="V11" s="26">
        <f t="shared" si="0"/>
        <v>1960</v>
      </c>
      <c r="W11" s="26">
        <f t="shared" si="1"/>
        <v>15680</v>
      </c>
      <c r="X11" s="6"/>
      <c r="Y11" s="22"/>
      <c r="Z11" s="1"/>
    </row>
    <row r="12" spans="1:32" x14ac:dyDescent="0.3">
      <c r="A12" t="s">
        <v>340</v>
      </c>
      <c r="B12" t="s">
        <v>328</v>
      </c>
      <c r="C12" t="s">
        <v>347</v>
      </c>
      <c r="D12" t="s">
        <v>348</v>
      </c>
      <c r="E12" s="1" t="s">
        <v>56</v>
      </c>
      <c r="F12" s="1" t="s">
        <v>26</v>
      </c>
      <c r="G12" s="2186">
        <v>4</v>
      </c>
      <c r="H12" s="2186">
        <f>VLOOKUP(G12,Pesos!A:B,2,0)</f>
        <v>0.6</v>
      </c>
      <c r="I12" s="1" t="s">
        <v>308</v>
      </c>
      <c r="K12" s="1">
        <v>2</v>
      </c>
      <c r="L12" s="2" t="s">
        <v>346</v>
      </c>
      <c r="M12" s="1">
        <v>1</v>
      </c>
      <c r="N12" s="1" t="s">
        <v>24</v>
      </c>
      <c r="O12" s="1">
        <v>1</v>
      </c>
      <c r="S12" s="1">
        <v>1</v>
      </c>
      <c r="T12" s="5">
        <v>3500</v>
      </c>
      <c r="U12" s="24">
        <v>0.2</v>
      </c>
      <c r="V12" s="26">
        <f t="shared" si="0"/>
        <v>2800</v>
      </c>
      <c r="W12" s="26">
        <f t="shared" si="1"/>
        <v>2800</v>
      </c>
      <c r="X12" s="6"/>
      <c r="Y12" s="22"/>
      <c r="Z12" s="1"/>
    </row>
    <row r="13" spans="1:32" x14ac:dyDescent="0.3">
      <c r="A13" t="s">
        <v>340</v>
      </c>
      <c r="B13" t="s">
        <v>328</v>
      </c>
      <c r="C13" t="s">
        <v>347</v>
      </c>
      <c r="D13" t="s">
        <v>348</v>
      </c>
      <c r="E13" s="1" t="s">
        <v>56</v>
      </c>
      <c r="F13" s="1" t="s">
        <v>27</v>
      </c>
      <c r="G13" s="2186">
        <v>3</v>
      </c>
      <c r="H13" s="2186">
        <f>VLOOKUP(G13,Pesos!A:B,2,0)</f>
        <v>0.7</v>
      </c>
      <c r="I13" s="1" t="s">
        <v>308</v>
      </c>
      <c r="K13" s="1">
        <v>10</v>
      </c>
      <c r="L13" s="2" t="s">
        <v>51</v>
      </c>
      <c r="M13" s="1">
        <v>13</v>
      </c>
      <c r="N13" s="1" t="s">
        <v>24</v>
      </c>
      <c r="O13" s="1">
        <v>13</v>
      </c>
      <c r="S13" s="1">
        <v>1</v>
      </c>
      <c r="T13" s="5">
        <v>1500</v>
      </c>
      <c r="U13" s="24">
        <v>0.2</v>
      </c>
      <c r="V13" s="26">
        <f t="shared" ref="V13" si="2">T13*(1-U13)</f>
        <v>1200</v>
      </c>
      <c r="W13" s="26">
        <f t="shared" si="1"/>
        <v>15600</v>
      </c>
      <c r="X13" s="6"/>
      <c r="Y13" s="22"/>
      <c r="Z13" s="1"/>
    </row>
    <row r="14" spans="1:32" x14ac:dyDescent="0.3">
      <c r="A14" t="s">
        <v>340</v>
      </c>
      <c r="B14" t="s">
        <v>328</v>
      </c>
      <c r="C14" t="s">
        <v>347</v>
      </c>
      <c r="D14" t="s">
        <v>348</v>
      </c>
      <c r="E14" s="1" t="s">
        <v>56</v>
      </c>
      <c r="F14" s="1" t="s">
        <v>27</v>
      </c>
      <c r="G14" s="2186">
        <v>3</v>
      </c>
      <c r="H14" s="2186">
        <f>VLOOKUP(G14,Pesos!A:B,2,0)</f>
        <v>0.7</v>
      </c>
      <c r="I14" s="1" t="s">
        <v>308</v>
      </c>
      <c r="K14" s="1">
        <v>10</v>
      </c>
      <c r="L14" s="2" t="s">
        <v>51</v>
      </c>
      <c r="M14" s="1">
        <v>13</v>
      </c>
      <c r="N14" s="1" t="s">
        <v>24</v>
      </c>
      <c r="Q14" s="1">
        <v>13</v>
      </c>
      <c r="S14" s="1">
        <v>1</v>
      </c>
      <c r="T14" s="5">
        <v>1500</v>
      </c>
      <c r="U14" s="24">
        <v>0.2</v>
      </c>
      <c r="V14" s="26">
        <f t="shared" si="0"/>
        <v>1200</v>
      </c>
      <c r="W14" s="26">
        <f t="shared" si="1"/>
        <v>15600</v>
      </c>
      <c r="X14" s="6"/>
      <c r="Y14" s="22"/>
      <c r="Z14" s="1"/>
    </row>
    <row r="15" spans="1:32" x14ac:dyDescent="0.3">
      <c r="G15" s="2186"/>
      <c r="H15" s="2186"/>
      <c r="L15" s="2"/>
      <c r="M15" s="1"/>
      <c r="N15" s="2"/>
      <c r="T15" s="5"/>
      <c r="U15" s="24"/>
      <c r="V15" s="26"/>
      <c r="W15" s="26"/>
      <c r="X15" s="6"/>
      <c r="Y15" s="22"/>
      <c r="Z15" s="1"/>
    </row>
    <row r="16" spans="1:32" x14ac:dyDescent="0.3">
      <c r="A16" t="s">
        <v>342</v>
      </c>
      <c r="B16" t="s">
        <v>328</v>
      </c>
      <c r="C16" t="s">
        <v>347</v>
      </c>
      <c r="D16" t="s">
        <v>348</v>
      </c>
      <c r="E16" s="1" t="s">
        <v>55</v>
      </c>
      <c r="F16" s="1" t="s">
        <v>26</v>
      </c>
      <c r="G16" s="2186">
        <v>3</v>
      </c>
      <c r="H16" s="2186">
        <f>VLOOKUP(G16,Pesos!A:B,2,0)</f>
        <v>0.7</v>
      </c>
      <c r="I16" s="1" t="s">
        <v>308</v>
      </c>
      <c r="K16" s="1">
        <v>2</v>
      </c>
      <c r="L16" s="2" t="s">
        <v>333</v>
      </c>
      <c r="M16" s="1">
        <v>1</v>
      </c>
      <c r="N16" s="1" t="s">
        <v>24</v>
      </c>
      <c r="O16" s="1">
        <v>1</v>
      </c>
      <c r="S16" s="1">
        <v>1</v>
      </c>
      <c r="T16" s="15">
        <v>5200</v>
      </c>
      <c r="U16" s="29">
        <v>0.34</v>
      </c>
      <c r="V16" s="26">
        <f t="shared" si="0"/>
        <v>3431.9999999999995</v>
      </c>
      <c r="W16" s="26">
        <f>V16*S16*M16</f>
        <v>3431.9999999999995</v>
      </c>
      <c r="X16" s="6"/>
      <c r="Y16" s="22"/>
      <c r="Z16" s="1"/>
    </row>
    <row r="17" spans="1:26" x14ac:dyDescent="0.3">
      <c r="A17" t="s">
        <v>342</v>
      </c>
      <c r="B17" t="s">
        <v>328</v>
      </c>
      <c r="C17" t="s">
        <v>347</v>
      </c>
      <c r="D17" t="s">
        <v>348</v>
      </c>
      <c r="E17" s="1" t="s">
        <v>55</v>
      </c>
      <c r="F17" s="1" t="s">
        <v>21</v>
      </c>
      <c r="G17" s="2186">
        <v>2</v>
      </c>
      <c r="H17" s="2186">
        <f>VLOOKUP(G17,Pesos!A:B,2,0)</f>
        <v>0.8</v>
      </c>
      <c r="J17" s="1" t="s">
        <v>308</v>
      </c>
      <c r="K17" s="1">
        <v>2</v>
      </c>
      <c r="L17" s="2" t="s">
        <v>346</v>
      </c>
      <c r="M17" s="1">
        <v>2</v>
      </c>
      <c r="N17" s="1" t="s">
        <v>24</v>
      </c>
      <c r="O17" s="1">
        <v>1</v>
      </c>
      <c r="S17" s="1">
        <v>1</v>
      </c>
      <c r="T17" s="5">
        <v>7800</v>
      </c>
      <c r="U17" s="24">
        <v>0.34</v>
      </c>
      <c r="V17" s="26">
        <f t="shared" si="0"/>
        <v>5147.9999999999991</v>
      </c>
      <c r="W17" s="26">
        <f>V17*S17*M17</f>
        <v>10295.999999999998</v>
      </c>
      <c r="X17" s="6"/>
      <c r="Y17" s="22"/>
      <c r="Z17" s="1"/>
    </row>
    <row r="18" spans="1:26" x14ac:dyDescent="0.3">
      <c r="A18" t="s">
        <v>342</v>
      </c>
      <c r="B18" t="s">
        <v>328</v>
      </c>
      <c r="C18" t="s">
        <v>347</v>
      </c>
      <c r="D18" t="s">
        <v>348</v>
      </c>
      <c r="E18" s="1" t="s">
        <v>56</v>
      </c>
      <c r="F18" s="1" t="s">
        <v>26</v>
      </c>
      <c r="G18" s="2186">
        <v>3</v>
      </c>
      <c r="H18" s="2186">
        <f>VLOOKUP(G18,Pesos!A:B,2,0)</f>
        <v>0.7</v>
      </c>
      <c r="I18" s="1" t="s">
        <v>308</v>
      </c>
      <c r="K18" s="1">
        <v>2</v>
      </c>
      <c r="L18" s="2" t="s">
        <v>346</v>
      </c>
      <c r="M18" s="1">
        <v>1</v>
      </c>
      <c r="N18" s="1" t="s">
        <v>24</v>
      </c>
      <c r="O18" s="1">
        <v>1</v>
      </c>
      <c r="S18" s="1">
        <v>1</v>
      </c>
      <c r="T18" s="5">
        <v>3500</v>
      </c>
      <c r="U18" s="24">
        <v>0.2</v>
      </c>
      <c r="V18" s="25">
        <f>T18*(1-U18)</f>
        <v>2800</v>
      </c>
      <c r="W18" s="25">
        <f>V18*S18*M18</f>
        <v>2800</v>
      </c>
      <c r="X18" s="22"/>
      <c r="Y18" s="22"/>
      <c r="Z18" s="1"/>
    </row>
    <row r="19" spans="1:26" x14ac:dyDescent="0.3">
      <c r="A19" t="s">
        <v>342</v>
      </c>
      <c r="B19" t="s">
        <v>328</v>
      </c>
      <c r="C19" t="s">
        <v>347</v>
      </c>
      <c r="D19" t="s">
        <v>348</v>
      </c>
      <c r="E19" s="1" t="s">
        <v>56</v>
      </c>
      <c r="F19" s="1" t="s">
        <v>27</v>
      </c>
      <c r="G19" s="2186">
        <v>1</v>
      </c>
      <c r="H19" s="2186">
        <f>VLOOKUP(G19,Pesos!A:B,2,0)</f>
        <v>0.9</v>
      </c>
      <c r="I19" s="1" t="s">
        <v>308</v>
      </c>
      <c r="K19" s="1">
        <v>8</v>
      </c>
      <c r="L19" s="1">
        <v>13</v>
      </c>
      <c r="M19" s="1">
        <v>8</v>
      </c>
      <c r="N19" s="1" t="s">
        <v>58</v>
      </c>
      <c r="O19" s="1">
        <v>1</v>
      </c>
      <c r="S19" s="1">
        <v>1</v>
      </c>
      <c r="T19" s="5">
        <v>1500</v>
      </c>
      <c r="U19" s="24">
        <v>0.2</v>
      </c>
      <c r="V19" s="25">
        <f>T19*(1-U19)</f>
        <v>1200</v>
      </c>
      <c r="W19" s="25">
        <f>V19*S19*M19</f>
        <v>9600</v>
      </c>
      <c r="X19" s="18"/>
    </row>
    <row r="20" spans="1:26" x14ac:dyDescent="0.3">
      <c r="A20" t="s">
        <v>342</v>
      </c>
      <c r="B20" t="s">
        <v>328</v>
      </c>
      <c r="C20" t="s">
        <v>347</v>
      </c>
      <c r="D20" t="s">
        <v>348</v>
      </c>
      <c r="E20" s="1" t="s">
        <v>56</v>
      </c>
      <c r="F20" s="1" t="s">
        <v>27</v>
      </c>
      <c r="G20" s="2186">
        <v>1</v>
      </c>
      <c r="H20" s="2186">
        <f>VLOOKUP(G20,Pesos!A:B,2,0)</f>
        <v>0.9</v>
      </c>
      <c r="I20" s="1" t="s">
        <v>308</v>
      </c>
      <c r="K20" s="1">
        <v>10</v>
      </c>
      <c r="L20" s="1">
        <v>25</v>
      </c>
      <c r="M20" s="1">
        <v>8</v>
      </c>
      <c r="N20" s="1" t="s">
        <v>24</v>
      </c>
      <c r="O20" s="1">
        <v>1</v>
      </c>
      <c r="S20" s="1">
        <v>1</v>
      </c>
      <c r="T20" s="5">
        <v>1500</v>
      </c>
      <c r="U20" s="24">
        <v>0.2</v>
      </c>
      <c r="V20" s="26">
        <f>T20*(1-U20)</f>
        <v>1200</v>
      </c>
      <c r="W20" s="26">
        <f>V20*S20*M20</f>
        <v>9600</v>
      </c>
      <c r="X20" s="6"/>
    </row>
    <row r="21" spans="1:26" x14ac:dyDescent="0.3">
      <c r="G21" s="2186"/>
      <c r="H21" s="2186"/>
      <c r="L21" s="2"/>
      <c r="M21" s="2"/>
      <c r="T21" s="5"/>
      <c r="U21" s="24"/>
      <c r="V21" s="26"/>
      <c r="W21" s="26"/>
      <c r="X21" s="6"/>
    </row>
    <row r="22" spans="1:26" x14ac:dyDescent="0.3">
      <c r="A22" t="s">
        <v>343</v>
      </c>
      <c r="B22" t="s">
        <v>328</v>
      </c>
      <c r="C22" t="s">
        <v>347</v>
      </c>
      <c r="D22" t="s">
        <v>348</v>
      </c>
      <c r="E22" s="1" t="s">
        <v>55</v>
      </c>
      <c r="F22" s="1" t="s">
        <v>21</v>
      </c>
      <c r="G22" s="2186">
        <v>1</v>
      </c>
      <c r="H22" s="2186">
        <f>VLOOKUP(G22,Pesos!A:B,2,0)</f>
        <v>0.9</v>
      </c>
      <c r="J22" s="1" t="s">
        <v>308</v>
      </c>
      <c r="K22" s="1">
        <v>2</v>
      </c>
      <c r="L22" s="1">
        <v>4</v>
      </c>
      <c r="M22" s="1">
        <v>1</v>
      </c>
      <c r="N22" s="1" t="s">
        <v>24</v>
      </c>
      <c r="O22" s="1">
        <v>1</v>
      </c>
      <c r="S22" s="1">
        <v>1</v>
      </c>
      <c r="T22" s="15">
        <v>5200</v>
      </c>
      <c r="U22" s="29">
        <v>0.34</v>
      </c>
      <c r="V22" s="26">
        <f t="shared" ref="V22:V27" si="3">T22*(1-U22)</f>
        <v>3431.9999999999995</v>
      </c>
      <c r="W22" s="26">
        <f t="shared" ref="W22:W27" si="4">V22*S22*M22</f>
        <v>3431.9999999999995</v>
      </c>
      <c r="X22" s="6"/>
    </row>
    <row r="23" spans="1:26" x14ac:dyDescent="0.3">
      <c r="A23" t="s">
        <v>343</v>
      </c>
      <c r="B23" t="s">
        <v>328</v>
      </c>
      <c r="C23" t="s">
        <v>347</v>
      </c>
      <c r="D23" t="s">
        <v>348</v>
      </c>
      <c r="E23" s="1" t="s">
        <v>55</v>
      </c>
      <c r="F23" s="1" t="s">
        <v>50</v>
      </c>
      <c r="G23" s="2186">
        <v>2</v>
      </c>
      <c r="H23" s="2186">
        <f>VLOOKUP(G23,Pesos!A:B,2,0)</f>
        <v>0.8</v>
      </c>
      <c r="I23" s="1" t="s">
        <v>308</v>
      </c>
      <c r="K23" s="1">
        <v>5</v>
      </c>
      <c r="L23" s="1">
        <v>10</v>
      </c>
      <c r="M23" s="1">
        <v>1</v>
      </c>
      <c r="N23" s="1" t="s">
        <v>24</v>
      </c>
      <c r="O23" s="1">
        <v>1</v>
      </c>
      <c r="S23" s="1">
        <v>1</v>
      </c>
      <c r="T23" s="5">
        <v>7800</v>
      </c>
      <c r="U23" s="24">
        <v>0.34</v>
      </c>
      <c r="V23" s="26">
        <f t="shared" ref="V23" si="5">T23*(1-U23)</f>
        <v>5147.9999999999991</v>
      </c>
      <c r="W23" s="26">
        <f t="shared" si="4"/>
        <v>5147.9999999999991</v>
      </c>
      <c r="X23" s="6"/>
    </row>
    <row r="24" spans="1:26" x14ac:dyDescent="0.3">
      <c r="A24" t="s">
        <v>343</v>
      </c>
      <c r="B24" t="s">
        <v>328</v>
      </c>
      <c r="C24" t="s">
        <v>347</v>
      </c>
      <c r="D24" t="s">
        <v>348</v>
      </c>
      <c r="E24" s="1" t="s">
        <v>55</v>
      </c>
      <c r="F24" s="1" t="s">
        <v>57</v>
      </c>
      <c r="G24" s="2186">
        <v>5</v>
      </c>
      <c r="H24" s="2186">
        <f>VLOOKUP(G24,Pesos!A:B,2,0)</f>
        <v>0.5</v>
      </c>
      <c r="I24" s="1" t="s">
        <v>308</v>
      </c>
      <c r="K24" s="1">
        <v>2</v>
      </c>
      <c r="L24" s="1">
        <v>5</v>
      </c>
      <c r="M24" s="1">
        <v>3</v>
      </c>
      <c r="N24" s="1" t="s">
        <v>24</v>
      </c>
      <c r="O24" s="1">
        <v>3</v>
      </c>
      <c r="R24" s="18"/>
      <c r="S24" s="1">
        <v>1</v>
      </c>
      <c r="T24" s="5">
        <v>1550</v>
      </c>
      <c r="U24" s="24">
        <v>0.2</v>
      </c>
      <c r="V24" s="26">
        <f t="shared" si="3"/>
        <v>1240</v>
      </c>
      <c r="W24" s="26">
        <f t="shared" si="4"/>
        <v>3720</v>
      </c>
      <c r="X24" s="6"/>
    </row>
    <row r="25" spans="1:26" x14ac:dyDescent="0.3">
      <c r="A25" t="s">
        <v>343</v>
      </c>
      <c r="B25" t="s">
        <v>328</v>
      </c>
      <c r="C25" t="s">
        <v>347</v>
      </c>
      <c r="D25" t="s">
        <v>348</v>
      </c>
      <c r="E25" s="1" t="s">
        <v>56</v>
      </c>
      <c r="F25" s="1" t="s">
        <v>26</v>
      </c>
      <c r="G25" s="2186">
        <v>4</v>
      </c>
      <c r="H25" s="2186">
        <f>VLOOKUP(G25,Pesos!A:B,2,0)</f>
        <v>0.6</v>
      </c>
      <c r="I25" s="1" t="s">
        <v>308</v>
      </c>
      <c r="K25" s="1">
        <v>2</v>
      </c>
      <c r="L25" s="1">
        <v>4</v>
      </c>
      <c r="M25" s="1">
        <v>4</v>
      </c>
      <c r="N25" s="1" t="s">
        <v>58</v>
      </c>
      <c r="O25" s="1">
        <v>4</v>
      </c>
      <c r="Q25" s="1">
        <v>4</v>
      </c>
      <c r="R25" s="6"/>
      <c r="S25" s="1">
        <v>2</v>
      </c>
      <c r="T25" s="5">
        <v>2450</v>
      </c>
      <c r="U25" s="24">
        <v>0.2</v>
      </c>
      <c r="V25" s="26">
        <f t="shared" si="3"/>
        <v>1960</v>
      </c>
      <c r="W25" s="26">
        <f t="shared" si="4"/>
        <v>15680</v>
      </c>
      <c r="X25" s="6"/>
    </row>
    <row r="26" spans="1:26" x14ac:dyDescent="0.3">
      <c r="A26" t="s">
        <v>343</v>
      </c>
      <c r="B26" t="s">
        <v>328</v>
      </c>
      <c r="C26" t="s">
        <v>347</v>
      </c>
      <c r="D26" t="s">
        <v>348</v>
      </c>
      <c r="E26" s="1" t="s">
        <v>56</v>
      </c>
      <c r="F26" s="1" t="s">
        <v>27</v>
      </c>
      <c r="G26" s="2186">
        <v>3</v>
      </c>
      <c r="H26" s="2186">
        <f>VLOOKUP(G26,Pesos!A:B,2,0)</f>
        <v>0.7</v>
      </c>
      <c r="I26" s="1" t="s">
        <v>308</v>
      </c>
      <c r="K26" s="1">
        <v>8</v>
      </c>
      <c r="L26" s="1">
        <v>13</v>
      </c>
      <c r="M26" s="1">
        <v>1</v>
      </c>
      <c r="N26" s="1" t="s">
        <v>24</v>
      </c>
      <c r="O26" s="1">
        <v>1</v>
      </c>
      <c r="R26" s="6"/>
      <c r="S26" s="1">
        <v>1</v>
      </c>
      <c r="T26" s="5">
        <v>3500</v>
      </c>
      <c r="U26" s="24">
        <v>0.2</v>
      </c>
      <c r="V26" s="26">
        <f t="shared" si="3"/>
        <v>2800</v>
      </c>
      <c r="W26" s="26">
        <f t="shared" si="4"/>
        <v>2800</v>
      </c>
      <c r="X26" s="6"/>
    </row>
    <row r="27" spans="1:26" x14ac:dyDescent="0.3">
      <c r="A27" t="s">
        <v>343</v>
      </c>
      <c r="B27" t="s">
        <v>328</v>
      </c>
      <c r="C27" t="s">
        <v>347</v>
      </c>
      <c r="D27" t="s">
        <v>348</v>
      </c>
      <c r="E27" s="1" t="s">
        <v>56</v>
      </c>
      <c r="F27" s="1" t="s">
        <v>27</v>
      </c>
      <c r="G27" s="2186">
        <v>3</v>
      </c>
      <c r="H27" s="2186">
        <f>VLOOKUP(G27,Pesos!A:B,2,0)</f>
        <v>0.7</v>
      </c>
      <c r="I27" s="1" t="s">
        <v>308</v>
      </c>
      <c r="K27" s="1">
        <v>10</v>
      </c>
      <c r="L27" s="1">
        <v>25</v>
      </c>
      <c r="M27" s="1">
        <v>13</v>
      </c>
      <c r="N27" s="1" t="s">
        <v>24</v>
      </c>
      <c r="O27" s="1">
        <v>13</v>
      </c>
      <c r="R27" s="18"/>
      <c r="S27" s="1">
        <v>1</v>
      </c>
      <c r="T27" s="5">
        <v>1500</v>
      </c>
      <c r="U27" s="24">
        <v>0.2</v>
      </c>
      <c r="V27" s="26">
        <f t="shared" si="3"/>
        <v>1200</v>
      </c>
      <c r="W27" s="26">
        <f t="shared" si="4"/>
        <v>15600</v>
      </c>
      <c r="X27" s="6"/>
    </row>
    <row r="28" spans="1:26" x14ac:dyDescent="0.3">
      <c r="G28" s="2186"/>
      <c r="H28" s="2186"/>
      <c r="M28" s="1"/>
      <c r="R28" s="18"/>
      <c r="T28" s="5"/>
      <c r="U28" s="24"/>
      <c r="V28" s="26"/>
      <c r="W28" s="26"/>
      <c r="X28" s="6"/>
    </row>
    <row r="29" spans="1:26" x14ac:dyDescent="0.3">
      <c r="A29" t="s">
        <v>326</v>
      </c>
      <c r="B29" t="s">
        <v>328</v>
      </c>
      <c r="C29" t="s">
        <v>347</v>
      </c>
      <c r="D29" t="s">
        <v>348</v>
      </c>
      <c r="E29" s="1" t="s">
        <v>55</v>
      </c>
      <c r="F29" s="1" t="s">
        <v>26</v>
      </c>
      <c r="G29" s="2186">
        <v>3</v>
      </c>
      <c r="H29" s="2186">
        <f>VLOOKUP(G29,Pesos!A:B,2,0)</f>
        <v>0.7</v>
      </c>
      <c r="I29" s="1" t="s">
        <v>308</v>
      </c>
      <c r="K29" s="2" t="s">
        <v>332</v>
      </c>
      <c r="L29" s="1">
        <v>3</v>
      </c>
      <c r="M29" s="1">
        <v>1</v>
      </c>
      <c r="N29" s="1" t="s">
        <v>24</v>
      </c>
      <c r="O29" s="1">
        <v>1</v>
      </c>
      <c r="R29" s="18"/>
      <c r="S29" s="1">
        <v>1</v>
      </c>
      <c r="T29" s="15">
        <v>5200</v>
      </c>
      <c r="U29" s="29">
        <v>0.34</v>
      </c>
      <c r="V29" s="26">
        <f t="shared" ref="V29:V33" si="6">T29*(1-U29)</f>
        <v>3431.9999999999995</v>
      </c>
      <c r="W29" s="26">
        <f t="shared" ref="W29:W33" si="7">V29*S29*M29</f>
        <v>3431.9999999999995</v>
      </c>
      <c r="X29" s="6"/>
    </row>
    <row r="30" spans="1:26" x14ac:dyDescent="0.3">
      <c r="A30" t="s">
        <v>326</v>
      </c>
      <c r="B30" t="s">
        <v>328</v>
      </c>
      <c r="C30" t="s">
        <v>347</v>
      </c>
      <c r="D30" t="s">
        <v>348</v>
      </c>
      <c r="E30" s="1" t="s">
        <v>55</v>
      </c>
      <c r="F30" s="1" t="s">
        <v>21</v>
      </c>
      <c r="G30" s="2186">
        <v>1</v>
      </c>
      <c r="H30" s="2186">
        <f>VLOOKUP(G30,Pesos!A:B,2,0)</f>
        <v>0.9</v>
      </c>
      <c r="J30" s="1" t="s">
        <v>308</v>
      </c>
      <c r="K30" s="2" t="s">
        <v>332</v>
      </c>
      <c r="L30" s="1">
        <v>4</v>
      </c>
      <c r="M30" s="1">
        <v>1</v>
      </c>
      <c r="N30" s="1" t="s">
        <v>24</v>
      </c>
      <c r="O30" s="1">
        <v>1</v>
      </c>
      <c r="S30" s="1">
        <v>1</v>
      </c>
      <c r="T30" s="5">
        <v>7800</v>
      </c>
      <c r="U30" s="24">
        <v>0.34</v>
      </c>
      <c r="V30" s="26">
        <f t="shared" si="6"/>
        <v>5147.9999999999991</v>
      </c>
      <c r="W30" s="26">
        <f t="shared" si="7"/>
        <v>5147.9999999999991</v>
      </c>
    </row>
    <row r="31" spans="1:26" x14ac:dyDescent="0.3">
      <c r="A31" t="s">
        <v>326</v>
      </c>
      <c r="B31" t="s">
        <v>328</v>
      </c>
      <c r="C31" t="s">
        <v>347</v>
      </c>
      <c r="D31" t="s">
        <v>348</v>
      </c>
      <c r="E31" s="1" t="s">
        <v>56</v>
      </c>
      <c r="F31" s="1" t="s">
        <v>26</v>
      </c>
      <c r="G31" s="2186">
        <v>3</v>
      </c>
      <c r="H31" s="2186">
        <f>VLOOKUP(G31,Pesos!A:B,2,0)</f>
        <v>0.7</v>
      </c>
      <c r="I31" s="1" t="s">
        <v>308</v>
      </c>
      <c r="K31" s="2" t="s">
        <v>332</v>
      </c>
      <c r="L31" s="1">
        <v>4</v>
      </c>
      <c r="M31" s="1">
        <v>1</v>
      </c>
      <c r="N31" s="1" t="s">
        <v>24</v>
      </c>
      <c r="O31" s="1">
        <v>1</v>
      </c>
      <c r="S31" s="1">
        <v>1</v>
      </c>
      <c r="T31" s="5">
        <v>3500</v>
      </c>
      <c r="U31" s="24">
        <v>0.2</v>
      </c>
      <c r="V31" s="26">
        <f t="shared" si="6"/>
        <v>2800</v>
      </c>
      <c r="W31" s="26">
        <f t="shared" si="7"/>
        <v>2800</v>
      </c>
    </row>
    <row r="32" spans="1:26" x14ac:dyDescent="0.3">
      <c r="A32" t="s">
        <v>326</v>
      </c>
      <c r="B32" t="s">
        <v>328</v>
      </c>
      <c r="C32" t="s">
        <v>347</v>
      </c>
      <c r="D32" t="s">
        <v>348</v>
      </c>
      <c r="E32" s="1" t="s">
        <v>56</v>
      </c>
      <c r="F32" s="1" t="s">
        <v>27</v>
      </c>
      <c r="G32" s="2186">
        <v>2</v>
      </c>
      <c r="H32" s="2186">
        <f>VLOOKUP(G32,Pesos!A:B,2,0)</f>
        <v>0.8</v>
      </c>
      <c r="I32" s="1" t="s">
        <v>308</v>
      </c>
      <c r="K32" s="2" t="s">
        <v>330</v>
      </c>
      <c r="L32" s="1">
        <v>13</v>
      </c>
      <c r="M32" s="1">
        <v>4</v>
      </c>
      <c r="N32" s="1" t="s">
        <v>24</v>
      </c>
      <c r="O32" s="1">
        <v>4</v>
      </c>
      <c r="S32" s="1">
        <v>1</v>
      </c>
      <c r="T32" s="5">
        <v>1500</v>
      </c>
      <c r="U32" s="24">
        <v>0.2</v>
      </c>
      <c r="V32" s="26">
        <f t="shared" si="6"/>
        <v>1200</v>
      </c>
      <c r="W32" s="26">
        <f t="shared" si="7"/>
        <v>4800</v>
      </c>
    </row>
    <row r="33" spans="1:23" x14ac:dyDescent="0.3">
      <c r="A33" t="s">
        <v>326</v>
      </c>
      <c r="B33" t="s">
        <v>328</v>
      </c>
      <c r="C33" t="s">
        <v>347</v>
      </c>
      <c r="D33" t="s">
        <v>348</v>
      </c>
      <c r="E33" s="1" t="s">
        <v>56</v>
      </c>
      <c r="F33" s="1" t="s">
        <v>27</v>
      </c>
      <c r="G33" s="2186">
        <v>2</v>
      </c>
      <c r="H33" s="2186">
        <f>VLOOKUP(G33,Pesos!A:B,2,0)</f>
        <v>0.8</v>
      </c>
      <c r="I33" s="1" t="s">
        <v>308</v>
      </c>
      <c r="K33" s="2" t="s">
        <v>203</v>
      </c>
      <c r="L33" s="1">
        <v>25</v>
      </c>
      <c r="M33" s="1">
        <v>4</v>
      </c>
      <c r="N33" s="1" t="s">
        <v>24</v>
      </c>
      <c r="O33" s="1">
        <v>4</v>
      </c>
      <c r="S33" s="1">
        <v>1</v>
      </c>
      <c r="T33" s="5">
        <v>1500</v>
      </c>
      <c r="U33" s="24">
        <v>0.2</v>
      </c>
      <c r="V33" s="26">
        <f t="shared" si="6"/>
        <v>1200</v>
      </c>
      <c r="W33" s="26">
        <f t="shared" si="7"/>
        <v>4800</v>
      </c>
    </row>
    <row r="34" spans="1:23" x14ac:dyDescent="0.3">
      <c r="K34" s="2"/>
    </row>
    <row r="38" spans="1:23" x14ac:dyDescent="0.3">
      <c r="A38" s="47"/>
      <c r="E38" s="43" t="s">
        <v>1158</v>
      </c>
      <c r="F38" s="43" t="s">
        <v>1159</v>
      </c>
      <c r="G38" s="43" t="s">
        <v>1160</v>
      </c>
    </row>
    <row r="39" spans="1:23" x14ac:dyDescent="0.3">
      <c r="A39" s="47" t="s">
        <v>1161</v>
      </c>
      <c r="B39" s="2174"/>
      <c r="C39" s="2174"/>
      <c r="D39" s="2174"/>
      <c r="E39" s="2181">
        <f>F39*(1-10%)</f>
        <v>1567.5428571428572</v>
      </c>
      <c r="F39" s="427">
        <f>MACAPA!T46</f>
        <v>1741.7142857142858</v>
      </c>
      <c r="G39" s="427">
        <f>F39*(1+15%)</f>
        <v>2002.9714285714285</v>
      </c>
    </row>
    <row r="40" spans="1:23" x14ac:dyDescent="0.3">
      <c r="A40" s="47" t="s">
        <v>1162</v>
      </c>
      <c r="B40" s="2174"/>
      <c r="C40" s="2174"/>
      <c r="D40" s="2174"/>
      <c r="E40" s="2181">
        <f>F40*(1-25%)</f>
        <v>1255.875</v>
      </c>
      <c r="F40" s="427">
        <f>MACAPA!T75</f>
        <v>1674.5</v>
      </c>
      <c r="G40" s="427">
        <f>F40*(1+5%)</f>
        <v>1758.2250000000001</v>
      </c>
    </row>
    <row r="41" spans="1:23" x14ac:dyDescent="0.3">
      <c r="A41" s="47" t="s">
        <v>550</v>
      </c>
      <c r="B41" s="2174"/>
      <c r="C41" s="2174"/>
      <c r="D41" s="2174"/>
      <c r="E41" s="2181">
        <f>F41*(1-15%)</f>
        <v>1671.44</v>
      </c>
      <c r="F41" s="427">
        <f>MACAPA!T108</f>
        <v>1966.4</v>
      </c>
      <c r="G41" s="427">
        <f>F41*(1+15%)</f>
        <v>2261.36</v>
      </c>
    </row>
    <row r="42" spans="1:23" x14ac:dyDescent="0.3">
      <c r="A42" s="47" t="s">
        <v>679</v>
      </c>
      <c r="B42" s="2174"/>
      <c r="C42" s="2174"/>
      <c r="D42" s="2174"/>
      <c r="E42" s="2181">
        <f>F42*(1-25%)</f>
        <v>1283.375</v>
      </c>
      <c r="F42" s="427">
        <f>MACAPA!T140</f>
        <v>1711.1666666666667</v>
      </c>
      <c r="G42" s="427">
        <f>F42*(1+5%)</f>
        <v>1796.7250000000001</v>
      </c>
    </row>
    <row r="43" spans="1:23" x14ac:dyDescent="0.3">
      <c r="A43" s="47" t="s">
        <v>568</v>
      </c>
      <c r="B43" s="2174"/>
      <c r="C43" s="2174"/>
      <c r="D43" s="2174"/>
      <c r="E43" s="2181">
        <f>F43*(1-25%)</f>
        <v>1600.909090909091</v>
      </c>
      <c r="F43" s="427">
        <f>MACAPA!T172</f>
        <v>2134.5454545454545</v>
      </c>
      <c r="G43" s="427">
        <f>F43*(1+5%)</f>
        <v>2241.2727272727275</v>
      </c>
    </row>
    <row r="44" spans="1:23" x14ac:dyDescent="0.3">
      <c r="A44" s="47"/>
      <c r="B44" s="47"/>
      <c r="C44" s="47"/>
      <c r="D44" s="47"/>
      <c r="E44" s="48"/>
    </row>
    <row r="45" spans="1:23" x14ac:dyDescent="0.3">
      <c r="A45" s="47"/>
      <c r="B45" s="46"/>
      <c r="C45" s="46"/>
      <c r="D45" s="46"/>
      <c r="E45" s="2314" t="s">
        <v>1163</v>
      </c>
      <c r="F45" s="2315"/>
      <c r="G45" s="2315"/>
      <c r="H45" s="2316"/>
    </row>
    <row r="46" spans="1:23" x14ac:dyDescent="0.3">
      <c r="A46" s="47" t="s">
        <v>1161</v>
      </c>
      <c r="B46" s="2175"/>
      <c r="C46" s="2175"/>
      <c r="D46" s="2175"/>
      <c r="E46" s="2175">
        <v>0.56999999999999995</v>
      </c>
      <c r="G46" s="304">
        <v>0.43</v>
      </c>
    </row>
    <row r="47" spans="1:23" x14ac:dyDescent="0.3">
      <c r="A47" s="47" t="s">
        <v>1162</v>
      </c>
      <c r="B47" s="2175"/>
      <c r="C47" s="2175"/>
      <c r="D47" s="2175"/>
      <c r="E47" s="2175">
        <v>0.56999999999999995</v>
      </c>
      <c r="G47" s="304">
        <v>0.43</v>
      </c>
      <c r="H47" s="3"/>
    </row>
    <row r="48" spans="1:23" x14ac:dyDescent="0.3">
      <c r="A48" s="47" t="s">
        <v>550</v>
      </c>
      <c r="B48" s="2175"/>
      <c r="C48" s="2175"/>
      <c r="D48" s="2175"/>
      <c r="E48" s="2175">
        <v>0.6</v>
      </c>
      <c r="G48" s="3">
        <v>0.4</v>
      </c>
    </row>
    <row r="49" spans="1:8" x14ac:dyDescent="0.3">
      <c r="A49" s="47" t="s">
        <v>679</v>
      </c>
      <c r="B49" s="2175"/>
      <c r="C49" s="2175"/>
      <c r="D49" s="2175"/>
      <c r="E49" s="2175">
        <v>0.57999999999999996</v>
      </c>
      <c r="F49" s="3"/>
      <c r="G49" s="3">
        <v>0.42</v>
      </c>
      <c r="H49" s="3"/>
    </row>
    <row r="50" spans="1:8" x14ac:dyDescent="0.3">
      <c r="A50" s="47" t="s">
        <v>568</v>
      </c>
      <c r="B50" s="47"/>
      <c r="C50" s="47"/>
      <c r="D50" s="47"/>
      <c r="E50" s="2175">
        <v>0.64</v>
      </c>
      <c r="F50" s="3"/>
      <c r="G50" s="3">
        <v>0.36</v>
      </c>
    </row>
    <row r="51" spans="1:8" x14ac:dyDescent="0.3">
      <c r="A51" s="47"/>
      <c r="B51" s="47"/>
      <c r="C51" s="47"/>
      <c r="D51" s="47"/>
      <c r="E51" s="48"/>
    </row>
    <row r="52" spans="1:8" x14ac:dyDescent="0.3">
      <c r="A52" s="47"/>
      <c r="B52" s="47"/>
      <c r="C52" s="47"/>
      <c r="D52" s="47"/>
      <c r="E52" s="48"/>
    </row>
    <row r="53" spans="1:8" x14ac:dyDescent="0.3">
      <c r="A53" s="47"/>
      <c r="B53" s="47"/>
      <c r="C53" s="47"/>
      <c r="D53" s="47"/>
      <c r="E53" s="48"/>
    </row>
    <row r="54" spans="1:8" x14ac:dyDescent="0.3">
      <c r="A54" s="47"/>
      <c r="B54" s="46"/>
      <c r="C54" s="46"/>
      <c r="D54" s="46"/>
      <c r="E54" s="2314" t="s">
        <v>1164</v>
      </c>
      <c r="F54" s="2315"/>
      <c r="G54" s="2315"/>
      <c r="H54" s="2316"/>
    </row>
    <row r="55" spans="1:8" x14ac:dyDescent="0.3">
      <c r="A55" s="47" t="s">
        <v>1161</v>
      </c>
      <c r="B55" s="2175"/>
      <c r="C55" s="2175"/>
      <c r="D55" s="2175"/>
      <c r="E55" s="2175">
        <v>0.25</v>
      </c>
      <c r="F55" s="2175">
        <v>0.25</v>
      </c>
      <c r="G55" s="2175">
        <v>0.25</v>
      </c>
      <c r="H55" s="2175">
        <v>0.25</v>
      </c>
    </row>
    <row r="56" spans="1:8" x14ac:dyDescent="0.3">
      <c r="A56" s="47" t="s">
        <v>1162</v>
      </c>
      <c r="B56" s="6"/>
      <c r="C56" s="6"/>
      <c r="D56" s="6"/>
      <c r="E56" s="2175">
        <v>0.27</v>
      </c>
      <c r="F56" s="2175">
        <v>0.23</v>
      </c>
      <c r="G56" s="2175">
        <v>0.27</v>
      </c>
      <c r="H56" s="2175">
        <v>0.23</v>
      </c>
    </row>
    <row r="57" spans="1:8" x14ac:dyDescent="0.3">
      <c r="A57" s="47" t="s">
        <v>550</v>
      </c>
      <c r="B57" s="2175"/>
      <c r="C57" s="2175"/>
      <c r="D57" s="2175"/>
      <c r="E57" s="2175">
        <v>0.34</v>
      </c>
      <c r="F57" s="3">
        <v>0.33</v>
      </c>
      <c r="G57" s="3">
        <v>0.33</v>
      </c>
      <c r="H57" s="3"/>
    </row>
    <row r="58" spans="1:8" x14ac:dyDescent="0.3">
      <c r="A58" s="47" t="s">
        <v>679</v>
      </c>
      <c r="B58" s="2175"/>
      <c r="C58" s="2175"/>
      <c r="D58" s="2175"/>
      <c r="E58" s="2175">
        <v>0.34</v>
      </c>
      <c r="F58" s="2175">
        <v>0.32</v>
      </c>
      <c r="G58" s="2175">
        <v>0.34</v>
      </c>
      <c r="H58" s="2175"/>
    </row>
    <row r="59" spans="1:8" x14ac:dyDescent="0.3">
      <c r="A59" s="47" t="s">
        <v>568</v>
      </c>
      <c r="B59" s="47"/>
      <c r="C59" s="47"/>
      <c r="D59" s="47"/>
      <c r="E59" s="2175">
        <v>0.34</v>
      </c>
      <c r="F59" s="3">
        <v>0.33</v>
      </c>
      <c r="G59" s="3">
        <v>0.33</v>
      </c>
      <c r="H5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09"/>
  <sheetViews>
    <sheetView workbookViewId="0"/>
  </sheetViews>
  <sheetFormatPr defaultRowHeight="14.4" x14ac:dyDescent="0.3"/>
  <sheetData>
    <row r="1" spans="1:21" ht="21" x14ac:dyDescent="0.4">
      <c r="A1" s="92" t="s">
        <v>1173</v>
      </c>
    </row>
    <row r="2" spans="1:21" x14ac:dyDescent="0.3">
      <c r="A2" t="s">
        <v>452</v>
      </c>
    </row>
    <row r="3" spans="1:21" x14ac:dyDescent="0.3">
      <c r="A3" s="93"/>
      <c r="B3" s="94"/>
    </row>
    <row r="6" spans="1:21" x14ac:dyDescent="0.3">
      <c r="B6" s="96"/>
      <c r="C6" s="603"/>
      <c r="F6" s="98"/>
      <c r="G6" s="98"/>
      <c r="H6" s="98"/>
      <c r="I6" s="99"/>
    </row>
    <row r="7" spans="1:21" x14ac:dyDescent="0.3">
      <c r="A7" s="100" t="s">
        <v>623</v>
      </c>
      <c r="B7" s="101">
        <v>1306075.98</v>
      </c>
      <c r="C7" s="102"/>
      <c r="F7" s="98"/>
      <c r="G7" s="98"/>
      <c r="H7" s="98"/>
      <c r="I7" s="99"/>
      <c r="U7" s="99"/>
    </row>
    <row r="8" spans="1:21" x14ac:dyDescent="0.3">
      <c r="A8" s="100" t="s">
        <v>624</v>
      </c>
      <c r="B8" s="101">
        <v>1306075.98</v>
      </c>
      <c r="C8" s="97"/>
      <c r="F8" s="98"/>
      <c r="G8" s="98"/>
      <c r="H8" s="98"/>
      <c r="I8" s="99"/>
    </row>
    <row r="9" spans="1:21" x14ac:dyDescent="0.3">
      <c r="C9" s="97"/>
      <c r="F9" s="98"/>
      <c r="G9" s="98"/>
      <c r="H9" s="98"/>
      <c r="I9" s="99"/>
    </row>
    <row r="10" spans="1:21" x14ac:dyDescent="0.3">
      <c r="A10" s="103" t="s">
        <v>625</v>
      </c>
      <c r="B10" s="104">
        <v>2219458.75</v>
      </c>
      <c r="C10" s="105"/>
      <c r="F10" s="98"/>
      <c r="G10" s="98"/>
      <c r="H10" s="98"/>
      <c r="I10" s="99"/>
    </row>
    <row r="11" spans="1:21" x14ac:dyDescent="0.3">
      <c r="A11" s="100" t="s">
        <v>626</v>
      </c>
      <c r="B11" s="101">
        <v>2219458.75</v>
      </c>
      <c r="C11" s="3"/>
      <c r="F11" s="98"/>
      <c r="G11" s="98"/>
      <c r="H11" s="98"/>
      <c r="I11" s="99"/>
    </row>
    <row r="12" spans="1:21" x14ac:dyDescent="0.3">
      <c r="D12" s="449"/>
      <c r="E12" s="450"/>
      <c r="F12" s="98"/>
      <c r="G12" s="98"/>
      <c r="H12" s="98"/>
      <c r="I12" s="99"/>
    </row>
    <row r="13" spans="1:21" x14ac:dyDescent="0.3">
      <c r="F13" s="98"/>
      <c r="G13" s="98"/>
      <c r="H13" s="98"/>
      <c r="I13" s="99"/>
    </row>
    <row r="14" spans="1:21" x14ac:dyDescent="0.3">
      <c r="A14" s="4" t="s">
        <v>457</v>
      </c>
      <c r="F14" s="98"/>
      <c r="G14" s="98"/>
      <c r="H14" s="98"/>
      <c r="I14" s="99"/>
    </row>
    <row r="15" spans="1:21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  <c r="F15" s="98"/>
      <c r="G15" s="98"/>
      <c r="H15" s="98"/>
      <c r="I15" s="99"/>
    </row>
    <row r="16" spans="1:21" x14ac:dyDescent="0.3">
      <c r="A16" s="107" t="s">
        <v>576</v>
      </c>
      <c r="B16" s="108" t="s">
        <v>463</v>
      </c>
      <c r="C16" s="109">
        <v>0.39</v>
      </c>
      <c r="D16" s="110">
        <v>865588.91249999998</v>
      </c>
      <c r="E16" s="110">
        <v>288529.63750000001</v>
      </c>
      <c r="F16" s="98"/>
      <c r="G16" s="98"/>
      <c r="H16" s="98"/>
      <c r="I16" s="99"/>
    </row>
    <row r="17" spans="1:35" x14ac:dyDescent="0.3">
      <c r="A17" s="107" t="s">
        <v>464</v>
      </c>
      <c r="B17" s="108" t="s">
        <v>465</v>
      </c>
      <c r="C17" s="109">
        <v>0.4</v>
      </c>
      <c r="D17" s="110">
        <v>887783.5</v>
      </c>
      <c r="E17" s="110">
        <v>221945.875</v>
      </c>
      <c r="F17" s="98"/>
      <c r="G17" s="98"/>
      <c r="H17" s="98"/>
      <c r="I17" s="99"/>
    </row>
    <row r="18" spans="1:35" x14ac:dyDescent="0.3">
      <c r="A18" s="107" t="s">
        <v>466</v>
      </c>
      <c r="B18" s="108">
        <v>3</v>
      </c>
      <c r="C18" s="109">
        <v>0.21</v>
      </c>
      <c r="D18" s="110">
        <v>466086.33749999997</v>
      </c>
      <c r="E18" s="110">
        <v>116521.58437499999</v>
      </c>
      <c r="F18" s="98"/>
      <c r="G18" s="98"/>
      <c r="H18" s="98"/>
      <c r="I18" s="99"/>
    </row>
    <row r="19" spans="1:35" x14ac:dyDescent="0.3">
      <c r="B19" s="1" t="s">
        <v>467</v>
      </c>
      <c r="C19" s="3">
        <v>1</v>
      </c>
      <c r="D19" s="112">
        <v>2219458.75</v>
      </c>
      <c r="F19" s="98"/>
      <c r="G19" s="98"/>
      <c r="H19" s="98"/>
      <c r="I19" s="99"/>
    </row>
    <row r="20" spans="1:35" x14ac:dyDescent="0.3">
      <c r="F20" s="98"/>
      <c r="G20" s="98"/>
      <c r="H20" s="98"/>
      <c r="I20" s="99"/>
    </row>
    <row r="21" spans="1:35" x14ac:dyDescent="0.3">
      <c r="A21" s="604" t="s">
        <v>627</v>
      </c>
      <c r="B21" s="605">
        <v>2063689</v>
      </c>
      <c r="F21" s="98"/>
      <c r="G21" s="98"/>
      <c r="H21" s="98"/>
      <c r="I21" s="99"/>
    </row>
    <row r="22" spans="1:35" x14ac:dyDescent="0.3">
      <c r="A22" s="604" t="s">
        <v>579</v>
      </c>
      <c r="B22" s="605">
        <v>1160368</v>
      </c>
      <c r="Q22" s="115"/>
      <c r="R22" s="115"/>
    </row>
    <row r="23" spans="1:35" x14ac:dyDescent="0.3">
      <c r="E23" s="1" t="s">
        <v>470</v>
      </c>
      <c r="F23" s="2" t="s">
        <v>628</v>
      </c>
      <c r="H23" s="1" t="s">
        <v>472</v>
      </c>
      <c r="J23" s="2" t="s">
        <v>629</v>
      </c>
      <c r="K23" s="2"/>
      <c r="L23" s="2"/>
    </row>
    <row r="24" spans="1:35" x14ac:dyDescent="0.3">
      <c r="E24" s="1" t="s">
        <v>473</v>
      </c>
      <c r="F24" s="2" t="s">
        <v>617</v>
      </c>
      <c r="H24" s="1" t="s">
        <v>473</v>
      </c>
      <c r="J24" s="2" t="s">
        <v>630</v>
      </c>
      <c r="K24" s="2"/>
      <c r="L24" s="2"/>
    </row>
    <row r="25" spans="1:35" x14ac:dyDescent="0.3">
      <c r="E25" s="1" t="s">
        <v>475</v>
      </c>
      <c r="F25" s="2" t="s">
        <v>631</v>
      </c>
      <c r="H25" s="1" t="s">
        <v>475</v>
      </c>
      <c r="J25" s="2" t="s">
        <v>631</v>
      </c>
      <c r="K25" s="2"/>
      <c r="L25" s="2"/>
      <c r="P25" s="115"/>
    </row>
    <row r="26" spans="1:35" x14ac:dyDescent="0.3">
      <c r="E26" s="1" t="s">
        <v>477</v>
      </c>
      <c r="F26" s="2" t="s">
        <v>632</v>
      </c>
      <c r="H26" s="1" t="s">
        <v>477</v>
      </c>
      <c r="J26" s="2" t="s">
        <v>633</v>
      </c>
      <c r="K26" s="2"/>
      <c r="L26" s="2"/>
      <c r="O26" s="98"/>
      <c r="T26" s="116"/>
    </row>
    <row r="27" spans="1:35" ht="18" x14ac:dyDescent="0.35">
      <c r="A27" s="118" t="s">
        <v>479</v>
      </c>
      <c r="O27" s="98"/>
      <c r="P27" s="117"/>
    </row>
    <row r="29" spans="1:35" x14ac:dyDescent="0.3">
      <c r="A29" s="2335" t="s">
        <v>480</v>
      </c>
      <c r="B29" s="2336"/>
      <c r="C29" s="2336"/>
      <c r="D29" s="2336"/>
      <c r="E29" s="2336"/>
      <c r="F29" s="2336"/>
      <c r="G29" s="2336"/>
      <c r="H29" s="2336"/>
      <c r="I29" s="2336"/>
      <c r="J29" s="2336"/>
      <c r="K29" s="2336"/>
      <c r="L29" s="2336"/>
      <c r="M29" s="2336"/>
      <c r="N29" s="2336"/>
      <c r="O29" s="2336"/>
      <c r="P29" s="2336"/>
      <c r="Q29" s="2336"/>
      <c r="R29" s="2336"/>
      <c r="S29" s="2337"/>
      <c r="T29" s="2338" t="s">
        <v>584</v>
      </c>
      <c r="U29" s="2339"/>
      <c r="V29" s="2339"/>
      <c r="W29" s="2339"/>
      <c r="X29" s="2339"/>
      <c r="Y29" s="2339"/>
      <c r="Z29" s="2339"/>
      <c r="AA29" s="2339"/>
      <c r="AB29" s="2339"/>
      <c r="AC29" s="2339"/>
      <c r="AD29" s="2339"/>
      <c r="AE29" s="2339"/>
      <c r="AF29" s="2339"/>
      <c r="AG29" s="2339"/>
      <c r="AH29" s="2339"/>
      <c r="AI29" s="2340"/>
    </row>
    <row r="30" spans="1:35" ht="15.6" x14ac:dyDescent="0.3">
      <c r="A30" s="2284" t="s">
        <v>482</v>
      </c>
      <c r="B30" s="2286" t="s">
        <v>483</v>
      </c>
      <c r="C30" s="2286" t="s">
        <v>484</v>
      </c>
      <c r="D30" s="2286" t="s">
        <v>485</v>
      </c>
      <c r="E30" s="2286" t="s">
        <v>486</v>
      </c>
      <c r="F30" s="2288" t="s">
        <v>487</v>
      </c>
      <c r="G30" s="2286" t="s">
        <v>488</v>
      </c>
      <c r="H30" s="2286" t="s">
        <v>489</v>
      </c>
      <c r="I30" s="2266" t="s">
        <v>490</v>
      </c>
      <c r="J30" s="2266"/>
      <c r="K30" s="2266"/>
      <c r="L30" s="2266"/>
      <c r="M30" s="265" t="s">
        <v>491</v>
      </c>
      <c r="N30" s="266" t="s">
        <v>492</v>
      </c>
      <c r="O30" s="267" t="s">
        <v>493</v>
      </c>
      <c r="P30" s="266" t="s">
        <v>492</v>
      </c>
      <c r="Q30" s="266" t="s">
        <v>494</v>
      </c>
      <c r="R30" s="491" t="s">
        <v>585</v>
      </c>
      <c r="S30" s="2267" t="s">
        <v>495</v>
      </c>
      <c r="T30" s="124" t="s">
        <v>496</v>
      </c>
      <c r="U30" s="2364" t="s">
        <v>497</v>
      </c>
      <c r="V30" s="2365"/>
      <c r="W30" s="2365"/>
      <c r="X30" s="2365"/>
      <c r="Y30" s="2366"/>
      <c r="Z30" s="2361" t="s">
        <v>498</v>
      </c>
      <c r="AA30" s="2363"/>
      <c r="AB30" s="2361" t="s">
        <v>499</v>
      </c>
      <c r="AC30" s="2362"/>
      <c r="AD30" s="2362"/>
      <c r="AE30" s="2362"/>
      <c r="AF30" s="2362"/>
      <c r="AG30" s="2362"/>
      <c r="AH30" s="2362"/>
      <c r="AI30" s="2363"/>
    </row>
    <row r="31" spans="1:35" ht="15.6" x14ac:dyDescent="0.3">
      <c r="A31" s="2285"/>
      <c r="B31" s="2287"/>
      <c r="C31" s="2287"/>
      <c r="D31" s="2287"/>
      <c r="E31" s="2287"/>
      <c r="F31" s="2289"/>
      <c r="G31" s="2287"/>
      <c r="H31" s="2287"/>
      <c r="I31" s="269" t="s">
        <v>500</v>
      </c>
      <c r="J31" s="269" t="s">
        <v>501</v>
      </c>
      <c r="K31" s="269" t="s">
        <v>502</v>
      </c>
      <c r="L31" s="269" t="s">
        <v>503</v>
      </c>
      <c r="M31" s="270" t="s">
        <v>504</v>
      </c>
      <c r="N31" s="271" t="s">
        <v>505</v>
      </c>
      <c r="O31" s="272" t="s">
        <v>506</v>
      </c>
      <c r="P31" s="271" t="s">
        <v>507</v>
      </c>
      <c r="Q31" s="271" t="s">
        <v>507</v>
      </c>
      <c r="R31" s="558"/>
      <c r="S31" s="2268"/>
      <c r="T31" s="130" t="s">
        <v>508</v>
      </c>
      <c r="U31" s="2298"/>
      <c r="V31" s="2299"/>
      <c r="W31" s="2299"/>
      <c r="X31" s="2299"/>
      <c r="Y31" s="2300"/>
      <c r="Z31" s="2303"/>
      <c r="AA31" s="2304"/>
      <c r="AB31" s="2303"/>
      <c r="AC31" s="2307"/>
      <c r="AD31" s="2307"/>
      <c r="AE31" s="2307"/>
      <c r="AF31" s="2307"/>
      <c r="AG31" s="2307"/>
      <c r="AH31" s="2307"/>
      <c r="AI31" s="2304"/>
    </row>
    <row r="32" spans="1:35" ht="18" x14ac:dyDescent="0.35">
      <c r="A32" s="2359" t="s">
        <v>509</v>
      </c>
      <c r="B32" s="2360"/>
      <c r="C32" s="2360"/>
      <c r="D32" s="2360"/>
      <c r="E32" s="2360"/>
      <c r="F32" s="2360"/>
      <c r="G32" s="2360"/>
      <c r="H32" s="2360"/>
      <c r="I32" s="2360"/>
      <c r="J32" s="2360"/>
      <c r="K32" s="2360"/>
      <c r="L32" s="2360"/>
      <c r="M32" s="2360"/>
      <c r="N32" s="2360"/>
      <c r="O32" s="2360"/>
      <c r="P32" s="2360"/>
      <c r="Q32" s="2360"/>
      <c r="R32" s="2360"/>
      <c r="S32" s="2360"/>
      <c r="T32" s="559"/>
      <c r="U32" s="560" t="s">
        <v>510</v>
      </c>
      <c r="V32" s="561" t="s">
        <v>11</v>
      </c>
      <c r="W32" s="561" t="s">
        <v>511</v>
      </c>
      <c r="X32" s="561" t="s">
        <v>512</v>
      </c>
      <c r="Y32" s="562" t="s">
        <v>513</v>
      </c>
      <c r="Z32" s="563" t="s">
        <v>514</v>
      </c>
      <c r="AA32" s="562" t="s">
        <v>515</v>
      </c>
      <c r="AB32" s="563" t="s">
        <v>12</v>
      </c>
      <c r="AC32" s="561" t="s">
        <v>13</v>
      </c>
      <c r="AD32" s="561" t="s">
        <v>60</v>
      </c>
      <c r="AE32" s="561" t="s">
        <v>61</v>
      </c>
      <c r="AF32" s="561" t="s">
        <v>62</v>
      </c>
      <c r="AG32" s="561" t="s">
        <v>18</v>
      </c>
      <c r="AH32" s="561" t="s">
        <v>19</v>
      </c>
      <c r="AI32" s="562" t="s">
        <v>16</v>
      </c>
    </row>
    <row r="33" spans="1:35" x14ac:dyDescent="0.3">
      <c r="A33" s="154"/>
      <c r="B33" s="462"/>
      <c r="C33" s="462"/>
      <c r="D33" s="462"/>
      <c r="E33" s="462"/>
      <c r="F33" s="463"/>
      <c r="G33" s="462"/>
      <c r="H33" s="462"/>
      <c r="I33" s="464"/>
      <c r="J33" s="465"/>
      <c r="K33" s="465"/>
      <c r="L33" s="466"/>
      <c r="M33" s="467"/>
      <c r="N33" s="468"/>
      <c r="O33" s="469"/>
      <c r="P33" s="468"/>
      <c r="Q33" s="468"/>
      <c r="R33" s="470"/>
      <c r="S33" s="501"/>
      <c r="T33" s="149"/>
      <c r="U33" s="280"/>
      <c r="Y33" s="152"/>
      <c r="Z33" s="280"/>
      <c r="AA33" s="152"/>
      <c r="AB33" s="280"/>
      <c r="AI33" s="152"/>
    </row>
    <row r="34" spans="1:35" x14ac:dyDescent="0.3">
      <c r="A34" s="157" t="s">
        <v>634</v>
      </c>
      <c r="B34" s="157" t="s">
        <v>23</v>
      </c>
      <c r="C34" s="157" t="s">
        <v>517</v>
      </c>
      <c r="D34" s="157" t="s">
        <v>21</v>
      </c>
      <c r="E34" s="157" t="s">
        <v>518</v>
      </c>
      <c r="F34" s="158" t="s">
        <v>519</v>
      </c>
      <c r="G34" s="157">
        <v>1</v>
      </c>
      <c r="H34" s="157" t="s">
        <v>24</v>
      </c>
      <c r="I34" s="159">
        <v>1</v>
      </c>
      <c r="J34" s="161"/>
      <c r="K34" s="161"/>
      <c r="L34" s="2209"/>
      <c r="M34" s="163">
        <v>1</v>
      </c>
      <c r="N34" s="166">
        <v>35211.99</v>
      </c>
      <c r="O34" s="173">
        <v>0.55000000000000004</v>
      </c>
      <c r="P34" s="166">
        <f>N34*(1-O34)</f>
        <v>15845.395499999997</v>
      </c>
      <c r="Q34" s="166">
        <f t="shared" ref="Q34:Q44" si="0">P34*M34*G34</f>
        <v>15845.395499999997</v>
      </c>
      <c r="R34" s="206" t="e">
        <f>(Q34+Q35+Q38+#REF!)/E12*1000</f>
        <v>#REF!</v>
      </c>
      <c r="S34" s="167">
        <f t="shared" ref="S34:S44" si="1">Q34/$Q$51</f>
        <v>5.4921097726073564E-2</v>
      </c>
      <c r="T34" s="168">
        <f t="shared" ref="T34:T35" si="2">Q34*2</f>
        <v>31690.790999999994</v>
      </c>
      <c r="U34" s="282">
        <f t="shared" ref="U34:U44" si="3">T34</f>
        <v>31690.790999999994</v>
      </c>
      <c r="V34" s="169"/>
      <c r="Y34" s="152"/>
      <c r="Z34" s="282"/>
      <c r="AA34" s="171">
        <f>T34</f>
        <v>31690.790999999994</v>
      </c>
      <c r="AB34" s="282">
        <f>T34</f>
        <v>31690.790999999994</v>
      </c>
      <c r="AI34" s="152"/>
    </row>
    <row r="35" spans="1:35" x14ac:dyDescent="0.3">
      <c r="A35" s="157" t="s">
        <v>634</v>
      </c>
      <c r="B35" s="157" t="s">
        <v>25</v>
      </c>
      <c r="C35" s="157" t="s">
        <v>517</v>
      </c>
      <c r="D35" s="157" t="s">
        <v>21</v>
      </c>
      <c r="E35" s="157" t="s">
        <v>518</v>
      </c>
      <c r="F35" s="158" t="s">
        <v>519</v>
      </c>
      <c r="G35" s="157">
        <v>1</v>
      </c>
      <c r="H35" s="157" t="s">
        <v>24</v>
      </c>
      <c r="I35" s="159">
        <v>1</v>
      </c>
      <c r="J35" s="161"/>
      <c r="K35" s="161"/>
      <c r="L35" s="2209"/>
      <c r="M35" s="163">
        <v>1</v>
      </c>
      <c r="N35" s="166">
        <v>7000</v>
      </c>
      <c r="O35" s="173">
        <v>0.1</v>
      </c>
      <c r="P35" s="166">
        <f t="shared" ref="P35:P44" si="4">N35*(1-O35)</f>
        <v>6300</v>
      </c>
      <c r="Q35" s="166">
        <f t="shared" si="0"/>
        <v>6300</v>
      </c>
      <c r="R35" s="206"/>
      <c r="S35" s="167">
        <f t="shared" si="1"/>
        <v>2.1836180464808435E-2</v>
      </c>
      <c r="T35" s="168">
        <f t="shared" si="2"/>
        <v>12600</v>
      </c>
      <c r="U35" s="282">
        <f t="shared" si="3"/>
        <v>12600</v>
      </c>
      <c r="V35" s="169"/>
      <c r="Y35" s="152"/>
      <c r="Z35" s="282"/>
      <c r="AA35" s="171">
        <f>T35</f>
        <v>12600</v>
      </c>
      <c r="AB35" s="280"/>
      <c r="AC35" s="169">
        <f>T35</f>
        <v>12600</v>
      </c>
      <c r="AI35" s="152"/>
    </row>
    <row r="36" spans="1:35" x14ac:dyDescent="0.3">
      <c r="A36" s="157" t="s">
        <v>634</v>
      </c>
      <c r="B36" s="157" t="s">
        <v>25</v>
      </c>
      <c r="C36" s="157" t="s">
        <v>517</v>
      </c>
      <c r="D36" s="157" t="s">
        <v>26</v>
      </c>
      <c r="E36" s="157" t="s">
        <v>520</v>
      </c>
      <c r="F36" s="158" t="s">
        <v>635</v>
      </c>
      <c r="G36" s="157">
        <v>1</v>
      </c>
      <c r="H36" s="157" t="s">
        <v>63</v>
      </c>
      <c r="I36" s="175">
        <v>1</v>
      </c>
      <c r="J36" s="176"/>
      <c r="K36" s="176"/>
      <c r="L36" s="177"/>
      <c r="M36" s="163">
        <v>1</v>
      </c>
      <c r="N36" s="166">
        <v>7500</v>
      </c>
      <c r="O36" s="173">
        <v>0.1</v>
      </c>
      <c r="P36" s="166">
        <f t="shared" si="4"/>
        <v>6750</v>
      </c>
      <c r="Q36" s="166">
        <f t="shared" si="0"/>
        <v>6750</v>
      </c>
      <c r="R36" s="206" t="e">
        <f>(Q36+#REF!)/E12*1000</f>
        <v>#REF!</v>
      </c>
      <c r="S36" s="178">
        <f t="shared" si="1"/>
        <v>2.3395907640866184E-2</v>
      </c>
      <c r="T36" s="168">
        <f>Q36*2</f>
        <v>13500</v>
      </c>
      <c r="U36" s="282">
        <f t="shared" si="3"/>
        <v>13500</v>
      </c>
      <c r="Y36" s="152"/>
      <c r="Z36" s="282">
        <f>T36</f>
        <v>13500</v>
      </c>
      <c r="AA36" s="171"/>
      <c r="AB36" s="280"/>
      <c r="AC36" s="169">
        <f>T36</f>
        <v>13500</v>
      </c>
      <c r="AI36" s="152"/>
    </row>
    <row r="37" spans="1:35" x14ac:dyDescent="0.3">
      <c r="A37" s="157" t="s">
        <v>634</v>
      </c>
      <c r="B37" s="157" t="s">
        <v>25</v>
      </c>
      <c r="C37" s="157" t="s">
        <v>517</v>
      </c>
      <c r="D37" s="157" t="s">
        <v>27</v>
      </c>
      <c r="E37" s="157" t="s">
        <v>520</v>
      </c>
      <c r="F37" s="158" t="s">
        <v>636</v>
      </c>
      <c r="G37" s="157">
        <v>20</v>
      </c>
      <c r="H37" s="157" t="s">
        <v>24</v>
      </c>
      <c r="I37" s="175">
        <v>20</v>
      </c>
      <c r="J37" s="176"/>
      <c r="K37" s="179"/>
      <c r="L37" s="180"/>
      <c r="M37" s="163">
        <v>1</v>
      </c>
      <c r="N37" s="166">
        <v>2900</v>
      </c>
      <c r="O37" s="173">
        <v>0.1</v>
      </c>
      <c r="P37" s="166">
        <f t="shared" si="4"/>
        <v>2610</v>
      </c>
      <c r="Q37" s="166">
        <f t="shared" si="0"/>
        <v>52200</v>
      </c>
      <c r="R37" s="206" t="e">
        <f>(Q37+#REF!)/E12*1000</f>
        <v>#REF!</v>
      </c>
      <c r="S37" s="178">
        <f t="shared" si="1"/>
        <v>0.18092835242269847</v>
      </c>
      <c r="T37" s="168">
        <f>Q37*2</f>
        <v>104400</v>
      </c>
      <c r="U37" s="282">
        <f t="shared" si="3"/>
        <v>104400</v>
      </c>
      <c r="W37" s="169"/>
      <c r="Y37" s="152"/>
      <c r="Z37" s="283">
        <f>T37</f>
        <v>104400</v>
      </c>
      <c r="AA37" s="171"/>
      <c r="AB37" s="280"/>
      <c r="AC37" s="169">
        <f>T36</f>
        <v>13500</v>
      </c>
      <c r="AI37" s="152"/>
    </row>
    <row r="38" spans="1:35" x14ac:dyDescent="0.3">
      <c r="A38" s="157" t="s">
        <v>634</v>
      </c>
      <c r="B38" s="157" t="s">
        <v>64</v>
      </c>
      <c r="C38" s="157" t="s">
        <v>517</v>
      </c>
      <c r="D38" s="157" t="s">
        <v>21</v>
      </c>
      <c r="E38" s="157" t="s">
        <v>518</v>
      </c>
      <c r="F38" s="158" t="s">
        <v>519</v>
      </c>
      <c r="G38" s="157">
        <v>1</v>
      </c>
      <c r="H38" s="157" t="s">
        <v>24</v>
      </c>
      <c r="I38" s="159">
        <v>1</v>
      </c>
      <c r="J38" s="161"/>
      <c r="K38" s="161"/>
      <c r="L38" s="2209"/>
      <c r="M38" s="163">
        <v>1</v>
      </c>
      <c r="N38" s="166">
        <v>17576</v>
      </c>
      <c r="O38" s="173">
        <v>0.55000000000000004</v>
      </c>
      <c r="P38" s="166">
        <f t="shared" si="4"/>
        <v>7909.1999999999989</v>
      </c>
      <c r="Q38" s="166">
        <f t="shared" si="0"/>
        <v>7909.1999999999989</v>
      </c>
      <c r="R38" s="206"/>
      <c r="S38" s="167">
        <f t="shared" si="1"/>
        <v>2.741376484639093E-2</v>
      </c>
      <c r="T38" s="168">
        <f t="shared" ref="T38:T44" si="5">Q38*2</f>
        <v>15818.399999999998</v>
      </c>
      <c r="U38" s="282">
        <f t="shared" si="3"/>
        <v>15818.399999999998</v>
      </c>
      <c r="Y38" s="152"/>
      <c r="Z38" s="282"/>
      <c r="AA38" s="171">
        <f>T38</f>
        <v>15818.399999999998</v>
      </c>
      <c r="AB38" s="280"/>
      <c r="AD38" s="169">
        <f>T37</f>
        <v>104400</v>
      </c>
      <c r="AI38" s="152"/>
    </row>
    <row r="39" spans="1:35" x14ac:dyDescent="0.3">
      <c r="A39" s="157" t="s">
        <v>634</v>
      </c>
      <c r="B39" s="157" t="s">
        <v>65</v>
      </c>
      <c r="C39" s="157" t="s">
        <v>517</v>
      </c>
      <c r="D39" s="157" t="s">
        <v>26</v>
      </c>
      <c r="E39" s="157" t="s">
        <v>520</v>
      </c>
      <c r="F39" s="158" t="s">
        <v>635</v>
      </c>
      <c r="G39" s="157">
        <v>1</v>
      </c>
      <c r="H39" s="157" t="s">
        <v>24</v>
      </c>
      <c r="I39" s="182">
        <v>1</v>
      </c>
      <c r="J39" s="183"/>
      <c r="K39" s="183"/>
      <c r="L39" s="2239"/>
      <c r="M39" s="163">
        <v>1</v>
      </c>
      <c r="N39" s="166">
        <v>5500</v>
      </c>
      <c r="O39" s="173">
        <v>0.15</v>
      </c>
      <c r="P39" s="166">
        <f t="shared" si="4"/>
        <v>4675</v>
      </c>
      <c r="Q39" s="166">
        <f t="shared" si="0"/>
        <v>4675</v>
      </c>
      <c r="R39" s="206" t="e">
        <f>(Q39+#REF!+Q40)/E12*1000</f>
        <v>#REF!</v>
      </c>
      <c r="S39" s="178">
        <f t="shared" si="1"/>
        <v>1.6203832329044356E-2</v>
      </c>
      <c r="T39" s="168">
        <f t="shared" si="5"/>
        <v>9350</v>
      </c>
      <c r="U39" s="282">
        <f t="shared" si="3"/>
        <v>9350</v>
      </c>
      <c r="Y39" s="152"/>
      <c r="Z39" s="282">
        <f>T39</f>
        <v>9350</v>
      </c>
      <c r="AA39" s="171"/>
      <c r="AB39" s="280"/>
      <c r="AE39" s="169">
        <f>T39</f>
        <v>9350</v>
      </c>
      <c r="AI39" s="152"/>
    </row>
    <row r="40" spans="1:35" x14ac:dyDescent="0.3">
      <c r="A40" s="157" t="s">
        <v>634</v>
      </c>
      <c r="B40" s="157" t="s">
        <v>66</v>
      </c>
      <c r="C40" s="157" t="s">
        <v>517</v>
      </c>
      <c r="D40" s="157" t="s">
        <v>27</v>
      </c>
      <c r="E40" s="157" t="s">
        <v>524</v>
      </c>
      <c r="F40" s="158" t="s">
        <v>636</v>
      </c>
      <c r="G40" s="157">
        <v>20</v>
      </c>
      <c r="H40" s="157" t="s">
        <v>24</v>
      </c>
      <c r="I40" s="185"/>
      <c r="J40" s="160"/>
      <c r="K40" s="176">
        <v>20</v>
      </c>
      <c r="L40" s="177"/>
      <c r="M40" s="157">
        <v>1</v>
      </c>
      <c r="N40" s="166">
        <v>3222.65</v>
      </c>
      <c r="O40" s="173">
        <v>0.2</v>
      </c>
      <c r="P40" s="186">
        <f t="shared" si="4"/>
        <v>2578.1200000000003</v>
      </c>
      <c r="Q40" s="166">
        <f t="shared" si="0"/>
        <v>51562.400000000009</v>
      </c>
      <c r="R40" s="206"/>
      <c r="S40" s="178">
        <f t="shared" si="1"/>
        <v>0.17871839231724423</v>
      </c>
      <c r="T40" s="168">
        <f t="shared" si="5"/>
        <v>103124.80000000002</v>
      </c>
      <c r="U40" s="282">
        <f t="shared" si="3"/>
        <v>103124.80000000002</v>
      </c>
      <c r="Y40" s="152"/>
      <c r="Z40" s="282">
        <f>T40</f>
        <v>103124.80000000002</v>
      </c>
      <c r="AA40" s="152"/>
      <c r="AB40" s="280"/>
      <c r="AF40" s="169">
        <f>T40</f>
        <v>103124.80000000002</v>
      </c>
      <c r="AI40" s="171"/>
    </row>
    <row r="41" spans="1:35" x14ac:dyDescent="0.3">
      <c r="A41" s="157" t="s">
        <v>634</v>
      </c>
      <c r="B41" s="157" t="s">
        <v>35</v>
      </c>
      <c r="C41" s="157" t="s">
        <v>637</v>
      </c>
      <c r="D41" s="157" t="s">
        <v>21</v>
      </c>
      <c r="E41" s="157" t="s">
        <v>518</v>
      </c>
      <c r="F41" s="158" t="s">
        <v>519</v>
      </c>
      <c r="G41" s="157">
        <v>5</v>
      </c>
      <c r="H41" s="157" t="s">
        <v>24</v>
      </c>
      <c r="I41" s="182">
        <v>5</v>
      </c>
      <c r="J41" s="183"/>
      <c r="K41" s="183"/>
      <c r="L41" s="2239"/>
      <c r="M41" s="157">
        <v>1</v>
      </c>
      <c r="N41" s="473">
        <v>12150</v>
      </c>
      <c r="O41" s="165">
        <v>0.4</v>
      </c>
      <c r="P41" s="186">
        <f t="shared" si="4"/>
        <v>7290</v>
      </c>
      <c r="Q41" s="166">
        <f t="shared" si="0"/>
        <v>36450</v>
      </c>
      <c r="R41" s="606"/>
      <c r="S41" s="167">
        <f t="shared" si="1"/>
        <v>0.12633790126067737</v>
      </c>
      <c r="T41" s="168">
        <f t="shared" si="5"/>
        <v>72900</v>
      </c>
      <c r="U41" s="283">
        <f t="shared" si="3"/>
        <v>72900</v>
      </c>
      <c r="Y41" s="152"/>
      <c r="Z41" s="607"/>
      <c r="AA41" s="171">
        <f>T41</f>
        <v>72900</v>
      </c>
      <c r="AB41" s="280"/>
      <c r="AG41" s="169">
        <f>T41</f>
        <v>72900</v>
      </c>
      <c r="AI41" s="152"/>
    </row>
    <row r="42" spans="1:35" x14ac:dyDescent="0.3">
      <c r="A42" s="157" t="s">
        <v>634</v>
      </c>
      <c r="B42" s="157" t="s">
        <v>35</v>
      </c>
      <c r="C42" s="157" t="s">
        <v>637</v>
      </c>
      <c r="D42" s="157" t="s">
        <v>26</v>
      </c>
      <c r="E42" s="157" t="s">
        <v>520</v>
      </c>
      <c r="F42" s="158" t="s">
        <v>635</v>
      </c>
      <c r="G42" s="157">
        <v>4</v>
      </c>
      <c r="H42" s="157" t="s">
        <v>24</v>
      </c>
      <c r="I42" s="182">
        <v>4</v>
      </c>
      <c r="J42" s="183"/>
      <c r="K42" s="183"/>
      <c r="L42" s="2239"/>
      <c r="M42" s="157">
        <v>1</v>
      </c>
      <c r="N42" s="473">
        <v>15000</v>
      </c>
      <c r="O42" s="165">
        <v>0.49</v>
      </c>
      <c r="P42" s="186">
        <f t="shared" si="4"/>
        <v>7650</v>
      </c>
      <c r="Q42" s="166">
        <f t="shared" si="0"/>
        <v>30600</v>
      </c>
      <c r="R42" s="606"/>
      <c r="S42" s="178">
        <f t="shared" si="1"/>
        <v>0.1060614479719267</v>
      </c>
      <c r="T42" s="168">
        <f t="shared" si="5"/>
        <v>61200</v>
      </c>
      <c r="U42" s="283">
        <f t="shared" si="3"/>
        <v>61200</v>
      </c>
      <c r="Y42" s="152"/>
      <c r="Z42" s="607">
        <f>T42</f>
        <v>61200</v>
      </c>
      <c r="AA42" s="152"/>
      <c r="AB42" s="280"/>
      <c r="AG42" s="169">
        <f>T42</f>
        <v>61200</v>
      </c>
      <c r="AI42" s="152"/>
    </row>
    <row r="43" spans="1:35" x14ac:dyDescent="0.3">
      <c r="A43" s="157" t="s">
        <v>634</v>
      </c>
      <c r="B43" s="157" t="s">
        <v>67</v>
      </c>
      <c r="C43" s="157" t="s">
        <v>637</v>
      </c>
      <c r="D43" s="157" t="s">
        <v>21</v>
      </c>
      <c r="E43" s="157" t="s">
        <v>518</v>
      </c>
      <c r="F43" s="158" t="s">
        <v>519</v>
      </c>
      <c r="G43" s="157">
        <v>2</v>
      </c>
      <c r="H43" s="157" t="s">
        <v>24</v>
      </c>
      <c r="I43" s="182">
        <v>2</v>
      </c>
      <c r="J43" s="183"/>
      <c r="K43" s="183"/>
      <c r="L43" s="2239"/>
      <c r="M43" s="157">
        <v>1</v>
      </c>
      <c r="N43" s="473">
        <v>8980</v>
      </c>
      <c r="O43" s="165">
        <v>0.25</v>
      </c>
      <c r="P43" s="476">
        <f t="shared" si="4"/>
        <v>6735</v>
      </c>
      <c r="Q43" s="473">
        <f t="shared" si="0"/>
        <v>13470</v>
      </c>
      <c r="R43" s="606"/>
      <c r="S43" s="608">
        <f t="shared" si="1"/>
        <v>4.668783346999518E-2</v>
      </c>
      <c r="T43" s="478">
        <f t="shared" si="5"/>
        <v>26940</v>
      </c>
      <c r="U43" s="607">
        <f t="shared" si="3"/>
        <v>26940</v>
      </c>
      <c r="Y43" s="152"/>
      <c r="Z43" s="607"/>
      <c r="AA43" s="171">
        <f>T43</f>
        <v>26940</v>
      </c>
      <c r="AB43" s="280"/>
      <c r="AH43" s="169">
        <f>T43</f>
        <v>26940</v>
      </c>
      <c r="AI43" s="171"/>
    </row>
    <row r="44" spans="1:35" x14ac:dyDescent="0.3">
      <c r="A44" s="157" t="s">
        <v>634</v>
      </c>
      <c r="B44" s="157" t="s">
        <v>67</v>
      </c>
      <c r="C44" s="157" t="s">
        <v>637</v>
      </c>
      <c r="D44" s="157" t="s">
        <v>26</v>
      </c>
      <c r="E44" s="157" t="s">
        <v>520</v>
      </c>
      <c r="F44" s="158" t="s">
        <v>635</v>
      </c>
      <c r="G44" s="157">
        <v>2</v>
      </c>
      <c r="H44" s="157" t="s">
        <v>24</v>
      </c>
      <c r="I44" s="182">
        <v>2</v>
      </c>
      <c r="J44" s="183"/>
      <c r="K44" s="183"/>
      <c r="L44" s="2239"/>
      <c r="M44" s="157">
        <v>1</v>
      </c>
      <c r="N44" s="473">
        <v>14500</v>
      </c>
      <c r="O44" s="165">
        <v>0.25</v>
      </c>
      <c r="P44" s="476">
        <f t="shared" si="4"/>
        <v>10875</v>
      </c>
      <c r="Q44" s="473">
        <f t="shared" si="0"/>
        <v>21750</v>
      </c>
      <c r="R44" s="606"/>
      <c r="S44" s="178">
        <f t="shared" si="1"/>
        <v>7.5386813509457695E-2</v>
      </c>
      <c r="T44" s="478">
        <f t="shared" si="5"/>
        <v>43500</v>
      </c>
      <c r="U44" s="607">
        <f t="shared" si="3"/>
        <v>43500</v>
      </c>
      <c r="Y44" s="152"/>
      <c r="Z44" s="607">
        <f>T44</f>
        <v>43500</v>
      </c>
      <c r="AA44" s="152"/>
      <c r="AB44" s="280"/>
      <c r="AH44" s="169">
        <f>T44</f>
        <v>43500</v>
      </c>
      <c r="AI44" s="171"/>
    </row>
    <row r="45" spans="1:35" x14ac:dyDescent="0.3">
      <c r="A45" s="157"/>
      <c r="B45" s="157"/>
      <c r="C45" s="157"/>
      <c r="D45" s="157"/>
      <c r="E45" s="157"/>
      <c r="F45" s="158"/>
      <c r="G45" s="157"/>
      <c r="H45" s="157"/>
      <c r="I45" s="1"/>
      <c r="K45" s="1"/>
      <c r="L45" s="286"/>
      <c r="M45" s="157"/>
      <c r="N45" s="473"/>
      <c r="O45" s="165"/>
      <c r="P45" s="476"/>
      <c r="Q45" s="473"/>
      <c r="R45" s="606"/>
      <c r="S45" s="609"/>
      <c r="T45" s="478"/>
      <c r="U45" s="607"/>
      <c r="Y45" s="152"/>
      <c r="Z45" s="607"/>
      <c r="AA45" s="152"/>
      <c r="AB45" s="280"/>
      <c r="AI45" s="171"/>
    </row>
    <row r="46" spans="1:35" x14ac:dyDescent="0.3">
      <c r="A46" s="157"/>
      <c r="B46" s="157"/>
      <c r="C46" s="157"/>
      <c r="D46" s="157"/>
      <c r="E46" s="157"/>
      <c r="F46" s="158"/>
      <c r="G46" s="157"/>
      <c r="H46" s="157"/>
      <c r="I46" s="1"/>
      <c r="K46" s="1"/>
      <c r="L46" s="286"/>
      <c r="M46" s="157"/>
      <c r="N46" s="473"/>
      <c r="O46" s="165"/>
      <c r="P46" s="476"/>
      <c r="Q46" s="473"/>
      <c r="R46" s="606"/>
      <c r="S46" s="609"/>
      <c r="T46" s="478"/>
      <c r="U46" s="607"/>
      <c r="Y46" s="152"/>
      <c r="Z46" s="607"/>
      <c r="AA46" s="152"/>
      <c r="AB46" s="280"/>
      <c r="AI46" s="152"/>
    </row>
    <row r="47" spans="1:35" x14ac:dyDescent="0.3">
      <c r="A47" s="172"/>
      <c r="B47" s="157"/>
      <c r="C47" s="190"/>
      <c r="D47" s="190"/>
      <c r="E47" s="190"/>
      <c r="F47" s="191"/>
      <c r="G47" s="190"/>
      <c r="H47" s="190"/>
      <c r="I47" s="245"/>
      <c r="J47" s="245"/>
      <c r="K47" s="245"/>
      <c r="L47" s="287"/>
      <c r="M47" s="190"/>
      <c r="N47" s="194"/>
      <c r="O47" s="195"/>
      <c r="P47" s="288"/>
      <c r="Q47" s="194"/>
      <c r="R47" s="206"/>
      <c r="S47" s="393"/>
      <c r="T47" s="168"/>
      <c r="U47" s="280"/>
      <c r="Y47" s="152"/>
      <c r="Z47" s="280"/>
      <c r="AA47" s="152"/>
      <c r="AB47" s="280"/>
      <c r="AI47" s="152"/>
    </row>
    <row r="48" spans="1:35" x14ac:dyDescent="0.3">
      <c r="A48" s="108" t="s">
        <v>634</v>
      </c>
      <c r="B48" s="108" t="s">
        <v>528</v>
      </c>
      <c r="C48" s="192"/>
      <c r="D48" s="193"/>
      <c r="E48" s="193"/>
      <c r="F48" s="244"/>
      <c r="G48" s="193"/>
      <c r="H48" s="193"/>
      <c r="I48" s="252"/>
      <c r="J48" s="252"/>
      <c r="K48" s="252"/>
      <c r="L48" s="252"/>
      <c r="M48" s="193"/>
      <c r="N48" s="246"/>
      <c r="O48" s="196"/>
      <c r="P48" s="186"/>
      <c r="Q48" s="166">
        <f>P48*M48*G48</f>
        <v>0</v>
      </c>
      <c r="R48" s="290"/>
      <c r="S48" s="256">
        <f>Q48/Q51</f>
        <v>0</v>
      </c>
      <c r="T48" s="168">
        <f t="shared" ref="T48:T49" si="6">Q48*2</f>
        <v>0</v>
      </c>
      <c r="U48" s="280"/>
      <c r="X48" s="169">
        <f>T48</f>
        <v>0</v>
      </c>
      <c r="Y48" s="152"/>
      <c r="Z48" s="280"/>
      <c r="AA48" s="171">
        <f>X48</f>
        <v>0</v>
      </c>
      <c r="AB48" s="280"/>
      <c r="AI48" s="152"/>
    </row>
    <row r="49" spans="1:35" x14ac:dyDescent="0.3">
      <c r="A49" s="108" t="s">
        <v>634</v>
      </c>
      <c r="B49" s="108" t="s">
        <v>529</v>
      </c>
      <c r="C49" s="289"/>
      <c r="D49" s="252"/>
      <c r="E49" s="252"/>
      <c r="F49" s="253"/>
      <c r="G49" s="252"/>
      <c r="H49" s="252"/>
      <c r="I49" s="254"/>
      <c r="J49" s="254"/>
      <c r="K49" s="254"/>
      <c r="L49" s="254"/>
      <c r="M49" s="252"/>
      <c r="N49" s="255"/>
      <c r="O49" s="256"/>
      <c r="P49" s="290"/>
      <c r="Q49" s="257">
        <v>41000</v>
      </c>
      <c r="R49" s="480"/>
      <c r="S49" s="291">
        <f>Q49/Q51</f>
        <v>0.14210847604081681</v>
      </c>
      <c r="T49" s="168">
        <f t="shared" si="6"/>
        <v>82000</v>
      </c>
      <c r="U49" s="280"/>
      <c r="Y49" s="171">
        <f>T49</f>
        <v>82000</v>
      </c>
      <c r="Z49" s="280"/>
      <c r="AA49" s="152"/>
      <c r="AB49" s="280"/>
      <c r="AI49" s="152"/>
    </row>
    <row r="50" spans="1:35" x14ac:dyDescent="0.3">
      <c r="I50" s="115">
        <f>I51/M51</f>
        <v>0.55555555555555558</v>
      </c>
      <c r="J50" s="115"/>
      <c r="K50" s="115">
        <f>K51/M51</f>
        <v>0.44444444444444442</v>
      </c>
      <c r="T50" s="325"/>
      <c r="U50" s="280"/>
      <c r="Y50" s="152"/>
      <c r="Z50" s="280"/>
      <c r="AA50" s="152"/>
      <c r="AB50" s="280"/>
      <c r="AI50" s="210"/>
    </row>
    <row r="51" spans="1:35" x14ac:dyDescent="0.3">
      <c r="A51" s="212" t="s">
        <v>531</v>
      </c>
      <c r="B51" s="213"/>
      <c r="C51" s="213"/>
      <c r="D51" s="213"/>
      <c r="E51" s="213"/>
      <c r="F51" s="214"/>
      <c r="G51" s="213"/>
      <c r="H51" s="213"/>
      <c r="I51" s="213">
        <f>I39+I38+I37+I36+I35+I34</f>
        <v>25</v>
      </c>
      <c r="J51" s="213"/>
      <c r="K51" s="213">
        <f>+K40</f>
        <v>20</v>
      </c>
      <c r="L51" s="213"/>
      <c r="M51" s="213">
        <f>SUM(I51:L51)</f>
        <v>45</v>
      </c>
      <c r="N51" s="215"/>
      <c r="O51" s="216"/>
      <c r="P51" s="215"/>
      <c r="Q51" s="481">
        <f>SUM(Q34:Q50)</f>
        <v>288511.99550000002</v>
      </c>
      <c r="R51" s="481"/>
      <c r="S51" s="218">
        <f>SUM(S34:S49)</f>
        <v>0.99999999999999989</v>
      </c>
      <c r="T51" s="610">
        <f>SUM(T34:T50)</f>
        <v>577023.99100000004</v>
      </c>
      <c r="U51" s="293">
        <f t="shared" ref="U51:AA51" si="7">SUM(U34:U49)</f>
        <v>495023.99100000004</v>
      </c>
      <c r="V51" s="294">
        <f t="shared" si="7"/>
        <v>0</v>
      </c>
      <c r="W51" s="294">
        <f t="shared" si="7"/>
        <v>0</v>
      </c>
      <c r="X51" s="294">
        <f t="shared" si="7"/>
        <v>0</v>
      </c>
      <c r="Y51" s="295">
        <f t="shared" si="7"/>
        <v>82000</v>
      </c>
      <c r="Z51" s="296">
        <f t="shared" si="7"/>
        <v>335074.80000000005</v>
      </c>
      <c r="AA51" s="295">
        <f t="shared" si="7"/>
        <v>159949.19099999999</v>
      </c>
      <c r="AB51" s="611">
        <f>SUM(AB34:AB50)</f>
        <v>31690.790999999994</v>
      </c>
      <c r="AC51" s="612">
        <f t="shared" ref="AC51:AH51" si="8">SUM(AC34:AC50)</f>
        <v>39600</v>
      </c>
      <c r="AD51" s="612">
        <f t="shared" si="8"/>
        <v>104400</v>
      </c>
      <c r="AE51" s="612">
        <f t="shared" si="8"/>
        <v>9350</v>
      </c>
      <c r="AF51" s="612">
        <f t="shared" si="8"/>
        <v>103124.80000000002</v>
      </c>
      <c r="AG51" s="612">
        <f t="shared" si="8"/>
        <v>134100</v>
      </c>
      <c r="AH51" s="612">
        <f t="shared" si="8"/>
        <v>70440</v>
      </c>
      <c r="AI51" s="227">
        <f>SUM(AI33:AI50)</f>
        <v>0</v>
      </c>
    </row>
    <row r="52" spans="1:35" x14ac:dyDescent="0.3">
      <c r="A52" s="228" t="s">
        <v>532</v>
      </c>
      <c r="B52" s="229"/>
      <c r="C52" s="229"/>
      <c r="D52" s="229"/>
      <c r="E52" s="229"/>
      <c r="F52" s="230"/>
      <c r="G52" s="229"/>
      <c r="H52" s="229"/>
      <c r="I52" s="229">
        <f>I39+I38+I37+I36+I35+I34</f>
        <v>25</v>
      </c>
      <c r="J52" s="229">
        <f>I39+I38+I37+I36+I35+I34</f>
        <v>25</v>
      </c>
      <c r="K52" s="229">
        <f>+K40+I39+I38+I36+I35+I34</f>
        <v>25</v>
      </c>
      <c r="L52" s="229">
        <f>K40+I39+I38+I36+I35+I34</f>
        <v>25</v>
      </c>
      <c r="M52" s="229">
        <f>SUM(I52:L52)</f>
        <v>100</v>
      </c>
      <c r="N52" s="231"/>
      <c r="O52" s="232"/>
      <c r="P52" s="231"/>
      <c r="Q52" s="231"/>
      <c r="R52" s="231"/>
      <c r="S52" s="233"/>
      <c r="T52" s="234"/>
      <c r="U52" s="235">
        <f>U51/T51</f>
        <v>0.85789152395918322</v>
      </c>
      <c r="V52" s="236">
        <f>V51/T51</f>
        <v>0</v>
      </c>
      <c r="W52" s="236">
        <f>W51/T51</f>
        <v>0</v>
      </c>
      <c r="X52" s="236">
        <f>X51/T51</f>
        <v>0</v>
      </c>
      <c r="Y52" s="297">
        <f>Y51/T51</f>
        <v>0.14210847604081681</v>
      </c>
      <c r="Z52" s="298">
        <f>Z51/T51</f>
        <v>0.58069474619123773</v>
      </c>
      <c r="AA52" s="297">
        <f>AA51/T51</f>
        <v>0.27719677776794549</v>
      </c>
      <c r="AB52" s="573"/>
      <c r="AC52" s="487"/>
      <c r="AD52" s="487"/>
      <c r="AE52" s="487"/>
      <c r="AF52" s="487"/>
      <c r="AG52" s="487"/>
      <c r="AH52" s="487"/>
      <c r="AI52" s="242"/>
    </row>
    <row r="53" spans="1:35" x14ac:dyDescent="0.3">
      <c r="A53" s="243" t="s">
        <v>533</v>
      </c>
      <c r="B53" s="193"/>
      <c r="C53" s="193"/>
      <c r="D53" s="193"/>
      <c r="E53" s="193"/>
      <c r="F53" s="244"/>
      <c r="G53" s="193"/>
      <c r="H53" s="193"/>
      <c r="I53" s="2187">
        <v>0.25</v>
      </c>
      <c r="J53" s="245"/>
      <c r="K53" s="245"/>
      <c r="L53" s="245"/>
      <c r="M53" s="193"/>
      <c r="N53" s="246"/>
      <c r="O53" s="196"/>
      <c r="P53" s="246"/>
      <c r="Q53" s="194">
        <f>U51/2</f>
        <v>247511.99550000002</v>
      </c>
      <c r="R53" s="288"/>
      <c r="S53" s="247">
        <f>Q53/Q58</f>
        <v>0.85789152395918322</v>
      </c>
      <c r="Y53" s="248"/>
      <c r="Z53" s="357">
        <f>I36+I37+I39+K40</f>
        <v>42</v>
      </c>
      <c r="AA53" s="358">
        <f>I34+I35+I38</f>
        <v>3</v>
      </c>
    </row>
    <row r="54" spans="1:35" x14ac:dyDescent="0.3">
      <c r="A54" s="251" t="s">
        <v>11</v>
      </c>
      <c r="B54" s="252"/>
      <c r="C54" s="252"/>
      <c r="D54" s="252"/>
      <c r="E54" s="252"/>
      <c r="F54" s="253"/>
      <c r="G54" s="252"/>
      <c r="H54" s="252"/>
      <c r="I54" s="254"/>
      <c r="J54" s="254"/>
      <c r="K54" s="254"/>
      <c r="L54" s="254"/>
      <c r="M54" s="252"/>
      <c r="N54" s="255"/>
      <c r="O54" s="256"/>
      <c r="P54" s="255"/>
      <c r="Q54" s="257">
        <f>V51/2</f>
        <v>0</v>
      </c>
      <c r="R54" s="290"/>
      <c r="S54" s="256">
        <f>Q54/Q58</f>
        <v>0</v>
      </c>
      <c r="T54" s="574">
        <f>Q51/M51</f>
        <v>6411.3776777777784</v>
      </c>
      <c r="U54" s="613" t="s">
        <v>535</v>
      </c>
      <c r="Z54" s="195">
        <f>Z53/M51</f>
        <v>0.93333333333333335</v>
      </c>
      <c r="AA54" s="247">
        <f>AA53/M51</f>
        <v>6.6666666666666666E-2</v>
      </c>
    </row>
    <row r="55" spans="1:35" x14ac:dyDescent="0.3">
      <c r="A55" s="251" t="s">
        <v>536</v>
      </c>
      <c r="B55" s="252"/>
      <c r="C55" s="252"/>
      <c r="D55" s="252"/>
      <c r="E55" s="252"/>
      <c r="F55" s="253"/>
      <c r="G55" s="252"/>
      <c r="H55" s="252"/>
      <c r="I55" s="254"/>
      <c r="J55" s="254"/>
      <c r="K55" s="254"/>
      <c r="L55" s="254"/>
      <c r="M55" s="252"/>
      <c r="N55" s="255"/>
      <c r="O55" s="256"/>
      <c r="P55" s="255"/>
      <c r="Q55" s="257">
        <f>W51/2</f>
        <v>0</v>
      </c>
      <c r="R55" s="290"/>
      <c r="S55" s="262">
        <f>Q55/Q58</f>
        <v>0</v>
      </c>
      <c r="V55" s="263"/>
      <c r="X55" s="99"/>
      <c r="Z55" s="2265" t="s">
        <v>537</v>
      </c>
      <c r="AA55" s="2265"/>
    </row>
    <row r="56" spans="1:35" x14ac:dyDescent="0.3">
      <c r="A56" s="251" t="s">
        <v>529</v>
      </c>
      <c r="B56" s="252"/>
      <c r="C56" s="252"/>
      <c r="D56" s="252"/>
      <c r="E56" s="252"/>
      <c r="F56" s="253"/>
      <c r="G56" s="252"/>
      <c r="H56" s="252"/>
      <c r="I56" s="254"/>
      <c r="J56" s="254"/>
      <c r="K56" s="254"/>
      <c r="L56" s="254"/>
      <c r="M56" s="252"/>
      <c r="N56" s="255"/>
      <c r="O56" s="256"/>
      <c r="P56" s="255"/>
      <c r="Q56" s="257">
        <f>Y51/2</f>
        <v>41000</v>
      </c>
      <c r="R56" s="290"/>
      <c r="S56" s="262">
        <f>Q56/Q58</f>
        <v>0.14210847604081681</v>
      </c>
      <c r="U56" s="263"/>
      <c r="V56" s="263"/>
    </row>
    <row r="57" spans="1:35" x14ac:dyDescent="0.3">
      <c r="A57" s="251" t="s">
        <v>528</v>
      </c>
      <c r="B57" s="252"/>
      <c r="C57" s="252"/>
      <c r="D57" s="252"/>
      <c r="E57" s="252"/>
      <c r="F57" s="253"/>
      <c r="G57" s="252"/>
      <c r="H57" s="252"/>
      <c r="I57" s="254"/>
      <c r="J57" s="254"/>
      <c r="K57" s="254"/>
      <c r="L57" s="254"/>
      <c r="M57" s="252"/>
      <c r="N57" s="255"/>
      <c r="O57" s="256"/>
      <c r="P57" s="255"/>
      <c r="Q57" s="257">
        <f>X51/2</f>
        <v>0</v>
      </c>
      <c r="R57" s="290"/>
      <c r="S57" s="262">
        <f>Q57/Q58</f>
        <v>0</v>
      </c>
    </row>
    <row r="58" spans="1:35" x14ac:dyDescent="0.3">
      <c r="A58" s="251"/>
      <c r="B58" s="252"/>
      <c r="C58" s="252"/>
      <c r="D58" s="252"/>
      <c r="E58" s="252"/>
      <c r="F58" s="253"/>
      <c r="G58" s="252"/>
      <c r="H58" s="252"/>
      <c r="I58" s="254"/>
      <c r="J58" s="254"/>
      <c r="K58" s="254"/>
      <c r="L58" s="254"/>
      <c r="M58" s="252"/>
      <c r="N58" s="255"/>
      <c r="O58" s="256"/>
      <c r="P58" s="255"/>
      <c r="Q58" s="264">
        <f>SUM(Q53:Q57)</f>
        <v>288511.99550000002</v>
      </c>
      <c r="R58" s="490"/>
      <c r="S58" s="262">
        <f>SUM(S53:S57)</f>
        <v>1</v>
      </c>
    </row>
    <row r="60" spans="1:35" ht="18" x14ac:dyDescent="0.35">
      <c r="A60" s="118" t="s">
        <v>538</v>
      </c>
      <c r="S60" s="98"/>
    </row>
    <row r="62" spans="1:35" x14ac:dyDescent="0.3">
      <c r="A62" s="2335" t="s">
        <v>480</v>
      </c>
      <c r="B62" s="2336"/>
      <c r="C62" s="2336"/>
      <c r="D62" s="2336"/>
      <c r="E62" s="2336"/>
      <c r="F62" s="2336"/>
      <c r="G62" s="2336"/>
      <c r="H62" s="2336"/>
      <c r="I62" s="2336"/>
      <c r="J62" s="2336"/>
      <c r="K62" s="2336"/>
      <c r="L62" s="2336"/>
      <c r="M62" s="2336"/>
      <c r="N62" s="2336"/>
      <c r="O62" s="2336"/>
      <c r="P62" s="2336"/>
      <c r="Q62" s="2336"/>
      <c r="R62" s="2336"/>
      <c r="S62" s="2337"/>
      <c r="T62" s="2374" t="s">
        <v>584</v>
      </c>
      <c r="U62" s="2375"/>
      <c r="V62" s="2375"/>
      <c r="W62" s="2375"/>
      <c r="X62" s="2375"/>
      <c r="Y62" s="2375"/>
      <c r="Z62" s="2375"/>
      <c r="AA62" s="2375"/>
      <c r="AB62" s="2375"/>
      <c r="AC62" s="2375"/>
      <c r="AD62" s="2375"/>
      <c r="AE62" s="2375"/>
      <c r="AF62" s="2375"/>
      <c r="AG62" s="2375"/>
      <c r="AH62" s="2375"/>
      <c r="AI62" s="2376"/>
    </row>
    <row r="63" spans="1:35" ht="15.6" x14ac:dyDescent="0.3">
      <c r="A63" s="2284" t="s">
        <v>482</v>
      </c>
      <c r="B63" s="2286" t="s">
        <v>483</v>
      </c>
      <c r="C63" s="2286" t="s">
        <v>484</v>
      </c>
      <c r="D63" s="2286" t="s">
        <v>485</v>
      </c>
      <c r="E63" s="2286" t="s">
        <v>486</v>
      </c>
      <c r="F63" s="2288" t="s">
        <v>487</v>
      </c>
      <c r="G63" s="2286" t="s">
        <v>488</v>
      </c>
      <c r="H63" s="2286" t="s">
        <v>489</v>
      </c>
      <c r="I63" s="2266" t="s">
        <v>490</v>
      </c>
      <c r="J63" s="2266"/>
      <c r="K63" s="2266"/>
      <c r="L63" s="2266"/>
      <c r="M63" s="265" t="s">
        <v>491</v>
      </c>
      <c r="N63" s="266" t="s">
        <v>492</v>
      </c>
      <c r="O63" s="267" t="s">
        <v>493</v>
      </c>
      <c r="P63" s="266" t="s">
        <v>492</v>
      </c>
      <c r="Q63" s="266" t="s">
        <v>494</v>
      </c>
      <c r="R63" s="491" t="s">
        <v>585</v>
      </c>
      <c r="S63" s="2267" t="s">
        <v>495</v>
      </c>
      <c r="T63" s="124" t="s">
        <v>496</v>
      </c>
      <c r="U63" s="2364" t="s">
        <v>497</v>
      </c>
      <c r="V63" s="2365"/>
      <c r="W63" s="2365"/>
      <c r="X63" s="2365"/>
      <c r="Y63" s="2366"/>
      <c r="Z63" s="2361" t="s">
        <v>498</v>
      </c>
      <c r="AA63" s="2363"/>
      <c r="AB63" s="2361" t="s">
        <v>499</v>
      </c>
      <c r="AC63" s="2362"/>
      <c r="AD63" s="2362"/>
      <c r="AE63" s="2362"/>
      <c r="AF63" s="2362"/>
      <c r="AG63" s="2362"/>
      <c r="AH63" s="2362"/>
      <c r="AI63" s="2363"/>
    </row>
    <row r="64" spans="1:35" ht="15.6" x14ac:dyDescent="0.3">
      <c r="A64" s="2285"/>
      <c r="B64" s="2287"/>
      <c r="C64" s="2287"/>
      <c r="D64" s="2287"/>
      <c r="E64" s="2287"/>
      <c r="F64" s="2289"/>
      <c r="G64" s="2287"/>
      <c r="H64" s="2287"/>
      <c r="I64" s="269" t="s">
        <v>500</v>
      </c>
      <c r="J64" s="269" t="s">
        <v>501</v>
      </c>
      <c r="K64" s="269" t="s">
        <v>502</v>
      </c>
      <c r="L64" s="269" t="s">
        <v>503</v>
      </c>
      <c r="M64" s="270" t="s">
        <v>504</v>
      </c>
      <c r="N64" s="271" t="s">
        <v>505</v>
      </c>
      <c r="O64" s="272" t="s">
        <v>506</v>
      </c>
      <c r="P64" s="271" t="s">
        <v>507</v>
      </c>
      <c r="Q64" s="271" t="s">
        <v>507</v>
      </c>
      <c r="R64" s="271"/>
      <c r="S64" s="2268"/>
      <c r="T64" s="130" t="s">
        <v>508</v>
      </c>
      <c r="U64" s="2298"/>
      <c r="V64" s="2299"/>
      <c r="W64" s="2299"/>
      <c r="X64" s="2299"/>
      <c r="Y64" s="2300"/>
      <c r="Z64" s="2303"/>
      <c r="AA64" s="2304"/>
      <c r="AB64" s="2303"/>
      <c r="AC64" s="2307"/>
      <c r="AD64" s="2307"/>
      <c r="AE64" s="2307"/>
      <c r="AF64" s="2307"/>
      <c r="AG64" s="2307"/>
      <c r="AH64" s="2307"/>
      <c r="AI64" s="2304"/>
    </row>
    <row r="65" spans="1:35" ht="18" x14ac:dyDescent="0.35">
      <c r="A65" s="2359" t="s">
        <v>540</v>
      </c>
      <c r="B65" s="2360"/>
      <c r="C65" s="2360"/>
      <c r="D65" s="2360"/>
      <c r="E65" s="2360"/>
      <c r="F65" s="2360"/>
      <c r="G65" s="2360"/>
      <c r="H65" s="2360"/>
      <c r="I65" s="2360"/>
      <c r="J65" s="2360"/>
      <c r="K65" s="2360"/>
      <c r="L65" s="2360"/>
      <c r="M65" s="2360"/>
      <c r="N65" s="2360"/>
      <c r="O65" s="2360"/>
      <c r="P65" s="2360"/>
      <c r="Q65" s="2360"/>
      <c r="R65" s="2360"/>
      <c r="S65" s="2360"/>
      <c r="T65" s="559"/>
      <c r="U65" s="560" t="s">
        <v>510</v>
      </c>
      <c r="V65" s="561" t="s">
        <v>11</v>
      </c>
      <c r="W65" s="561" t="s">
        <v>511</v>
      </c>
      <c r="X65" s="561" t="s">
        <v>512</v>
      </c>
      <c r="Y65" s="562" t="s">
        <v>513</v>
      </c>
      <c r="Z65" s="563" t="s">
        <v>514</v>
      </c>
      <c r="AA65" s="562" t="s">
        <v>515</v>
      </c>
      <c r="AB65" s="563" t="s">
        <v>12</v>
      </c>
      <c r="AC65" s="561" t="s">
        <v>13</v>
      </c>
      <c r="AD65" s="561" t="s">
        <v>60</v>
      </c>
      <c r="AE65" s="561" t="s">
        <v>61</v>
      </c>
      <c r="AF65" s="561" t="s">
        <v>62</v>
      </c>
      <c r="AG65" s="561" t="s">
        <v>18</v>
      </c>
      <c r="AH65" s="561" t="s">
        <v>19</v>
      </c>
      <c r="AI65" s="562" t="s">
        <v>16</v>
      </c>
    </row>
    <row r="66" spans="1:35" x14ac:dyDescent="0.3">
      <c r="A66" s="154"/>
      <c r="B66" s="462"/>
      <c r="C66" s="462"/>
      <c r="D66" s="462"/>
      <c r="E66" s="462"/>
      <c r="F66" s="463"/>
      <c r="G66" s="462"/>
      <c r="H66" s="462"/>
      <c r="I66" s="465"/>
      <c r="J66" s="465"/>
      <c r="K66" s="465"/>
      <c r="L66" s="465"/>
      <c r="M66" s="462"/>
      <c r="N66" s="468"/>
      <c r="O66" s="469"/>
      <c r="P66" s="468"/>
      <c r="Q66" s="468"/>
      <c r="R66" s="470"/>
      <c r="S66" s="501"/>
      <c r="T66" s="149"/>
      <c r="U66" s="280"/>
      <c r="Y66" s="152"/>
      <c r="Z66" s="280"/>
      <c r="AA66" s="152"/>
      <c r="AB66" s="280"/>
      <c r="AI66" s="152"/>
    </row>
    <row r="67" spans="1:35" x14ac:dyDescent="0.3">
      <c r="A67" s="157" t="s">
        <v>634</v>
      </c>
      <c r="B67" s="157" t="s">
        <v>23</v>
      </c>
      <c r="C67" s="157" t="s">
        <v>517</v>
      </c>
      <c r="D67" s="157" t="s">
        <v>21</v>
      </c>
      <c r="E67" s="157" t="s">
        <v>518</v>
      </c>
      <c r="F67" s="158" t="s">
        <v>519</v>
      </c>
      <c r="G67" s="157">
        <v>1</v>
      </c>
      <c r="H67" s="157" t="s">
        <v>24</v>
      </c>
      <c r="I67" s="159">
        <v>1</v>
      </c>
      <c r="J67" s="161"/>
      <c r="K67" s="161"/>
      <c r="L67" s="2209"/>
      <c r="M67" s="163">
        <v>1</v>
      </c>
      <c r="N67" s="166">
        <v>35211.99</v>
      </c>
      <c r="O67" s="173">
        <v>0.55000000000000004</v>
      </c>
      <c r="P67" s="166">
        <f>N67*(1-O67)</f>
        <v>15845.395499999997</v>
      </c>
      <c r="Q67" s="166">
        <f t="shared" ref="Q67:Q79" si="9">P67*M67*G67</f>
        <v>15845.395499999997</v>
      </c>
      <c r="R67" s="206" t="e">
        <f>(Q67+Q68+Q71+#REF!)/E44*1000</f>
        <v>#REF!</v>
      </c>
      <c r="S67" s="167">
        <f t="shared" ref="S67:S79" si="10">Q67/$Q$51</f>
        <v>5.4921097726073564E-2</v>
      </c>
      <c r="T67" s="168">
        <f>Q67</f>
        <v>15845.395499999997</v>
      </c>
      <c r="U67" s="282">
        <f t="shared" ref="U67:U78" si="11">T67</f>
        <v>15845.395499999997</v>
      </c>
      <c r="V67" s="169"/>
      <c r="Y67" s="152"/>
      <c r="Z67" s="282"/>
      <c r="AA67" s="171">
        <f>T67</f>
        <v>15845.395499999997</v>
      </c>
      <c r="AB67" s="282">
        <f>T67</f>
        <v>15845.395499999997</v>
      </c>
      <c r="AI67" s="152"/>
    </row>
    <row r="68" spans="1:35" x14ac:dyDescent="0.3">
      <c r="A68" s="157" t="s">
        <v>634</v>
      </c>
      <c r="B68" s="157" t="s">
        <v>25</v>
      </c>
      <c r="C68" s="157" t="s">
        <v>517</v>
      </c>
      <c r="D68" s="157" t="s">
        <v>21</v>
      </c>
      <c r="E68" s="157" t="s">
        <v>518</v>
      </c>
      <c r="F68" s="158" t="s">
        <v>519</v>
      </c>
      <c r="G68" s="157">
        <v>1</v>
      </c>
      <c r="H68" s="157" t="s">
        <v>24</v>
      </c>
      <c r="I68" s="159">
        <v>1</v>
      </c>
      <c r="J68" s="161"/>
      <c r="K68" s="161"/>
      <c r="L68" s="2209"/>
      <c r="M68" s="163">
        <v>1</v>
      </c>
      <c r="N68" s="166">
        <v>7000</v>
      </c>
      <c r="O68" s="173">
        <v>0.1</v>
      </c>
      <c r="P68" s="166">
        <f t="shared" ref="P68:P79" si="12">N68*(1-O68)</f>
        <v>6300</v>
      </c>
      <c r="Q68" s="166">
        <f t="shared" si="9"/>
        <v>6300</v>
      </c>
      <c r="R68" s="206"/>
      <c r="S68" s="167">
        <f t="shared" si="10"/>
        <v>2.1836180464808435E-2</v>
      </c>
      <c r="T68" s="168">
        <f t="shared" ref="T68:T79" si="13">Q68</f>
        <v>6300</v>
      </c>
      <c r="U68" s="282">
        <f t="shared" si="11"/>
        <v>6300</v>
      </c>
      <c r="V68" s="169"/>
      <c r="Y68" s="152"/>
      <c r="Z68" s="282"/>
      <c r="AA68" s="171">
        <f>T68</f>
        <v>6300</v>
      </c>
      <c r="AB68" s="280"/>
      <c r="AC68" s="169">
        <f>T68</f>
        <v>6300</v>
      </c>
      <c r="AI68" s="152"/>
    </row>
    <row r="69" spans="1:35" x14ac:dyDescent="0.3">
      <c r="A69" s="157" t="s">
        <v>634</v>
      </c>
      <c r="B69" s="157" t="s">
        <v>25</v>
      </c>
      <c r="C69" s="157" t="s">
        <v>517</v>
      </c>
      <c r="D69" s="157" t="s">
        <v>26</v>
      </c>
      <c r="E69" s="157" t="s">
        <v>520</v>
      </c>
      <c r="F69" s="158" t="s">
        <v>635</v>
      </c>
      <c r="G69" s="157">
        <v>1</v>
      </c>
      <c r="H69" s="157" t="s">
        <v>63</v>
      </c>
      <c r="I69" s="175">
        <v>1</v>
      </c>
      <c r="J69" s="176"/>
      <c r="K69" s="176"/>
      <c r="L69" s="177"/>
      <c r="M69" s="163">
        <v>1</v>
      </c>
      <c r="N69" s="166">
        <v>7500</v>
      </c>
      <c r="O69" s="173">
        <v>0.1</v>
      </c>
      <c r="P69" s="166">
        <f t="shared" si="12"/>
        <v>6750</v>
      </c>
      <c r="Q69" s="166">
        <f t="shared" si="9"/>
        <v>6750</v>
      </c>
      <c r="R69" s="206" t="e">
        <f>(Q69+#REF!)/E44*1000</f>
        <v>#REF!</v>
      </c>
      <c r="S69" s="178">
        <f t="shared" si="10"/>
        <v>2.3395907640866184E-2</v>
      </c>
      <c r="T69" s="168">
        <f t="shared" si="13"/>
        <v>6750</v>
      </c>
      <c r="U69" s="282">
        <f t="shared" si="11"/>
        <v>6750</v>
      </c>
      <c r="Y69" s="152"/>
      <c r="Z69" s="282">
        <f>T69</f>
        <v>6750</v>
      </c>
      <c r="AA69" s="171"/>
      <c r="AB69" s="280"/>
      <c r="AC69" s="169">
        <f>T69</f>
        <v>6750</v>
      </c>
      <c r="AI69" s="152"/>
    </row>
    <row r="70" spans="1:35" x14ac:dyDescent="0.3">
      <c r="A70" s="157" t="s">
        <v>634</v>
      </c>
      <c r="B70" s="157" t="s">
        <v>25</v>
      </c>
      <c r="C70" s="157" t="s">
        <v>517</v>
      </c>
      <c r="D70" s="157" t="s">
        <v>27</v>
      </c>
      <c r="E70" s="157" t="s">
        <v>520</v>
      </c>
      <c r="F70" s="158" t="s">
        <v>636</v>
      </c>
      <c r="G70" s="157">
        <v>21</v>
      </c>
      <c r="H70" s="157" t="s">
        <v>24</v>
      </c>
      <c r="I70" s="175">
        <v>20</v>
      </c>
      <c r="J70" s="176"/>
      <c r="K70" s="179"/>
      <c r="L70" s="180"/>
      <c r="M70" s="163">
        <v>1</v>
      </c>
      <c r="N70" s="166">
        <v>2900</v>
      </c>
      <c r="O70" s="173">
        <v>0.1</v>
      </c>
      <c r="P70" s="166">
        <f t="shared" si="12"/>
        <v>2610</v>
      </c>
      <c r="Q70" s="166">
        <f t="shared" si="9"/>
        <v>54810</v>
      </c>
      <c r="R70" s="206" t="e">
        <f>(Q70+#REF!)/E44*1000</f>
        <v>#REF!</v>
      </c>
      <c r="S70" s="178">
        <f t="shared" si="10"/>
        <v>0.1899747700438334</v>
      </c>
      <c r="T70" s="168">
        <f t="shared" si="13"/>
        <v>54810</v>
      </c>
      <c r="U70" s="282">
        <f t="shared" si="11"/>
        <v>54810</v>
      </c>
      <c r="W70" s="169"/>
      <c r="Y70" s="152"/>
      <c r="Z70" s="283">
        <f>T70</f>
        <v>54810</v>
      </c>
      <c r="AA70" s="171"/>
      <c r="AB70" s="280"/>
      <c r="AC70" s="169">
        <f>T70</f>
        <v>54810</v>
      </c>
      <c r="AI70" s="152"/>
    </row>
    <row r="71" spans="1:35" x14ac:dyDescent="0.3">
      <c r="A71" s="157" t="s">
        <v>634</v>
      </c>
      <c r="B71" s="157" t="s">
        <v>64</v>
      </c>
      <c r="C71" s="157" t="s">
        <v>517</v>
      </c>
      <c r="D71" s="157" t="s">
        <v>21</v>
      </c>
      <c r="E71" s="157" t="s">
        <v>518</v>
      </c>
      <c r="F71" s="158" t="s">
        <v>519</v>
      </c>
      <c r="G71" s="157">
        <v>1</v>
      </c>
      <c r="H71" s="157" t="s">
        <v>24</v>
      </c>
      <c r="I71" s="159">
        <v>1</v>
      </c>
      <c r="J71" s="161"/>
      <c r="K71" s="161"/>
      <c r="L71" s="2209"/>
      <c r="M71" s="163">
        <v>1</v>
      </c>
      <c r="N71" s="166">
        <v>17576</v>
      </c>
      <c r="O71" s="173">
        <v>0.55000000000000004</v>
      </c>
      <c r="P71" s="166">
        <f t="shared" si="12"/>
        <v>7909.1999999999989</v>
      </c>
      <c r="Q71" s="166">
        <f t="shared" si="9"/>
        <v>7909.1999999999989</v>
      </c>
      <c r="R71" s="206"/>
      <c r="S71" s="167">
        <f t="shared" si="10"/>
        <v>2.741376484639093E-2</v>
      </c>
      <c r="T71" s="168">
        <f t="shared" si="13"/>
        <v>7909.1999999999989</v>
      </c>
      <c r="U71" s="282">
        <f t="shared" si="11"/>
        <v>7909.1999999999989</v>
      </c>
      <c r="Y71" s="152"/>
      <c r="Z71" s="282"/>
      <c r="AA71" s="171">
        <f>T71</f>
        <v>7909.1999999999989</v>
      </c>
      <c r="AB71" s="280"/>
      <c r="AD71" s="169">
        <f>T71</f>
        <v>7909.1999999999989</v>
      </c>
      <c r="AI71" s="152"/>
    </row>
    <row r="72" spans="1:35" x14ac:dyDescent="0.3">
      <c r="A72" s="157" t="s">
        <v>634</v>
      </c>
      <c r="B72" s="157" t="s">
        <v>65</v>
      </c>
      <c r="C72" s="157" t="s">
        <v>517</v>
      </c>
      <c r="D72" s="157" t="s">
        <v>26</v>
      </c>
      <c r="E72" s="157" t="s">
        <v>520</v>
      </c>
      <c r="F72" s="158" t="s">
        <v>635</v>
      </c>
      <c r="G72" s="157">
        <v>1</v>
      </c>
      <c r="H72" s="157" t="s">
        <v>24</v>
      </c>
      <c r="I72" s="182">
        <v>1</v>
      </c>
      <c r="J72" s="183"/>
      <c r="K72" s="183"/>
      <c r="L72" s="2239"/>
      <c r="M72" s="163">
        <v>1</v>
      </c>
      <c r="N72" s="166">
        <v>5500</v>
      </c>
      <c r="O72" s="173">
        <v>0.15</v>
      </c>
      <c r="P72" s="166">
        <f t="shared" si="12"/>
        <v>4675</v>
      </c>
      <c r="Q72" s="166">
        <f t="shared" si="9"/>
        <v>4675</v>
      </c>
      <c r="R72" s="206" t="e">
        <f>(Q72+#REF!+Q73)/E44*1000</f>
        <v>#REF!</v>
      </c>
      <c r="S72" s="178">
        <f t="shared" si="10"/>
        <v>1.6203832329044356E-2</v>
      </c>
      <c r="T72" s="168">
        <f t="shared" si="13"/>
        <v>4675</v>
      </c>
      <c r="U72" s="282">
        <f t="shared" si="11"/>
        <v>4675</v>
      </c>
      <c r="Y72" s="152"/>
      <c r="Z72" s="282">
        <f>T72</f>
        <v>4675</v>
      </c>
      <c r="AA72" s="171"/>
      <c r="AB72" s="280"/>
      <c r="AE72" s="169">
        <f>T72</f>
        <v>4675</v>
      </c>
      <c r="AI72" s="152"/>
    </row>
    <row r="73" spans="1:35" x14ac:dyDescent="0.3">
      <c r="A73" s="157" t="s">
        <v>634</v>
      </c>
      <c r="B73" s="157" t="s">
        <v>66</v>
      </c>
      <c r="C73" s="157" t="s">
        <v>517</v>
      </c>
      <c r="D73" s="157" t="s">
        <v>27</v>
      </c>
      <c r="E73" s="157" t="s">
        <v>524</v>
      </c>
      <c r="F73" s="158" t="s">
        <v>636</v>
      </c>
      <c r="G73" s="157">
        <v>21</v>
      </c>
      <c r="H73" s="157" t="s">
        <v>24</v>
      </c>
      <c r="I73" s="185"/>
      <c r="J73" s="160"/>
      <c r="K73" s="176">
        <v>20</v>
      </c>
      <c r="L73" s="177"/>
      <c r="M73" s="157">
        <v>1</v>
      </c>
      <c r="N73" s="166">
        <v>3222.65</v>
      </c>
      <c r="O73" s="173">
        <v>0.2</v>
      </c>
      <c r="P73" s="186">
        <f t="shared" si="12"/>
        <v>2578.1200000000003</v>
      </c>
      <c r="Q73" s="166">
        <f t="shared" si="9"/>
        <v>54140.520000000004</v>
      </c>
      <c r="R73" s="206"/>
      <c r="S73" s="178">
        <f t="shared" si="10"/>
        <v>0.18765431193310644</v>
      </c>
      <c r="T73" s="168">
        <f t="shared" si="13"/>
        <v>54140.520000000004</v>
      </c>
      <c r="U73" s="282">
        <f t="shared" si="11"/>
        <v>54140.520000000004</v>
      </c>
      <c r="Y73" s="152"/>
      <c r="Z73" s="282">
        <f>T73</f>
        <v>54140.520000000004</v>
      </c>
      <c r="AA73" s="152"/>
      <c r="AB73" s="280"/>
      <c r="AF73" s="169">
        <f>T73</f>
        <v>54140.520000000004</v>
      </c>
      <c r="AI73" s="152"/>
    </row>
    <row r="74" spans="1:35" x14ac:dyDescent="0.3">
      <c r="A74" s="157" t="s">
        <v>634</v>
      </c>
      <c r="B74" s="157" t="s">
        <v>31</v>
      </c>
      <c r="C74" s="157" t="s">
        <v>525</v>
      </c>
      <c r="D74" s="157" t="s">
        <v>32</v>
      </c>
      <c r="E74" s="157" t="s">
        <v>526</v>
      </c>
      <c r="F74" s="158"/>
      <c r="G74" s="157">
        <v>5</v>
      </c>
      <c r="H74" s="157" t="s">
        <v>33</v>
      </c>
      <c r="I74" s="284">
        <v>5</v>
      </c>
      <c r="J74" s="285">
        <v>5</v>
      </c>
      <c r="K74" s="285">
        <v>5</v>
      </c>
      <c r="L74" s="161">
        <v>5</v>
      </c>
      <c r="M74" s="157">
        <v>1</v>
      </c>
      <c r="N74" s="166">
        <f>265*8</f>
        <v>2120</v>
      </c>
      <c r="O74" s="173">
        <v>0.4</v>
      </c>
      <c r="P74" s="186">
        <f t="shared" si="12"/>
        <v>1272</v>
      </c>
      <c r="Q74" s="166">
        <f t="shared" si="9"/>
        <v>6360</v>
      </c>
      <c r="R74" s="206"/>
      <c r="S74" s="187">
        <f t="shared" si="10"/>
        <v>2.2044144088282803E-2</v>
      </c>
      <c r="T74" s="168">
        <f t="shared" si="13"/>
        <v>6360</v>
      </c>
      <c r="U74" s="283"/>
      <c r="W74" s="169">
        <f>T74</f>
        <v>6360</v>
      </c>
      <c r="Y74" s="152"/>
      <c r="Z74" s="283">
        <f>W74</f>
        <v>6360</v>
      </c>
      <c r="AA74" s="152"/>
      <c r="AB74" s="280"/>
      <c r="AI74" s="171">
        <f>T74</f>
        <v>6360</v>
      </c>
    </row>
    <row r="75" spans="1:35" x14ac:dyDescent="0.3">
      <c r="A75" s="157" t="s">
        <v>634</v>
      </c>
      <c r="B75" s="157" t="s">
        <v>35</v>
      </c>
      <c r="C75" s="157" t="s">
        <v>637</v>
      </c>
      <c r="D75" s="157" t="s">
        <v>21</v>
      </c>
      <c r="E75" s="157" t="s">
        <v>518</v>
      </c>
      <c r="F75" s="158" t="s">
        <v>519</v>
      </c>
      <c r="G75" s="157">
        <v>3</v>
      </c>
      <c r="H75" s="157" t="s">
        <v>24</v>
      </c>
      <c r="I75" s="182">
        <v>3</v>
      </c>
      <c r="J75" s="183"/>
      <c r="K75" s="183"/>
      <c r="L75" s="2239"/>
      <c r="M75" s="157">
        <v>1</v>
      </c>
      <c r="N75" s="473">
        <v>12150</v>
      </c>
      <c r="O75" s="165">
        <v>0.4</v>
      </c>
      <c r="P75" s="186">
        <f t="shared" si="12"/>
        <v>7290</v>
      </c>
      <c r="Q75" s="166">
        <f t="shared" si="9"/>
        <v>21870</v>
      </c>
      <c r="R75" s="606"/>
      <c r="S75" s="167">
        <f t="shared" si="10"/>
        <v>7.5802740756406431E-2</v>
      </c>
      <c r="T75" s="168">
        <f t="shared" si="13"/>
        <v>21870</v>
      </c>
      <c r="U75" s="283">
        <f t="shared" si="11"/>
        <v>21870</v>
      </c>
      <c r="Y75" s="152"/>
      <c r="Z75" s="607"/>
      <c r="AA75" s="171">
        <f>T75</f>
        <v>21870</v>
      </c>
      <c r="AB75" s="280"/>
      <c r="AG75" s="169">
        <f>T75</f>
        <v>21870</v>
      </c>
      <c r="AI75" s="152"/>
    </row>
    <row r="76" spans="1:35" x14ac:dyDescent="0.3">
      <c r="A76" s="157" t="s">
        <v>634</v>
      </c>
      <c r="B76" s="157" t="s">
        <v>35</v>
      </c>
      <c r="C76" s="157" t="s">
        <v>637</v>
      </c>
      <c r="D76" s="157" t="s">
        <v>26</v>
      </c>
      <c r="E76" s="157" t="s">
        <v>520</v>
      </c>
      <c r="F76" s="158" t="s">
        <v>635</v>
      </c>
      <c r="G76" s="157">
        <v>2</v>
      </c>
      <c r="H76" s="157" t="s">
        <v>24</v>
      </c>
      <c r="I76" s="182">
        <v>2</v>
      </c>
      <c r="J76" s="183"/>
      <c r="K76" s="183"/>
      <c r="L76" s="2239"/>
      <c r="M76" s="157">
        <v>1</v>
      </c>
      <c r="N76" s="473">
        <v>15000</v>
      </c>
      <c r="O76" s="165">
        <v>0.49</v>
      </c>
      <c r="P76" s="186">
        <f t="shared" si="12"/>
        <v>7650</v>
      </c>
      <c r="Q76" s="166">
        <f t="shared" si="9"/>
        <v>15300</v>
      </c>
      <c r="R76" s="606"/>
      <c r="S76" s="178">
        <f t="shared" si="10"/>
        <v>5.3030723985963348E-2</v>
      </c>
      <c r="T76" s="168">
        <f t="shared" si="13"/>
        <v>15300</v>
      </c>
      <c r="U76" s="283">
        <f t="shared" si="11"/>
        <v>15300</v>
      </c>
      <c r="Y76" s="152"/>
      <c r="Z76" s="607">
        <f>T76</f>
        <v>15300</v>
      </c>
      <c r="AA76" s="152"/>
      <c r="AB76" s="280"/>
      <c r="AG76" s="169">
        <f>T76</f>
        <v>15300</v>
      </c>
      <c r="AI76" s="152"/>
    </row>
    <row r="77" spans="1:35" x14ac:dyDescent="0.3">
      <c r="A77" s="157" t="s">
        <v>634</v>
      </c>
      <c r="B77" s="157" t="s">
        <v>67</v>
      </c>
      <c r="C77" s="157" t="s">
        <v>637</v>
      </c>
      <c r="D77" s="157" t="s">
        <v>21</v>
      </c>
      <c r="E77" s="157" t="s">
        <v>518</v>
      </c>
      <c r="F77" s="158" t="s">
        <v>519</v>
      </c>
      <c r="G77" s="157">
        <v>2</v>
      </c>
      <c r="H77" s="157" t="s">
        <v>24</v>
      </c>
      <c r="I77" s="182">
        <v>2</v>
      </c>
      <c r="J77" s="183"/>
      <c r="K77" s="183"/>
      <c r="L77" s="2239"/>
      <c r="M77" s="157">
        <v>1</v>
      </c>
      <c r="N77" s="473">
        <v>8980</v>
      </c>
      <c r="O77" s="165">
        <v>0.25</v>
      </c>
      <c r="P77" s="476">
        <f t="shared" si="12"/>
        <v>6735</v>
      </c>
      <c r="Q77" s="473">
        <f t="shared" si="9"/>
        <v>13470</v>
      </c>
      <c r="R77" s="606"/>
      <c r="S77" s="608">
        <f t="shared" si="10"/>
        <v>4.668783346999518E-2</v>
      </c>
      <c r="T77" s="168">
        <f t="shared" si="13"/>
        <v>13470</v>
      </c>
      <c r="U77" s="607">
        <f t="shared" si="11"/>
        <v>13470</v>
      </c>
      <c r="Y77" s="152"/>
      <c r="Z77" s="607"/>
      <c r="AA77" s="171">
        <f>T77</f>
        <v>13470</v>
      </c>
      <c r="AB77" s="280"/>
      <c r="AH77" s="169">
        <f>T77</f>
        <v>13470</v>
      </c>
      <c r="AI77" s="171"/>
    </row>
    <row r="78" spans="1:35" x14ac:dyDescent="0.3">
      <c r="A78" s="157" t="s">
        <v>634</v>
      </c>
      <c r="B78" s="157" t="s">
        <v>67</v>
      </c>
      <c r="C78" s="157" t="s">
        <v>637</v>
      </c>
      <c r="D78" s="157" t="s">
        <v>26</v>
      </c>
      <c r="E78" s="157" t="s">
        <v>520</v>
      </c>
      <c r="F78" s="158" t="s">
        <v>635</v>
      </c>
      <c r="G78" s="157">
        <v>2</v>
      </c>
      <c r="H78" s="157" t="s">
        <v>24</v>
      </c>
      <c r="I78" s="182">
        <v>2</v>
      </c>
      <c r="J78" s="183"/>
      <c r="K78" s="183"/>
      <c r="L78" s="2239"/>
      <c r="M78" s="157">
        <v>1</v>
      </c>
      <c r="N78" s="473">
        <v>14500</v>
      </c>
      <c r="O78" s="165">
        <v>0.25</v>
      </c>
      <c r="P78" s="476">
        <f t="shared" si="12"/>
        <v>10875</v>
      </c>
      <c r="Q78" s="473">
        <f t="shared" si="9"/>
        <v>21750</v>
      </c>
      <c r="R78" s="606"/>
      <c r="S78" s="178">
        <f t="shared" si="10"/>
        <v>7.5386813509457695E-2</v>
      </c>
      <c r="T78" s="168">
        <f t="shared" si="13"/>
        <v>21750</v>
      </c>
      <c r="U78" s="607">
        <f t="shared" si="11"/>
        <v>21750</v>
      </c>
      <c r="Y78" s="152"/>
      <c r="Z78" s="607">
        <f>T78</f>
        <v>21750</v>
      </c>
      <c r="AA78" s="152"/>
      <c r="AB78" s="280"/>
      <c r="AH78" s="169">
        <f>T78</f>
        <v>21750</v>
      </c>
      <c r="AI78" s="171"/>
    </row>
    <row r="79" spans="1:35" x14ac:dyDescent="0.3">
      <c r="A79" s="157" t="s">
        <v>634</v>
      </c>
      <c r="B79" s="157" t="s">
        <v>67</v>
      </c>
      <c r="C79" s="157" t="s">
        <v>592</v>
      </c>
      <c r="D79" s="157" t="s">
        <v>68</v>
      </c>
      <c r="E79" s="157" t="s">
        <v>520</v>
      </c>
      <c r="F79" s="158" t="s">
        <v>638</v>
      </c>
      <c r="G79" s="157">
        <v>10</v>
      </c>
      <c r="H79" s="157" t="s">
        <v>24</v>
      </c>
      <c r="I79" s="182">
        <v>10</v>
      </c>
      <c r="J79" s="183"/>
      <c r="K79" s="183"/>
      <c r="L79" s="2239"/>
      <c r="M79" s="157">
        <v>1</v>
      </c>
      <c r="N79" s="473">
        <v>1800</v>
      </c>
      <c r="O79" s="165">
        <v>0.2</v>
      </c>
      <c r="P79" s="476">
        <f t="shared" si="12"/>
        <v>1440</v>
      </c>
      <c r="Q79" s="473">
        <f t="shared" si="9"/>
        <v>14400</v>
      </c>
      <c r="R79" s="606"/>
      <c r="S79" s="178">
        <f t="shared" si="10"/>
        <v>4.9911269633847857E-2</v>
      </c>
      <c r="T79" s="168">
        <f t="shared" si="13"/>
        <v>14400</v>
      </c>
      <c r="U79" s="607"/>
      <c r="W79" s="169">
        <f>T79</f>
        <v>14400</v>
      </c>
      <c r="Y79" s="152"/>
      <c r="Z79" s="607">
        <f>T79</f>
        <v>14400</v>
      </c>
      <c r="AA79" s="152"/>
      <c r="AB79" s="280"/>
      <c r="AH79" s="169">
        <f>T79</f>
        <v>14400</v>
      </c>
      <c r="AI79" s="171"/>
    </row>
    <row r="80" spans="1:35" x14ac:dyDescent="0.3">
      <c r="A80" s="157"/>
      <c r="B80" s="157"/>
      <c r="C80" s="157"/>
      <c r="D80" s="157"/>
      <c r="E80" s="157"/>
      <c r="F80" s="158"/>
      <c r="G80" s="157"/>
      <c r="H80" s="157"/>
      <c r="I80" s="1"/>
      <c r="K80" s="1"/>
      <c r="L80" s="286"/>
      <c r="M80" s="157"/>
      <c r="N80" s="473"/>
      <c r="O80" s="165"/>
      <c r="P80" s="476"/>
      <c r="Q80" s="473"/>
      <c r="R80" s="606"/>
      <c r="S80" s="609"/>
      <c r="T80" s="478"/>
      <c r="U80" s="607"/>
      <c r="Y80" s="152"/>
      <c r="Z80" s="607"/>
      <c r="AA80" s="152"/>
      <c r="AB80" s="280"/>
      <c r="AI80" s="152"/>
    </row>
    <row r="81" spans="1:35" x14ac:dyDescent="0.3">
      <c r="A81" s="172"/>
      <c r="B81" s="157"/>
      <c r="C81" s="190"/>
      <c r="D81" s="190"/>
      <c r="E81" s="190"/>
      <c r="F81" s="191"/>
      <c r="G81" s="190"/>
      <c r="H81" s="190"/>
      <c r="I81" s="245"/>
      <c r="J81" s="245"/>
      <c r="K81" s="245"/>
      <c r="L81" s="287"/>
      <c r="M81" s="190"/>
      <c r="N81" s="194"/>
      <c r="O81" s="195"/>
      <c r="P81" s="288"/>
      <c r="Q81" s="194"/>
      <c r="R81" s="206"/>
      <c r="S81" s="393"/>
      <c r="T81" s="168"/>
      <c r="U81" s="280"/>
      <c r="Y81" s="152"/>
      <c r="Z81" s="280"/>
      <c r="AA81" s="152"/>
      <c r="AB81" s="280"/>
      <c r="AI81" s="152"/>
    </row>
    <row r="82" spans="1:35" x14ac:dyDescent="0.3">
      <c r="A82" s="108" t="s">
        <v>634</v>
      </c>
      <c r="B82" s="108" t="s">
        <v>528</v>
      </c>
      <c r="C82" s="192"/>
      <c r="D82" s="193"/>
      <c r="E82" s="193"/>
      <c r="F82" s="244"/>
      <c r="G82" s="193"/>
      <c r="H82" s="193"/>
      <c r="I82" s="252"/>
      <c r="J82" s="252"/>
      <c r="K82" s="252"/>
      <c r="L82" s="252"/>
      <c r="M82" s="193"/>
      <c r="N82" s="246"/>
      <c r="O82" s="196"/>
      <c r="P82" s="186"/>
      <c r="Q82" s="166">
        <f>P82*M82*G82</f>
        <v>0</v>
      </c>
      <c r="R82" s="290"/>
      <c r="S82" s="256">
        <f>Q82/Q85</f>
        <v>0</v>
      </c>
      <c r="T82" s="168">
        <f>Q82</f>
        <v>0</v>
      </c>
      <c r="U82" s="280"/>
      <c r="X82" s="169"/>
      <c r="Y82" s="152"/>
      <c r="Z82" s="280"/>
      <c r="AA82" s="171">
        <f>X82</f>
        <v>0</v>
      </c>
      <c r="AB82" s="280"/>
      <c r="AI82" s="152"/>
    </row>
    <row r="83" spans="1:35" x14ac:dyDescent="0.3">
      <c r="A83" s="108" t="s">
        <v>634</v>
      </c>
      <c r="B83" s="108" t="s">
        <v>529</v>
      </c>
      <c r="C83" s="289"/>
      <c r="D83" s="252"/>
      <c r="E83" s="252"/>
      <c r="F83" s="253"/>
      <c r="G83" s="252"/>
      <c r="H83" s="252"/>
      <c r="I83" s="254"/>
      <c r="J83" s="254"/>
      <c r="K83" s="254"/>
      <c r="L83" s="254"/>
      <c r="M83" s="252"/>
      <c r="N83" s="255"/>
      <c r="O83" s="256"/>
      <c r="P83" s="290"/>
      <c r="Q83" s="257">
        <v>45000</v>
      </c>
      <c r="R83" s="480"/>
      <c r="S83" s="291">
        <f>Q83/Q85</f>
        <v>0.1559358998870454</v>
      </c>
      <c r="T83" s="168">
        <f>Q83</f>
        <v>45000</v>
      </c>
      <c r="U83" s="280"/>
      <c r="Y83" s="171">
        <f>T83</f>
        <v>45000</v>
      </c>
      <c r="Z83" s="280"/>
      <c r="AA83" s="152"/>
      <c r="AB83" s="280"/>
      <c r="AI83" s="152"/>
    </row>
    <row r="84" spans="1:35" x14ac:dyDescent="0.3">
      <c r="I84" s="115">
        <f>I85/M85</f>
        <v>0.58333333333333337</v>
      </c>
      <c r="J84" s="115">
        <f>J85/M85</f>
        <v>5.9523809523809521E-2</v>
      </c>
      <c r="K84" s="115">
        <f>K85/M85</f>
        <v>0.29761904761904762</v>
      </c>
      <c r="L84" s="115">
        <f>L85/M85</f>
        <v>5.9523809523809521E-2</v>
      </c>
      <c r="T84" s="325"/>
      <c r="U84" s="368"/>
      <c r="V84" s="208"/>
      <c r="W84" s="208"/>
      <c r="X84" s="208"/>
      <c r="Y84" s="210"/>
      <c r="Z84" s="368"/>
      <c r="AA84" s="210"/>
      <c r="AB84" s="368"/>
      <c r="AC84" s="208"/>
      <c r="AD84" s="208"/>
      <c r="AE84" s="208"/>
      <c r="AF84" s="208"/>
      <c r="AG84" s="208"/>
      <c r="AH84" s="208"/>
      <c r="AI84" s="210"/>
    </row>
    <row r="85" spans="1:35" x14ac:dyDescent="0.3">
      <c r="A85" s="212" t="s">
        <v>531</v>
      </c>
      <c r="B85" s="213"/>
      <c r="C85" s="213"/>
      <c r="D85" s="213"/>
      <c r="E85" s="213"/>
      <c r="F85" s="214"/>
      <c r="G85" s="213"/>
      <c r="H85" s="213"/>
      <c r="I85" s="213">
        <f>I74+I72+I71+I70+I69+I68+I67+I75+I76+I77+I78+I79</f>
        <v>49</v>
      </c>
      <c r="J85" s="213">
        <f>J74</f>
        <v>5</v>
      </c>
      <c r="K85" s="213">
        <f>K74+K73</f>
        <v>25</v>
      </c>
      <c r="L85" s="213">
        <f>L74</f>
        <v>5</v>
      </c>
      <c r="M85" s="213">
        <f>SUM(I85:L85)</f>
        <v>84</v>
      </c>
      <c r="N85" s="215"/>
      <c r="O85" s="216"/>
      <c r="P85" s="215"/>
      <c r="Q85" s="481">
        <f>SUM(Q67:Q84)</f>
        <v>288580.11550000001</v>
      </c>
      <c r="R85" s="481"/>
      <c r="S85" s="218">
        <f>SUM(S67:S83)</f>
        <v>1.000199290315122</v>
      </c>
      <c r="T85" s="610">
        <f>SUM(T67:T84)</f>
        <v>288580.11550000001</v>
      </c>
      <c r="U85" s="220">
        <f t="shared" ref="U85:AA85" si="14">SUM(U67:U83)</f>
        <v>222820.11550000001</v>
      </c>
      <c r="V85" s="221">
        <f t="shared" si="14"/>
        <v>0</v>
      </c>
      <c r="W85" s="221">
        <f t="shared" si="14"/>
        <v>20760</v>
      </c>
      <c r="X85" s="221">
        <f t="shared" si="14"/>
        <v>0</v>
      </c>
      <c r="Y85" s="223">
        <f t="shared" si="14"/>
        <v>45000</v>
      </c>
      <c r="Z85" s="222">
        <f t="shared" si="14"/>
        <v>178185.52000000002</v>
      </c>
      <c r="AA85" s="223">
        <f t="shared" si="14"/>
        <v>65394.595499999996</v>
      </c>
      <c r="AB85" s="614">
        <f>SUM(AB67:AB83)</f>
        <v>15845.395499999997</v>
      </c>
      <c r="AC85" s="615">
        <f>SUM(AC67:AC83)</f>
        <v>67860</v>
      </c>
      <c r="AD85" s="615">
        <f>SUM(AD67:AD83)</f>
        <v>7909.1999999999989</v>
      </c>
      <c r="AE85" s="615">
        <f>SUM(AE67:AE84)</f>
        <v>4675</v>
      </c>
      <c r="AF85" s="615">
        <f>SUM(AF67:AF84)</f>
        <v>54140.520000000004</v>
      </c>
      <c r="AG85" s="615">
        <f>SUM(AG67:AG84)</f>
        <v>37170</v>
      </c>
      <c r="AH85" s="616">
        <f>SUM(AH67:AH84)</f>
        <v>49620</v>
      </c>
      <c r="AI85" s="227">
        <f>SUM(AI67:AI84)</f>
        <v>6360</v>
      </c>
    </row>
    <row r="86" spans="1:35" x14ac:dyDescent="0.3">
      <c r="A86" s="228" t="s">
        <v>532</v>
      </c>
      <c r="B86" s="229"/>
      <c r="C86" s="229"/>
      <c r="D86" s="229"/>
      <c r="E86" s="229"/>
      <c r="F86" s="230"/>
      <c r="G86" s="229"/>
      <c r="H86" s="229"/>
      <c r="I86" s="229">
        <f>I74+I72+I71+I70+I69+I68+I67+I75+I76+I77+I78+I79</f>
        <v>49</v>
      </c>
      <c r="J86" s="229">
        <f>I72+I71+I70+I69+I68+I67+J74+I75+I76+I77+I78+I79</f>
        <v>49</v>
      </c>
      <c r="K86" s="229">
        <f>K74+K73+I72+I71+I69+I68+I67+I75+I76+I77+I78+I79</f>
        <v>49</v>
      </c>
      <c r="L86" s="229">
        <f>K73+I72+I71+I69+I68+I67+L74+I75+I76+I77+I78+I79</f>
        <v>49</v>
      </c>
      <c r="M86" s="229">
        <f>SUM(I86:L86)</f>
        <v>196</v>
      </c>
      <c r="N86" s="231"/>
      <c r="O86" s="232"/>
      <c r="P86" s="231"/>
      <c r="Q86" s="231"/>
      <c r="R86" s="231"/>
      <c r="S86" s="233"/>
      <c r="T86" s="234"/>
      <c r="U86" s="235">
        <f>U85/T85</f>
        <v>0.77212567163173096</v>
      </c>
      <c r="V86" s="236">
        <f>V85/T85</f>
        <v>0</v>
      </c>
      <c r="W86" s="236">
        <f>W85/T85</f>
        <v>7.1938428481223615E-2</v>
      </c>
      <c r="X86" s="236">
        <f>X85/T85</f>
        <v>0</v>
      </c>
      <c r="Y86" s="297">
        <f>Y85/T85</f>
        <v>0.1559358998870454</v>
      </c>
      <c r="Z86" s="298">
        <f>Z85/T85</f>
        <v>0.61745598684535841</v>
      </c>
      <c r="AA86" s="297">
        <f>AA85/T85</f>
        <v>0.2266081132675962</v>
      </c>
      <c r="AB86" s="573"/>
      <c r="AC86" s="487"/>
      <c r="AD86" s="487"/>
      <c r="AE86" s="487"/>
      <c r="AF86" s="487"/>
      <c r="AG86" s="487"/>
      <c r="AH86" s="487"/>
      <c r="AI86" s="242"/>
    </row>
    <row r="87" spans="1:35" x14ac:dyDescent="0.3">
      <c r="A87" s="243" t="s">
        <v>533</v>
      </c>
      <c r="B87" s="193"/>
      <c r="C87" s="193"/>
      <c r="D87" s="193"/>
      <c r="E87" s="193"/>
      <c r="F87" s="244"/>
      <c r="G87" s="193"/>
      <c r="H87" s="193"/>
      <c r="I87" s="2187">
        <v>0.25</v>
      </c>
      <c r="J87" s="245"/>
      <c r="K87" s="245"/>
      <c r="L87" s="245"/>
      <c r="M87" s="193"/>
      <c r="N87" s="246"/>
      <c r="O87" s="196"/>
      <c r="P87" s="246"/>
      <c r="Q87" s="194">
        <f>U85</f>
        <v>222820.11550000001</v>
      </c>
      <c r="R87" s="288"/>
      <c r="S87" s="247">
        <f>Q87/Q92</f>
        <v>0.77212567163173096</v>
      </c>
      <c r="Y87" s="248"/>
      <c r="Z87" s="357">
        <f>I69+I70+I72+K73+I76+I78+I79</f>
        <v>56</v>
      </c>
      <c r="AA87" s="358">
        <f>I67+I68+I71+I75+I77</f>
        <v>8</v>
      </c>
    </row>
    <row r="88" spans="1:35" x14ac:dyDescent="0.3">
      <c r="A88" s="251" t="s">
        <v>11</v>
      </c>
      <c r="B88" s="252"/>
      <c r="C88" s="252"/>
      <c r="D88" s="252"/>
      <c r="E88" s="252"/>
      <c r="F88" s="253"/>
      <c r="G88" s="252"/>
      <c r="H88" s="252"/>
      <c r="I88" s="254"/>
      <c r="J88" s="254"/>
      <c r="K88" s="254"/>
      <c r="L88" s="254"/>
      <c r="M88" s="252"/>
      <c r="N88" s="255"/>
      <c r="O88" s="256"/>
      <c r="P88" s="255"/>
      <c r="Q88" s="257">
        <f>V85</f>
        <v>0</v>
      </c>
      <c r="R88" s="290"/>
      <c r="S88" s="256">
        <f>Q88/Q92</f>
        <v>0</v>
      </c>
      <c r="T88" s="574">
        <f>Q85/M85</f>
        <v>3435.4775654761906</v>
      </c>
      <c r="U88" s="613" t="s">
        <v>535</v>
      </c>
      <c r="Z88" s="195">
        <f>Z87/M85</f>
        <v>0.66666666666666663</v>
      </c>
      <c r="AA88" s="247">
        <f>AA87/M85</f>
        <v>9.5238095238095233E-2</v>
      </c>
    </row>
    <row r="89" spans="1:35" x14ac:dyDescent="0.3">
      <c r="A89" s="251" t="s">
        <v>536</v>
      </c>
      <c r="B89" s="252"/>
      <c r="C89" s="252"/>
      <c r="D89" s="252"/>
      <c r="E89" s="252"/>
      <c r="F89" s="253"/>
      <c r="G89" s="252"/>
      <c r="H89" s="252"/>
      <c r="I89" s="254"/>
      <c r="J89" s="254"/>
      <c r="K89" s="254"/>
      <c r="L89" s="254"/>
      <c r="M89" s="252"/>
      <c r="N89" s="255"/>
      <c r="O89" s="256"/>
      <c r="P89" s="255"/>
      <c r="Q89" s="257">
        <f>W85</f>
        <v>20760</v>
      </c>
      <c r="R89" s="290"/>
      <c r="S89" s="262">
        <f>Q89/Q92</f>
        <v>7.1938428481223615E-2</v>
      </c>
      <c r="V89" s="263"/>
      <c r="X89" s="99"/>
      <c r="Z89" s="2265" t="s">
        <v>537</v>
      </c>
      <c r="AA89" s="2265"/>
    </row>
    <row r="90" spans="1:35" x14ac:dyDescent="0.3">
      <c r="A90" s="251" t="s">
        <v>529</v>
      </c>
      <c r="B90" s="252"/>
      <c r="C90" s="252"/>
      <c r="D90" s="252"/>
      <c r="E90" s="252"/>
      <c r="F90" s="253"/>
      <c r="G90" s="252"/>
      <c r="H90" s="252"/>
      <c r="I90" s="254"/>
      <c r="J90" s="254"/>
      <c r="K90" s="254"/>
      <c r="L90" s="254"/>
      <c r="M90" s="252"/>
      <c r="N90" s="255"/>
      <c r="O90" s="256"/>
      <c r="P90" s="255"/>
      <c r="Q90" s="257">
        <f>Y85</f>
        <v>45000</v>
      </c>
      <c r="R90" s="290"/>
      <c r="S90" s="262">
        <f>Q90/Q92</f>
        <v>0.1559358998870454</v>
      </c>
      <c r="U90" s="263"/>
      <c r="V90" s="263"/>
    </row>
    <row r="91" spans="1:35" x14ac:dyDescent="0.3">
      <c r="A91" s="251" t="s">
        <v>528</v>
      </c>
      <c r="B91" s="252"/>
      <c r="C91" s="252"/>
      <c r="D91" s="252"/>
      <c r="E91" s="252"/>
      <c r="F91" s="253"/>
      <c r="G91" s="252"/>
      <c r="H91" s="252"/>
      <c r="I91" s="254"/>
      <c r="J91" s="254"/>
      <c r="K91" s="254"/>
      <c r="L91" s="254"/>
      <c r="M91" s="252"/>
      <c r="N91" s="255"/>
      <c r="O91" s="256"/>
      <c r="P91" s="255"/>
      <c r="Q91" s="257">
        <f>X85</f>
        <v>0</v>
      </c>
      <c r="R91" s="290"/>
      <c r="S91" s="262">
        <f>Q91/Q92</f>
        <v>0</v>
      </c>
    </row>
    <row r="92" spans="1:35" x14ac:dyDescent="0.3">
      <c r="A92" s="251"/>
      <c r="B92" s="252"/>
      <c r="C92" s="252"/>
      <c r="D92" s="252"/>
      <c r="E92" s="252"/>
      <c r="F92" s="253"/>
      <c r="G92" s="252"/>
      <c r="H92" s="252"/>
      <c r="I92" s="254"/>
      <c r="J92" s="254"/>
      <c r="K92" s="254"/>
      <c r="L92" s="254"/>
      <c r="M92" s="252"/>
      <c r="N92" s="255"/>
      <c r="O92" s="256"/>
      <c r="P92" s="255"/>
      <c r="Q92" s="264">
        <f>SUM(Q87:Q91)</f>
        <v>288580.11550000001</v>
      </c>
      <c r="R92" s="490"/>
      <c r="S92" s="262">
        <f>SUM(S87:S91)</f>
        <v>0.99999999999999989</v>
      </c>
    </row>
    <row r="93" spans="1:35" x14ac:dyDescent="0.3">
      <c r="B93" s="2"/>
    </row>
    <row r="94" spans="1:35" x14ac:dyDescent="0.3">
      <c r="B94" s="2"/>
    </row>
    <row r="95" spans="1:35" x14ac:dyDescent="0.3">
      <c r="B95" s="2"/>
    </row>
    <row r="96" spans="1:35" x14ac:dyDescent="0.3">
      <c r="B96" s="2"/>
      <c r="E96" s="1" t="s">
        <v>543</v>
      </c>
      <c r="F96" s="2" t="s">
        <v>628</v>
      </c>
      <c r="G96" s="1" t="s">
        <v>545</v>
      </c>
      <c r="H96" s="1"/>
      <c r="I96" s="304">
        <v>0.56000000000000005</v>
      </c>
      <c r="J96" s="304"/>
    </row>
    <row r="97" spans="1:35" x14ac:dyDescent="0.3">
      <c r="B97" s="2"/>
      <c r="E97" s="1" t="s">
        <v>473</v>
      </c>
      <c r="F97" s="2" t="s">
        <v>617</v>
      </c>
      <c r="G97" s="1" t="s">
        <v>473</v>
      </c>
      <c r="H97" s="1"/>
      <c r="I97" s="1">
        <v>25</v>
      </c>
      <c r="J97" s="1"/>
    </row>
    <row r="98" spans="1:35" x14ac:dyDescent="0.3">
      <c r="B98" s="2"/>
      <c r="E98" s="1" t="s">
        <v>475</v>
      </c>
      <c r="F98" s="2" t="s">
        <v>631</v>
      </c>
      <c r="G98" s="1" t="s">
        <v>475</v>
      </c>
      <c r="H98" s="1"/>
      <c r="I98" s="95">
        <v>1407</v>
      </c>
      <c r="J98" s="95"/>
    </row>
    <row r="99" spans="1:35" ht="18" x14ac:dyDescent="0.35">
      <c r="A99" s="118"/>
      <c r="B99" s="2"/>
      <c r="E99" s="1" t="s">
        <v>477</v>
      </c>
      <c r="F99" s="2" t="s">
        <v>632</v>
      </c>
      <c r="G99" s="1" t="s">
        <v>477</v>
      </c>
      <c r="H99" s="1"/>
      <c r="I99" s="95">
        <v>16333567</v>
      </c>
      <c r="J99" s="95"/>
    </row>
    <row r="100" spans="1:35" ht="18" x14ac:dyDescent="0.35">
      <c r="A100" s="118"/>
      <c r="B100" s="2"/>
    </row>
    <row r="101" spans="1:35" ht="18" x14ac:dyDescent="0.35">
      <c r="A101" s="118" t="s">
        <v>549</v>
      </c>
      <c r="B101" s="2"/>
      <c r="S101" s="98"/>
    </row>
    <row r="102" spans="1:35" ht="18" x14ac:dyDescent="0.35">
      <c r="A102" s="118"/>
      <c r="B102" s="2"/>
      <c r="S102" s="98"/>
    </row>
    <row r="103" spans="1:35" x14ac:dyDescent="0.3">
      <c r="A103" s="2335" t="s">
        <v>480</v>
      </c>
      <c r="B103" s="2336"/>
      <c r="C103" s="2336"/>
      <c r="D103" s="2336"/>
      <c r="E103" s="2336"/>
      <c r="F103" s="2336"/>
      <c r="G103" s="2336"/>
      <c r="H103" s="2336"/>
      <c r="I103" s="2336"/>
      <c r="J103" s="2336"/>
      <c r="K103" s="2336"/>
      <c r="L103" s="2336"/>
      <c r="M103" s="2336"/>
      <c r="N103" s="2336"/>
      <c r="O103" s="2336"/>
      <c r="P103" s="2336"/>
      <c r="Q103" s="2336"/>
      <c r="R103" s="2336"/>
      <c r="S103" s="2337"/>
      <c r="T103" s="2374" t="s">
        <v>584</v>
      </c>
      <c r="U103" s="2375"/>
      <c r="V103" s="2375"/>
      <c r="W103" s="2375"/>
      <c r="X103" s="2375"/>
      <c r="Y103" s="2375"/>
      <c r="Z103" s="2375"/>
      <c r="AA103" s="2375"/>
      <c r="AB103" s="2375"/>
      <c r="AC103" s="2375"/>
      <c r="AD103" s="2375"/>
      <c r="AE103" s="2375"/>
      <c r="AF103" s="2375"/>
      <c r="AG103" s="2375"/>
      <c r="AH103" s="2375"/>
      <c r="AI103" s="2376"/>
    </row>
    <row r="104" spans="1:35" ht="15.6" x14ac:dyDescent="0.3">
      <c r="A104" s="2256" t="s">
        <v>482</v>
      </c>
      <c r="B104" s="2258" t="s">
        <v>483</v>
      </c>
      <c r="C104" s="2258" t="s">
        <v>484</v>
      </c>
      <c r="D104" s="2258" t="s">
        <v>555</v>
      </c>
      <c r="E104" s="2258" t="s">
        <v>556</v>
      </c>
      <c r="F104" s="2260" t="s">
        <v>487</v>
      </c>
      <c r="G104" s="2258" t="s">
        <v>557</v>
      </c>
      <c r="H104" s="2258" t="s">
        <v>489</v>
      </c>
      <c r="I104" s="2240" t="s">
        <v>490</v>
      </c>
      <c r="J104" s="2240"/>
      <c r="K104" s="2240"/>
      <c r="L104" s="2240"/>
      <c r="M104" s="305" t="s">
        <v>491</v>
      </c>
      <c r="N104" s="306" t="s">
        <v>558</v>
      </c>
      <c r="O104" s="307" t="s">
        <v>493</v>
      </c>
      <c r="P104" s="306" t="s">
        <v>558</v>
      </c>
      <c r="Q104" s="306" t="s">
        <v>559</v>
      </c>
      <c r="R104" s="512" t="s">
        <v>585</v>
      </c>
      <c r="S104" s="2343" t="s">
        <v>495</v>
      </c>
      <c r="T104" s="513" t="s">
        <v>496</v>
      </c>
      <c r="U104" s="2345" t="s">
        <v>497</v>
      </c>
      <c r="V104" s="2346"/>
      <c r="W104" s="2346"/>
      <c r="X104" s="2346"/>
      <c r="Y104" s="2347"/>
      <c r="Z104" s="2351" t="s">
        <v>498</v>
      </c>
      <c r="AA104" s="2352"/>
      <c r="AB104" s="2351" t="s">
        <v>499</v>
      </c>
      <c r="AC104" s="2355"/>
      <c r="AD104" s="2355"/>
      <c r="AE104" s="2355"/>
      <c r="AF104" s="2355"/>
      <c r="AG104" s="2355"/>
      <c r="AH104" s="2355"/>
      <c r="AI104" s="2352"/>
    </row>
    <row r="105" spans="1:35" ht="15.6" x14ac:dyDescent="0.3">
      <c r="A105" s="2257"/>
      <c r="B105" s="2259"/>
      <c r="C105" s="2259"/>
      <c r="D105" s="2259"/>
      <c r="E105" s="2259"/>
      <c r="F105" s="2261"/>
      <c r="G105" s="2259"/>
      <c r="H105" s="2259"/>
      <c r="I105" s="310" t="s">
        <v>500</v>
      </c>
      <c r="J105" s="310" t="s">
        <v>501</v>
      </c>
      <c r="K105" s="310" t="s">
        <v>502</v>
      </c>
      <c r="L105" s="310" t="s">
        <v>503</v>
      </c>
      <c r="M105" s="311" t="s">
        <v>504</v>
      </c>
      <c r="N105" s="312" t="s">
        <v>505</v>
      </c>
      <c r="O105" s="313" t="s">
        <v>506</v>
      </c>
      <c r="P105" s="312" t="s">
        <v>507</v>
      </c>
      <c r="Q105" s="312" t="s">
        <v>560</v>
      </c>
      <c r="R105" s="312"/>
      <c r="S105" s="2344"/>
      <c r="T105" s="515" t="s">
        <v>508</v>
      </c>
      <c r="U105" s="2348"/>
      <c r="V105" s="2349"/>
      <c r="W105" s="2349"/>
      <c r="X105" s="2349"/>
      <c r="Y105" s="2350"/>
      <c r="Z105" s="2353"/>
      <c r="AA105" s="2354"/>
      <c r="AB105" s="2353"/>
      <c r="AC105" s="2356"/>
      <c r="AD105" s="2356"/>
      <c r="AE105" s="2356"/>
      <c r="AF105" s="2356"/>
      <c r="AG105" s="2356"/>
      <c r="AH105" s="2356"/>
      <c r="AI105" s="2354"/>
    </row>
    <row r="106" spans="1:35" ht="18" x14ac:dyDescent="0.35">
      <c r="A106" s="2377" t="s">
        <v>639</v>
      </c>
      <c r="B106" s="2378"/>
      <c r="C106" s="2378"/>
      <c r="D106" s="2378"/>
      <c r="E106" s="2378"/>
      <c r="F106" s="2378"/>
      <c r="G106" s="2378"/>
      <c r="H106" s="2378"/>
      <c r="I106" s="2378"/>
      <c r="J106" s="2378"/>
      <c r="K106" s="2378"/>
      <c r="L106" s="2378"/>
      <c r="M106" s="2378"/>
      <c r="N106" s="2378"/>
      <c r="O106" s="2378"/>
      <c r="P106" s="2378"/>
      <c r="Q106" s="2378"/>
      <c r="R106" s="2378"/>
      <c r="S106" s="2378"/>
      <c r="T106" s="559"/>
      <c r="U106" s="560" t="s">
        <v>510</v>
      </c>
      <c r="V106" s="561" t="s">
        <v>11</v>
      </c>
      <c r="W106" s="561" t="s">
        <v>511</v>
      </c>
      <c r="X106" s="561" t="s">
        <v>512</v>
      </c>
      <c r="Y106" s="562" t="s">
        <v>513</v>
      </c>
      <c r="Z106" s="563" t="s">
        <v>514</v>
      </c>
      <c r="AA106" s="562" t="s">
        <v>515</v>
      </c>
      <c r="AB106" s="617" t="s">
        <v>12</v>
      </c>
      <c r="AC106" s="618" t="s">
        <v>13</v>
      </c>
      <c r="AD106" s="618" t="s">
        <v>60</v>
      </c>
      <c r="AE106" s="618" t="s">
        <v>61</v>
      </c>
      <c r="AF106" s="618" t="s">
        <v>62</v>
      </c>
      <c r="AG106" s="618" t="s">
        <v>18</v>
      </c>
      <c r="AH106" s="561" t="s">
        <v>19</v>
      </c>
      <c r="AI106" s="562" t="s">
        <v>16</v>
      </c>
    </row>
    <row r="107" spans="1:35" x14ac:dyDescent="0.3">
      <c r="A107" s="154"/>
      <c r="B107" s="462"/>
      <c r="C107" s="462"/>
      <c r="D107" s="462"/>
      <c r="E107" s="462"/>
      <c r="F107" s="463"/>
      <c r="G107" s="462"/>
      <c r="H107" s="462"/>
      <c r="I107" s="465"/>
      <c r="J107" s="465"/>
      <c r="K107" s="465"/>
      <c r="L107" s="465"/>
      <c r="M107" s="462"/>
      <c r="N107" s="468"/>
      <c r="O107" s="469"/>
      <c r="P107" s="468"/>
      <c r="Q107" s="468"/>
      <c r="R107" s="470"/>
      <c r="S107" s="532"/>
      <c r="T107" s="149"/>
      <c r="U107" s="280"/>
      <c r="Y107" s="152"/>
      <c r="Z107" s="280"/>
      <c r="AA107" s="152"/>
      <c r="AB107" s="280"/>
      <c r="AI107" s="152"/>
    </row>
    <row r="108" spans="1:35" x14ac:dyDescent="0.3">
      <c r="A108" s="157" t="s">
        <v>634</v>
      </c>
      <c r="B108" s="157" t="s">
        <v>23</v>
      </c>
      <c r="C108" s="157" t="s">
        <v>517</v>
      </c>
      <c r="D108" s="157" t="s">
        <v>21</v>
      </c>
      <c r="E108" s="157" t="s">
        <v>518</v>
      </c>
      <c r="F108" s="158" t="s">
        <v>521</v>
      </c>
      <c r="G108" s="157">
        <v>1</v>
      </c>
      <c r="H108" s="157" t="s">
        <v>24</v>
      </c>
      <c r="I108" s="159">
        <v>1</v>
      </c>
      <c r="J108" s="161"/>
      <c r="K108" s="161"/>
      <c r="L108" s="2209"/>
      <c r="M108" s="163">
        <v>1</v>
      </c>
      <c r="N108" s="166">
        <v>35211.99</v>
      </c>
      <c r="O108" s="173">
        <v>0.55000000000000004</v>
      </c>
      <c r="P108" s="166">
        <f>N108*(1-O108)</f>
        <v>15845.395499999997</v>
      </c>
      <c r="Q108" s="166">
        <f t="shared" ref="Q108:Q118" si="15">P108*M108*G108</f>
        <v>15845.395499999997</v>
      </c>
      <c r="R108" s="206" t="e">
        <f>(Q108+Q109+Q112+#REF!)/E89*1000</f>
        <v>#REF!</v>
      </c>
      <c r="S108" s="167">
        <f>Q108/$Q$125</f>
        <v>7.1568634263644459E-2</v>
      </c>
      <c r="T108" s="168">
        <f>Q108*4</f>
        <v>63381.581999999988</v>
      </c>
      <c r="U108" s="282">
        <f t="shared" ref="U108:U118" si="16">T108</f>
        <v>63381.581999999988</v>
      </c>
      <c r="V108" s="169"/>
      <c r="Y108" s="152"/>
      <c r="Z108" s="282"/>
      <c r="AA108" s="171">
        <f>T108</f>
        <v>63381.581999999988</v>
      </c>
      <c r="AB108" s="282">
        <f>T108</f>
        <v>63381.581999999988</v>
      </c>
      <c r="AI108" s="152"/>
    </row>
    <row r="109" spans="1:35" x14ac:dyDescent="0.3">
      <c r="A109" s="157" t="s">
        <v>634</v>
      </c>
      <c r="B109" s="157" t="s">
        <v>25</v>
      </c>
      <c r="C109" s="157" t="s">
        <v>517</v>
      </c>
      <c r="D109" s="157" t="s">
        <v>21</v>
      </c>
      <c r="E109" s="157" t="s">
        <v>518</v>
      </c>
      <c r="F109" s="158" t="s">
        <v>521</v>
      </c>
      <c r="G109" s="157">
        <v>1</v>
      </c>
      <c r="H109" s="157" t="s">
        <v>24</v>
      </c>
      <c r="I109" s="159">
        <v>1</v>
      </c>
      <c r="J109" s="161"/>
      <c r="K109" s="161"/>
      <c r="L109" s="2209"/>
      <c r="M109" s="163">
        <v>1</v>
      </c>
      <c r="N109" s="166">
        <v>7000</v>
      </c>
      <c r="O109" s="173">
        <v>0.1</v>
      </c>
      <c r="P109" s="166">
        <f t="shared" ref="P109:P118" si="17">N109*(1-O109)</f>
        <v>6300</v>
      </c>
      <c r="Q109" s="166">
        <f t="shared" si="15"/>
        <v>6300</v>
      </c>
      <c r="R109" s="206"/>
      <c r="S109" s="167">
        <f>Q109/$Q$125</f>
        <v>2.8455105198286795E-2</v>
      </c>
      <c r="T109" s="168">
        <f t="shared" ref="T109:T118" si="18">Q109*4</f>
        <v>25200</v>
      </c>
      <c r="U109" s="282">
        <f t="shared" si="16"/>
        <v>25200</v>
      </c>
      <c r="V109" s="169"/>
      <c r="Y109" s="152"/>
      <c r="Z109" s="282"/>
      <c r="AA109" s="171">
        <f>T109</f>
        <v>25200</v>
      </c>
      <c r="AB109" s="280"/>
      <c r="AC109" s="169">
        <f>T109</f>
        <v>25200</v>
      </c>
      <c r="AI109" s="152"/>
    </row>
    <row r="110" spans="1:35" x14ac:dyDescent="0.3">
      <c r="A110" s="157" t="s">
        <v>634</v>
      </c>
      <c r="B110" s="157" t="s">
        <v>25</v>
      </c>
      <c r="C110" s="157" t="s">
        <v>517</v>
      </c>
      <c r="D110" s="157" t="s">
        <v>26</v>
      </c>
      <c r="E110" s="157" t="s">
        <v>520</v>
      </c>
      <c r="F110" s="158" t="s">
        <v>640</v>
      </c>
      <c r="G110" s="157">
        <v>1</v>
      </c>
      <c r="H110" s="157" t="s">
        <v>63</v>
      </c>
      <c r="I110" s="175">
        <v>1</v>
      </c>
      <c r="J110" s="176"/>
      <c r="K110" s="176"/>
      <c r="L110" s="177"/>
      <c r="M110" s="163">
        <v>1</v>
      </c>
      <c r="N110" s="166">
        <v>7500</v>
      </c>
      <c r="O110" s="173">
        <v>0.1</v>
      </c>
      <c r="P110" s="166">
        <f t="shared" si="17"/>
        <v>6750</v>
      </c>
      <c r="Q110" s="166">
        <f t="shared" si="15"/>
        <v>6750</v>
      </c>
      <c r="R110" s="206" t="e">
        <f>(Q110+#REF!)/E89*1000</f>
        <v>#REF!</v>
      </c>
      <c r="S110" s="178">
        <f>Q110/$Q$125</f>
        <v>3.0487612712450138E-2</v>
      </c>
      <c r="T110" s="168">
        <f t="shared" si="18"/>
        <v>27000</v>
      </c>
      <c r="U110" s="282">
        <f t="shared" si="16"/>
        <v>27000</v>
      </c>
      <c r="Y110" s="152"/>
      <c r="Z110" s="282">
        <f>T110</f>
        <v>27000</v>
      </c>
      <c r="AA110" s="171"/>
      <c r="AB110" s="280"/>
      <c r="AC110" s="169">
        <f>T110</f>
        <v>27000</v>
      </c>
      <c r="AI110" s="152"/>
    </row>
    <row r="111" spans="1:35" x14ac:dyDescent="0.3">
      <c r="A111" s="157" t="s">
        <v>634</v>
      </c>
      <c r="B111" s="157" t="s">
        <v>25</v>
      </c>
      <c r="C111" s="157" t="s">
        <v>517</v>
      </c>
      <c r="D111" s="157" t="s">
        <v>27</v>
      </c>
      <c r="E111" s="157" t="s">
        <v>520</v>
      </c>
      <c r="F111" s="158" t="s">
        <v>552</v>
      </c>
      <c r="G111" s="157">
        <v>15</v>
      </c>
      <c r="H111" s="157" t="s">
        <v>24</v>
      </c>
      <c r="I111" s="175">
        <v>20</v>
      </c>
      <c r="J111" s="176"/>
      <c r="K111" s="179"/>
      <c r="L111" s="180"/>
      <c r="M111" s="163">
        <v>1</v>
      </c>
      <c r="N111" s="166">
        <v>2900</v>
      </c>
      <c r="O111" s="173">
        <v>0.1</v>
      </c>
      <c r="P111" s="166">
        <f t="shared" si="17"/>
        <v>2610</v>
      </c>
      <c r="Q111" s="166">
        <f t="shared" si="15"/>
        <v>39150</v>
      </c>
      <c r="R111" s="206" t="e">
        <f>(Q111+#REF!)/E89*1000</f>
        <v>#REF!</v>
      </c>
      <c r="S111" s="178">
        <f>Q111/$Q$125</f>
        <v>0.17682815373221078</v>
      </c>
      <c r="T111" s="168">
        <f t="shared" si="18"/>
        <v>156600</v>
      </c>
      <c r="U111" s="282">
        <f t="shared" si="16"/>
        <v>156600</v>
      </c>
      <c r="W111" s="169"/>
      <c r="Y111" s="152"/>
      <c r="Z111" s="283">
        <f>T111</f>
        <v>156600</v>
      </c>
      <c r="AA111" s="171"/>
      <c r="AB111" s="280"/>
      <c r="AC111" s="169">
        <f>T111</f>
        <v>156600</v>
      </c>
      <c r="AI111" s="152"/>
    </row>
    <row r="112" spans="1:35" x14ac:dyDescent="0.3">
      <c r="A112" s="157" t="s">
        <v>634</v>
      </c>
      <c r="B112" s="157" t="s">
        <v>64</v>
      </c>
      <c r="C112" s="157" t="s">
        <v>517</v>
      </c>
      <c r="D112" s="157" t="s">
        <v>21</v>
      </c>
      <c r="E112" s="157" t="s">
        <v>518</v>
      </c>
      <c r="F112" s="158" t="s">
        <v>521</v>
      </c>
      <c r="G112" s="157">
        <v>1</v>
      </c>
      <c r="H112" s="157" t="s">
        <v>24</v>
      </c>
      <c r="I112" s="159">
        <v>1</v>
      </c>
      <c r="J112" s="161"/>
      <c r="K112" s="161"/>
      <c r="L112" s="2209"/>
      <c r="M112" s="163">
        <v>1</v>
      </c>
      <c r="N112" s="166">
        <v>17576</v>
      </c>
      <c r="O112" s="173">
        <v>0.55000000000000004</v>
      </c>
      <c r="P112" s="166">
        <f t="shared" si="17"/>
        <v>7909.1999999999989</v>
      </c>
      <c r="Q112" s="166">
        <f t="shared" si="15"/>
        <v>7909.1999999999989</v>
      </c>
      <c r="R112" s="206"/>
      <c r="S112" s="167">
        <f>Q112/$Q$125</f>
        <v>3.5723352068934899E-2</v>
      </c>
      <c r="T112" s="168">
        <f t="shared" si="18"/>
        <v>31636.799999999996</v>
      </c>
      <c r="U112" s="282">
        <f t="shared" si="16"/>
        <v>31636.799999999996</v>
      </c>
      <c r="Y112" s="152"/>
      <c r="Z112" s="282"/>
      <c r="AA112" s="171">
        <f>T112</f>
        <v>31636.799999999996</v>
      </c>
      <c r="AB112" s="280"/>
      <c r="AD112" s="169">
        <f>T112</f>
        <v>31636.799999999996</v>
      </c>
      <c r="AI112" s="152"/>
    </row>
    <row r="113" spans="1:35" x14ac:dyDescent="0.3">
      <c r="A113" s="157" t="s">
        <v>634</v>
      </c>
      <c r="B113" s="157" t="s">
        <v>65</v>
      </c>
      <c r="C113" s="157" t="s">
        <v>517</v>
      </c>
      <c r="D113" s="157" t="s">
        <v>26</v>
      </c>
      <c r="E113" s="157" t="s">
        <v>520</v>
      </c>
      <c r="F113" s="158" t="s">
        <v>640</v>
      </c>
      <c r="G113" s="157">
        <v>1</v>
      </c>
      <c r="H113" s="157" t="s">
        <v>24</v>
      </c>
      <c r="I113" s="182">
        <v>1</v>
      </c>
      <c r="J113" s="183"/>
      <c r="K113" s="183"/>
      <c r="L113" s="2239"/>
      <c r="M113" s="163">
        <v>1</v>
      </c>
      <c r="N113" s="166">
        <v>5500</v>
      </c>
      <c r="O113" s="173">
        <v>0.15</v>
      </c>
      <c r="P113" s="166">
        <f t="shared" si="17"/>
        <v>4675</v>
      </c>
      <c r="Q113" s="166">
        <f t="shared" si="15"/>
        <v>4675</v>
      </c>
      <c r="R113" s="206" t="e">
        <f>(Q113+#REF!+Q114)/E89*1000</f>
        <v>#REF!</v>
      </c>
      <c r="S113" s="178">
        <f t="shared" ref="S113:S118" si="19">Q113/$Q$125</f>
        <v>2.1115494730474724E-2</v>
      </c>
      <c r="T113" s="168">
        <f t="shared" si="18"/>
        <v>18700</v>
      </c>
      <c r="U113" s="282">
        <f t="shared" si="16"/>
        <v>18700</v>
      </c>
      <c r="Y113" s="152"/>
      <c r="Z113" s="282">
        <f>T113</f>
        <v>18700</v>
      </c>
      <c r="AA113" s="171"/>
      <c r="AB113" s="280"/>
      <c r="AE113" s="169">
        <f>T113</f>
        <v>18700</v>
      </c>
      <c r="AI113" s="152"/>
    </row>
    <row r="114" spans="1:35" x14ac:dyDescent="0.3">
      <c r="A114" s="157" t="s">
        <v>634</v>
      </c>
      <c r="B114" s="157" t="s">
        <v>66</v>
      </c>
      <c r="C114" s="157" t="s">
        <v>517</v>
      </c>
      <c r="D114" s="157" t="s">
        <v>27</v>
      </c>
      <c r="E114" s="157" t="s">
        <v>524</v>
      </c>
      <c r="F114" s="158" t="s">
        <v>552</v>
      </c>
      <c r="G114" s="157">
        <v>15</v>
      </c>
      <c r="H114" s="157" t="s">
        <v>24</v>
      </c>
      <c r="I114" s="185"/>
      <c r="J114" s="160"/>
      <c r="K114" s="176">
        <v>20</v>
      </c>
      <c r="L114" s="177"/>
      <c r="M114" s="157">
        <v>1</v>
      </c>
      <c r="N114" s="166">
        <v>3222.65</v>
      </c>
      <c r="O114" s="173">
        <v>0.2</v>
      </c>
      <c r="P114" s="186">
        <f t="shared" si="17"/>
        <v>2578.1200000000003</v>
      </c>
      <c r="Q114" s="166">
        <f t="shared" si="15"/>
        <v>38671.800000000003</v>
      </c>
      <c r="R114" s="206"/>
      <c r="S114" s="178">
        <f t="shared" si="19"/>
        <v>0.1746682757471599</v>
      </c>
      <c r="T114" s="168">
        <f t="shared" si="18"/>
        <v>154687.20000000001</v>
      </c>
      <c r="U114" s="282">
        <f t="shared" si="16"/>
        <v>154687.20000000001</v>
      </c>
      <c r="Y114" s="152"/>
      <c r="Z114" s="282">
        <f>T114</f>
        <v>154687.20000000001</v>
      </c>
      <c r="AA114" s="152"/>
      <c r="AB114" s="280"/>
      <c r="AF114" s="169">
        <f>T114</f>
        <v>154687.20000000001</v>
      </c>
      <c r="AI114" s="152"/>
    </row>
    <row r="115" spans="1:35" x14ac:dyDescent="0.3">
      <c r="A115" s="157" t="s">
        <v>634</v>
      </c>
      <c r="B115" s="157" t="s">
        <v>35</v>
      </c>
      <c r="C115" s="157" t="s">
        <v>637</v>
      </c>
      <c r="D115" s="157" t="s">
        <v>21</v>
      </c>
      <c r="E115" s="157" t="s">
        <v>518</v>
      </c>
      <c r="F115" s="158" t="s">
        <v>521</v>
      </c>
      <c r="G115" s="157">
        <v>2</v>
      </c>
      <c r="H115" s="157" t="s">
        <v>24</v>
      </c>
      <c r="I115" s="182">
        <v>2</v>
      </c>
      <c r="J115" s="183"/>
      <c r="K115" s="183"/>
      <c r="L115" s="2239"/>
      <c r="M115" s="157">
        <v>1</v>
      </c>
      <c r="N115" s="473">
        <v>12150</v>
      </c>
      <c r="O115" s="165">
        <v>0.4</v>
      </c>
      <c r="P115" s="186">
        <f t="shared" si="17"/>
        <v>7290</v>
      </c>
      <c r="Q115" s="166">
        <f t="shared" si="15"/>
        <v>14580</v>
      </c>
      <c r="R115" s="606"/>
      <c r="S115" s="167">
        <f>Q115/$Q$125</f>
        <v>6.5853243458892291E-2</v>
      </c>
      <c r="T115" s="168">
        <f t="shared" si="18"/>
        <v>58320</v>
      </c>
      <c r="U115" s="283">
        <f t="shared" si="16"/>
        <v>58320</v>
      </c>
      <c r="Y115" s="152"/>
      <c r="Z115" s="607"/>
      <c r="AA115" s="171">
        <f>T115</f>
        <v>58320</v>
      </c>
      <c r="AB115" s="280"/>
      <c r="AG115" s="169">
        <f>T115</f>
        <v>58320</v>
      </c>
      <c r="AI115" s="171"/>
    </row>
    <row r="116" spans="1:35" x14ac:dyDescent="0.3">
      <c r="A116" s="157" t="s">
        <v>634</v>
      </c>
      <c r="B116" s="157" t="s">
        <v>35</v>
      </c>
      <c r="C116" s="157" t="s">
        <v>637</v>
      </c>
      <c r="D116" s="157" t="s">
        <v>26</v>
      </c>
      <c r="E116" s="157" t="s">
        <v>520</v>
      </c>
      <c r="F116" s="158" t="s">
        <v>640</v>
      </c>
      <c r="G116" s="157">
        <v>2</v>
      </c>
      <c r="H116" s="157" t="s">
        <v>24</v>
      </c>
      <c r="I116" s="182">
        <v>2</v>
      </c>
      <c r="J116" s="183"/>
      <c r="K116" s="183"/>
      <c r="L116" s="2239"/>
      <c r="M116" s="157">
        <v>1</v>
      </c>
      <c r="N116" s="473">
        <v>15000</v>
      </c>
      <c r="O116" s="165">
        <v>0.49</v>
      </c>
      <c r="P116" s="186">
        <f t="shared" si="17"/>
        <v>7650</v>
      </c>
      <c r="Q116" s="166">
        <f t="shared" si="15"/>
        <v>15300</v>
      </c>
      <c r="R116" s="606"/>
      <c r="S116" s="178">
        <f t="shared" si="19"/>
        <v>6.9105255481553649E-2</v>
      </c>
      <c r="T116" s="168">
        <f t="shared" si="18"/>
        <v>61200</v>
      </c>
      <c r="U116" s="283">
        <f t="shared" si="16"/>
        <v>61200</v>
      </c>
      <c r="Y116" s="152"/>
      <c r="Z116" s="607">
        <f>T116</f>
        <v>61200</v>
      </c>
      <c r="AA116" s="152"/>
      <c r="AB116" s="280"/>
      <c r="AG116" s="169">
        <f>T116</f>
        <v>61200</v>
      </c>
      <c r="AI116" s="152"/>
    </row>
    <row r="117" spans="1:35" x14ac:dyDescent="0.3">
      <c r="A117" s="157" t="s">
        <v>634</v>
      </c>
      <c r="B117" s="157" t="s">
        <v>67</v>
      </c>
      <c r="C117" s="157" t="s">
        <v>637</v>
      </c>
      <c r="D117" s="157" t="s">
        <v>21</v>
      </c>
      <c r="E117" s="157" t="s">
        <v>518</v>
      </c>
      <c r="F117" s="158" t="s">
        <v>521</v>
      </c>
      <c r="G117" s="157">
        <v>2</v>
      </c>
      <c r="H117" s="157" t="s">
        <v>24</v>
      </c>
      <c r="I117" s="182">
        <v>2</v>
      </c>
      <c r="J117" s="183"/>
      <c r="K117" s="183"/>
      <c r="L117" s="2239"/>
      <c r="M117" s="157">
        <v>1</v>
      </c>
      <c r="N117" s="473">
        <v>8980</v>
      </c>
      <c r="O117" s="165">
        <v>0.25</v>
      </c>
      <c r="P117" s="476">
        <f t="shared" si="17"/>
        <v>6735</v>
      </c>
      <c r="Q117" s="473">
        <f t="shared" si="15"/>
        <v>13470</v>
      </c>
      <c r="R117" s="606"/>
      <c r="S117" s="167">
        <f>Q117/$Q$125</f>
        <v>6.0839724923956048E-2</v>
      </c>
      <c r="T117" s="168">
        <f t="shared" si="18"/>
        <v>53880</v>
      </c>
      <c r="U117" s="607">
        <f t="shared" si="16"/>
        <v>53880</v>
      </c>
      <c r="Y117" s="152"/>
      <c r="Z117" s="607"/>
      <c r="AA117" s="171">
        <f>T117</f>
        <v>53880</v>
      </c>
      <c r="AB117" s="280"/>
      <c r="AH117" s="169">
        <f>T117</f>
        <v>53880</v>
      </c>
      <c r="AI117" s="152"/>
    </row>
    <row r="118" spans="1:35" x14ac:dyDescent="0.3">
      <c r="A118" s="157" t="s">
        <v>634</v>
      </c>
      <c r="B118" s="157" t="s">
        <v>67</v>
      </c>
      <c r="C118" s="157" t="s">
        <v>637</v>
      </c>
      <c r="D118" s="157" t="s">
        <v>26</v>
      </c>
      <c r="E118" s="157" t="s">
        <v>520</v>
      </c>
      <c r="F118" s="158" t="s">
        <v>640</v>
      </c>
      <c r="G118" s="157">
        <v>2</v>
      </c>
      <c r="H118" s="157" t="s">
        <v>24</v>
      </c>
      <c r="I118" s="182">
        <v>2</v>
      </c>
      <c r="J118" s="183"/>
      <c r="K118" s="183"/>
      <c r="L118" s="2239"/>
      <c r="M118" s="157">
        <v>1</v>
      </c>
      <c r="N118" s="473">
        <v>14500</v>
      </c>
      <c r="O118" s="165">
        <v>0.25</v>
      </c>
      <c r="P118" s="476">
        <f t="shared" si="17"/>
        <v>10875</v>
      </c>
      <c r="Q118" s="473">
        <f t="shared" si="15"/>
        <v>21750</v>
      </c>
      <c r="R118" s="606"/>
      <c r="S118" s="178">
        <f t="shared" si="19"/>
        <v>9.8237863184561555E-2</v>
      </c>
      <c r="T118" s="168">
        <f t="shared" si="18"/>
        <v>87000</v>
      </c>
      <c r="U118" s="607">
        <f t="shared" si="16"/>
        <v>87000</v>
      </c>
      <c r="Y118" s="152"/>
      <c r="Z118" s="607">
        <f>T118</f>
        <v>87000</v>
      </c>
      <c r="AA118" s="152"/>
      <c r="AB118" s="280"/>
      <c r="AH118" s="169">
        <f>T118</f>
        <v>87000</v>
      </c>
      <c r="AI118" s="171"/>
    </row>
    <row r="119" spans="1:35" x14ac:dyDescent="0.3">
      <c r="A119" s="157"/>
      <c r="B119" s="157"/>
      <c r="C119" s="157"/>
      <c r="D119" s="157"/>
      <c r="E119" s="157"/>
      <c r="F119" s="158"/>
      <c r="G119" s="157"/>
      <c r="H119" s="157"/>
      <c r="I119" s="1"/>
      <c r="K119" s="1"/>
      <c r="L119" s="286"/>
      <c r="M119" s="157"/>
      <c r="N119" s="473"/>
      <c r="O119" s="165"/>
      <c r="P119" s="476"/>
      <c r="Q119" s="473"/>
      <c r="R119" s="606"/>
      <c r="S119" s="609"/>
      <c r="T119" s="478"/>
      <c r="U119" s="607"/>
      <c r="Y119" s="152"/>
      <c r="Z119" s="607"/>
      <c r="AA119" s="152"/>
      <c r="AB119" s="280"/>
      <c r="AI119" s="171"/>
    </row>
    <row r="120" spans="1:35" x14ac:dyDescent="0.3">
      <c r="A120" s="157"/>
      <c r="B120" s="157"/>
      <c r="C120" s="157"/>
      <c r="D120" s="157"/>
      <c r="E120" s="157"/>
      <c r="F120" s="158"/>
      <c r="G120" s="157"/>
      <c r="H120" s="157"/>
      <c r="I120" s="1"/>
      <c r="K120" s="1"/>
      <c r="L120" s="286"/>
      <c r="M120" s="157"/>
      <c r="N120" s="473"/>
      <c r="O120" s="165"/>
      <c r="P120" s="476"/>
      <c r="Q120" s="473"/>
      <c r="R120" s="606"/>
      <c r="S120" s="609"/>
      <c r="T120" s="478"/>
      <c r="U120" s="607"/>
      <c r="Y120" s="152"/>
      <c r="Z120" s="607"/>
      <c r="AA120" s="152"/>
      <c r="AB120" s="280"/>
      <c r="AI120" s="171"/>
    </row>
    <row r="121" spans="1:35" x14ac:dyDescent="0.3">
      <c r="A121" s="172"/>
      <c r="B121" s="157"/>
      <c r="C121" s="190"/>
      <c r="D121" s="190"/>
      <c r="E121" s="190"/>
      <c r="F121" s="191"/>
      <c r="G121" s="190"/>
      <c r="H121" s="190"/>
      <c r="I121" s="245"/>
      <c r="J121" s="245"/>
      <c r="K121" s="245"/>
      <c r="L121" s="287"/>
      <c r="M121" s="190"/>
      <c r="N121" s="194"/>
      <c r="O121" s="195"/>
      <c r="P121" s="288"/>
      <c r="Q121" s="194"/>
      <c r="R121" s="206"/>
      <c r="S121" s="393"/>
      <c r="T121" s="168"/>
      <c r="U121" s="280"/>
      <c r="Y121" s="152"/>
      <c r="Z121" s="280"/>
      <c r="AA121" s="152"/>
      <c r="AB121" s="280"/>
      <c r="AI121" s="152"/>
    </row>
    <row r="122" spans="1:35" x14ac:dyDescent="0.3">
      <c r="A122" s="108" t="s">
        <v>634</v>
      </c>
      <c r="B122" s="108" t="s">
        <v>528</v>
      </c>
      <c r="C122" s="192"/>
      <c r="D122" s="193"/>
      <c r="E122" s="193"/>
      <c r="F122" s="244"/>
      <c r="G122" s="193"/>
      <c r="H122" s="193"/>
      <c r="I122" s="252"/>
      <c r="J122" s="252"/>
      <c r="K122" s="252"/>
      <c r="L122" s="252"/>
      <c r="M122" s="193"/>
      <c r="N122" s="246"/>
      <c r="O122" s="196"/>
      <c r="P122" s="186"/>
      <c r="Q122" s="166">
        <f>P122*M122*G122</f>
        <v>0</v>
      </c>
      <c r="R122" s="290"/>
      <c r="S122" s="256">
        <f>Q122/Q125</f>
        <v>0</v>
      </c>
      <c r="T122" s="168">
        <f t="shared" ref="T122" si="20">Q122*2</f>
        <v>0</v>
      </c>
      <c r="U122" s="280"/>
      <c r="X122" s="169">
        <f>T122</f>
        <v>0</v>
      </c>
      <c r="Y122" s="152"/>
      <c r="Z122" s="280"/>
      <c r="AA122" s="171">
        <f>X122</f>
        <v>0</v>
      </c>
      <c r="AB122" s="280"/>
      <c r="AI122" s="152"/>
    </row>
    <row r="123" spans="1:35" x14ac:dyDescent="0.3">
      <c r="A123" s="108" t="s">
        <v>634</v>
      </c>
      <c r="B123" s="108" t="s">
        <v>529</v>
      </c>
      <c r="C123" s="289"/>
      <c r="D123" s="252"/>
      <c r="E123" s="252"/>
      <c r="F123" s="253"/>
      <c r="G123" s="252"/>
      <c r="H123" s="252"/>
      <c r="I123" s="254"/>
      <c r="J123" s="254"/>
      <c r="K123" s="254"/>
      <c r="L123" s="254"/>
      <c r="M123" s="252"/>
      <c r="N123" s="255"/>
      <c r="O123" s="256"/>
      <c r="P123" s="290"/>
      <c r="Q123" s="257">
        <v>37000</v>
      </c>
      <c r="R123" s="480"/>
      <c r="S123" s="291">
        <f>Q123/Q125</f>
        <v>0.16711728449787483</v>
      </c>
      <c r="T123" s="168">
        <f>Q123*4</f>
        <v>148000</v>
      </c>
      <c r="U123" s="280"/>
      <c r="Y123" s="171">
        <f>T123</f>
        <v>148000</v>
      </c>
      <c r="Z123" s="280"/>
      <c r="AA123" s="152"/>
      <c r="AB123" s="280"/>
      <c r="AI123" s="152"/>
    </row>
    <row r="124" spans="1:35" x14ac:dyDescent="0.3">
      <c r="I124" s="115">
        <f>I125/M125</f>
        <v>0.55555555555555558</v>
      </c>
      <c r="J124" s="115"/>
      <c r="K124" s="115">
        <f>K125/M125</f>
        <v>0.44444444444444442</v>
      </c>
      <c r="T124" s="325"/>
      <c r="U124" s="280"/>
      <c r="Y124" s="152"/>
      <c r="Z124" s="280"/>
      <c r="AA124" s="152"/>
      <c r="AB124" s="280"/>
      <c r="AI124" s="152"/>
    </row>
    <row r="125" spans="1:35" x14ac:dyDescent="0.3">
      <c r="A125" s="326" t="s">
        <v>531</v>
      </c>
      <c r="B125" s="327"/>
      <c r="C125" s="327"/>
      <c r="D125" s="327"/>
      <c r="E125" s="327"/>
      <c r="F125" s="328"/>
      <c r="G125" s="327"/>
      <c r="H125" s="327"/>
      <c r="I125" s="327">
        <f>I113+I112+I111+I110+I109+I108</f>
        <v>25</v>
      </c>
      <c r="J125" s="327"/>
      <c r="K125" s="327">
        <f>+K114</f>
        <v>20</v>
      </c>
      <c r="L125" s="327"/>
      <c r="M125" s="327">
        <f>SUM(I125:L125)</f>
        <v>45</v>
      </c>
      <c r="N125" s="329"/>
      <c r="O125" s="330"/>
      <c r="P125" s="329"/>
      <c r="Q125" s="331">
        <f>SUM(Q108:Q124)</f>
        <v>221401.39549999998</v>
      </c>
      <c r="R125" s="331"/>
      <c r="S125" s="332">
        <f>SUM(S108:S123)</f>
        <v>1.0000000000000002</v>
      </c>
      <c r="T125" s="333">
        <f>SUM(T108:T124)</f>
        <v>885605.58199999994</v>
      </c>
      <c r="U125" s="334">
        <f t="shared" ref="U125:AA125" si="21">SUM(U108:U123)</f>
        <v>737605.58199999994</v>
      </c>
      <c r="V125" s="335">
        <f t="shared" si="21"/>
        <v>0</v>
      </c>
      <c r="W125" s="335">
        <f t="shared" si="21"/>
        <v>0</v>
      </c>
      <c r="X125" s="335">
        <f t="shared" si="21"/>
        <v>0</v>
      </c>
      <c r="Y125" s="337">
        <f t="shared" si="21"/>
        <v>148000</v>
      </c>
      <c r="Z125" s="336">
        <f t="shared" si="21"/>
        <v>505187.2</v>
      </c>
      <c r="AA125" s="337">
        <f t="shared" si="21"/>
        <v>232418.38199999998</v>
      </c>
      <c r="AB125" s="619">
        <f>SUM(AB107:AB124)</f>
        <v>63381.581999999988</v>
      </c>
      <c r="AC125" s="620">
        <f t="shared" ref="AC125:AH125" si="22">SUM(AC107:AC124)</f>
        <v>208800</v>
      </c>
      <c r="AD125" s="620">
        <f t="shared" si="22"/>
        <v>31636.799999999996</v>
      </c>
      <c r="AE125" s="620">
        <f t="shared" si="22"/>
        <v>18700</v>
      </c>
      <c r="AF125" s="620">
        <f t="shared" si="22"/>
        <v>154687.20000000001</v>
      </c>
      <c r="AG125" s="620">
        <f t="shared" si="22"/>
        <v>119520</v>
      </c>
      <c r="AH125" s="620">
        <f t="shared" si="22"/>
        <v>140880</v>
      </c>
      <c r="AI125" s="341">
        <f>SUM(AI107:AI124)</f>
        <v>0</v>
      </c>
    </row>
    <row r="126" spans="1:35" x14ac:dyDescent="0.3">
      <c r="A126" s="342" t="s">
        <v>532</v>
      </c>
      <c r="B126" s="343"/>
      <c r="C126" s="343"/>
      <c r="D126" s="343"/>
      <c r="E126" s="343"/>
      <c r="F126" s="344"/>
      <c r="G126" s="343"/>
      <c r="H126" s="343"/>
      <c r="I126" s="343">
        <f>I113+I112+I111+I110+I109+I108</f>
        <v>25</v>
      </c>
      <c r="J126" s="343">
        <f>I113+I112+I111+I110+I109+I108</f>
        <v>25</v>
      </c>
      <c r="K126" s="343">
        <f>+K114+I113+I112+I110+I109+I108</f>
        <v>25</v>
      </c>
      <c r="L126" s="343">
        <f>K114+I113+I112+I110+I109+I108</f>
        <v>25</v>
      </c>
      <c r="M126" s="343">
        <f>SUM(I126:L126)</f>
        <v>100</v>
      </c>
      <c r="N126" s="345"/>
      <c r="O126" s="346"/>
      <c r="P126" s="345"/>
      <c r="Q126" s="345"/>
      <c r="R126" s="345"/>
      <c r="S126" s="347"/>
      <c r="T126" s="348"/>
      <c r="U126" s="349">
        <f>U125/T125</f>
        <v>0.83288271550212523</v>
      </c>
      <c r="V126" s="350">
        <f>V125/T125</f>
        <v>0</v>
      </c>
      <c r="W126" s="350">
        <f>W125/T125</f>
        <v>0</v>
      </c>
      <c r="X126" s="350">
        <f>X125/T125</f>
        <v>0</v>
      </c>
      <c r="Y126" s="352">
        <f>Y125/T125</f>
        <v>0.16711728449787483</v>
      </c>
      <c r="Z126" s="351">
        <f>Z125/T125</f>
        <v>0.57044265558841079</v>
      </c>
      <c r="AA126" s="352">
        <f>AA125/T125</f>
        <v>0.2624400599137145</v>
      </c>
      <c r="AB126" s="591"/>
      <c r="AC126" s="524"/>
      <c r="AD126" s="524"/>
      <c r="AE126" s="524"/>
      <c r="AF126" s="524"/>
      <c r="AG126" s="524"/>
      <c r="AH126" s="524"/>
      <c r="AI126" s="356"/>
    </row>
    <row r="127" spans="1:35" x14ac:dyDescent="0.3">
      <c r="A127" s="243" t="s">
        <v>533</v>
      </c>
      <c r="B127" s="193"/>
      <c r="C127" s="193"/>
      <c r="D127" s="193"/>
      <c r="E127" s="193"/>
      <c r="F127" s="244"/>
      <c r="G127" s="193"/>
      <c r="H127" s="193"/>
      <c r="I127" s="2187">
        <v>0.25</v>
      </c>
      <c r="J127" s="245"/>
      <c r="K127" s="245"/>
      <c r="L127" s="245"/>
      <c r="M127" s="193"/>
      <c r="N127" s="246"/>
      <c r="O127" s="196"/>
      <c r="P127" s="246"/>
      <c r="Q127" s="194">
        <f>U125/2</f>
        <v>368802.79099999997</v>
      </c>
      <c r="R127" s="288"/>
      <c r="S127" s="247">
        <f>Q127/Q132</f>
        <v>0.83288271550212523</v>
      </c>
      <c r="Y127" s="248"/>
      <c r="Z127" s="357">
        <f>I110+I111+I113+K114</f>
        <v>42</v>
      </c>
      <c r="AA127" s="358">
        <f>I108+I109+I112</f>
        <v>3</v>
      </c>
    </row>
    <row r="128" spans="1:35" x14ac:dyDescent="0.3">
      <c r="A128" s="251" t="s">
        <v>11</v>
      </c>
      <c r="B128" s="252"/>
      <c r="C128" s="252"/>
      <c r="D128" s="252"/>
      <c r="E128" s="252"/>
      <c r="F128" s="253"/>
      <c r="G128" s="252"/>
      <c r="H128" s="252"/>
      <c r="I128" s="254"/>
      <c r="J128" s="254"/>
      <c r="K128" s="254"/>
      <c r="L128" s="254"/>
      <c r="M128" s="252"/>
      <c r="N128" s="255"/>
      <c r="O128" s="256"/>
      <c r="P128" s="255"/>
      <c r="Q128" s="257">
        <f>V125/2</f>
        <v>0</v>
      </c>
      <c r="R128" s="290"/>
      <c r="S128" s="256">
        <f>Q128/Q132</f>
        <v>0</v>
      </c>
      <c r="T128" s="525">
        <f>Q125/M125</f>
        <v>4920.0310111111112</v>
      </c>
      <c r="U128" s="621" t="s">
        <v>535</v>
      </c>
      <c r="Z128" s="195">
        <f>Z127/M125</f>
        <v>0.93333333333333335</v>
      </c>
      <c r="AA128" s="247">
        <f>AA127/M125</f>
        <v>6.6666666666666666E-2</v>
      </c>
    </row>
    <row r="129" spans="1:35" x14ac:dyDescent="0.3">
      <c r="A129" s="251" t="s">
        <v>536</v>
      </c>
      <c r="B129" s="252"/>
      <c r="C129" s="252"/>
      <c r="D129" s="252"/>
      <c r="E129" s="252"/>
      <c r="F129" s="253"/>
      <c r="G129" s="252"/>
      <c r="H129" s="252"/>
      <c r="I129" s="254"/>
      <c r="J129" s="254"/>
      <c r="K129" s="254"/>
      <c r="L129" s="254"/>
      <c r="M129" s="252"/>
      <c r="N129" s="255"/>
      <c r="O129" s="256"/>
      <c r="P129" s="255"/>
      <c r="Q129" s="257">
        <f>W125/2</f>
        <v>0</v>
      </c>
      <c r="R129" s="290"/>
      <c r="S129" s="262">
        <f>Q129/Q132</f>
        <v>0</v>
      </c>
      <c r="V129" s="263"/>
      <c r="X129" s="99"/>
      <c r="Z129" s="2265" t="s">
        <v>537</v>
      </c>
      <c r="AA129" s="2265"/>
    </row>
    <row r="130" spans="1:35" x14ac:dyDescent="0.3">
      <c r="A130" s="251" t="s">
        <v>529</v>
      </c>
      <c r="B130" s="252"/>
      <c r="C130" s="252"/>
      <c r="D130" s="252"/>
      <c r="E130" s="252"/>
      <c r="F130" s="253"/>
      <c r="G130" s="252"/>
      <c r="H130" s="252"/>
      <c r="I130" s="254"/>
      <c r="J130" s="254"/>
      <c r="K130" s="254"/>
      <c r="L130" s="254"/>
      <c r="M130" s="252"/>
      <c r="N130" s="255"/>
      <c r="O130" s="256"/>
      <c r="P130" s="255"/>
      <c r="Q130" s="257">
        <f>Y125/2</f>
        <v>74000</v>
      </c>
      <c r="R130" s="290"/>
      <c r="S130" s="262">
        <f>Q130/Q132</f>
        <v>0.16711728449787483</v>
      </c>
      <c r="U130" s="263"/>
      <c r="V130" s="263"/>
    </row>
    <row r="131" spans="1:35" x14ac:dyDescent="0.3">
      <c r="A131" s="251" t="s">
        <v>528</v>
      </c>
      <c r="B131" s="252"/>
      <c r="C131" s="252"/>
      <c r="D131" s="252"/>
      <c r="E131" s="252"/>
      <c r="F131" s="253"/>
      <c r="G131" s="252"/>
      <c r="H131" s="252"/>
      <c r="I131" s="254"/>
      <c r="J131" s="254"/>
      <c r="K131" s="254"/>
      <c r="L131" s="254"/>
      <c r="M131" s="252"/>
      <c r="N131" s="255"/>
      <c r="O131" s="256"/>
      <c r="P131" s="255"/>
      <c r="Q131" s="257">
        <f>X125/2</f>
        <v>0</v>
      </c>
      <c r="R131" s="290"/>
      <c r="S131" s="262">
        <f>Q131/Q132</f>
        <v>0</v>
      </c>
    </row>
    <row r="132" spans="1:35" x14ac:dyDescent="0.3">
      <c r="A132" s="251"/>
      <c r="B132" s="252"/>
      <c r="C132" s="252"/>
      <c r="D132" s="252"/>
      <c r="E132" s="252"/>
      <c r="F132" s="253"/>
      <c r="G132" s="252"/>
      <c r="H132" s="252"/>
      <c r="I132" s="254"/>
      <c r="J132" s="254"/>
      <c r="K132" s="254"/>
      <c r="L132" s="254"/>
      <c r="M132" s="252"/>
      <c r="N132" s="255"/>
      <c r="O132" s="256"/>
      <c r="P132" s="255"/>
      <c r="Q132" s="264">
        <f>SUM(Q127:Q131)</f>
        <v>442802.79099999997</v>
      </c>
      <c r="R132" s="490"/>
      <c r="S132" s="262">
        <f>SUM(S127:S131)</f>
        <v>1</v>
      </c>
    </row>
    <row r="133" spans="1:35" x14ac:dyDescent="0.3">
      <c r="A133" s="188"/>
      <c r="N133" s="5"/>
      <c r="O133" s="6"/>
      <c r="P133" s="5"/>
      <c r="Q133" s="7"/>
      <c r="R133" s="7"/>
      <c r="S133" s="6"/>
      <c r="T133" s="5"/>
    </row>
    <row r="134" spans="1:35" ht="18" x14ac:dyDescent="0.35">
      <c r="A134" s="118" t="s">
        <v>554</v>
      </c>
      <c r="N134" s="5"/>
      <c r="O134" s="6"/>
      <c r="P134" s="5"/>
      <c r="Q134" s="7"/>
      <c r="R134" s="7"/>
      <c r="S134" s="8"/>
      <c r="T134" s="5"/>
    </row>
    <row r="135" spans="1:35" x14ac:dyDescent="0.3">
      <c r="A135" s="188"/>
      <c r="N135" s="5"/>
      <c r="O135" s="6"/>
      <c r="P135" s="5"/>
      <c r="Q135" s="7"/>
      <c r="R135" s="7"/>
      <c r="S135" s="6"/>
      <c r="T135" s="5"/>
    </row>
    <row r="136" spans="1:35" x14ac:dyDescent="0.3">
      <c r="A136" s="2335" t="s">
        <v>480</v>
      </c>
      <c r="B136" s="2336"/>
      <c r="C136" s="2336"/>
      <c r="D136" s="2336"/>
      <c r="E136" s="2336"/>
      <c r="F136" s="2336"/>
      <c r="G136" s="2336"/>
      <c r="H136" s="2336"/>
      <c r="I136" s="2336"/>
      <c r="J136" s="2336"/>
      <c r="K136" s="2336"/>
      <c r="L136" s="2336"/>
      <c r="M136" s="2336"/>
      <c r="N136" s="2336"/>
      <c r="O136" s="2336"/>
      <c r="P136" s="2336"/>
      <c r="Q136" s="2336"/>
      <c r="R136" s="2336"/>
      <c r="S136" s="2337"/>
      <c r="T136" s="2374" t="s">
        <v>584</v>
      </c>
      <c r="U136" s="2375"/>
      <c r="V136" s="2375"/>
      <c r="W136" s="2375"/>
      <c r="X136" s="2375"/>
      <c r="Y136" s="2375"/>
      <c r="Z136" s="2375"/>
      <c r="AA136" s="2375"/>
      <c r="AB136" s="2375"/>
      <c r="AC136" s="2375"/>
      <c r="AD136" s="2375"/>
      <c r="AE136" s="2375"/>
      <c r="AF136" s="2375"/>
      <c r="AG136" s="2375"/>
      <c r="AH136" s="2375"/>
      <c r="AI136" s="2376"/>
    </row>
    <row r="137" spans="1:35" ht="15.6" x14ac:dyDescent="0.3">
      <c r="A137" s="2256" t="s">
        <v>482</v>
      </c>
      <c r="B137" s="2258" t="s">
        <v>483</v>
      </c>
      <c r="C137" s="2258" t="s">
        <v>484</v>
      </c>
      <c r="D137" s="2258" t="s">
        <v>555</v>
      </c>
      <c r="E137" s="2258" t="s">
        <v>556</v>
      </c>
      <c r="F137" s="2260" t="s">
        <v>487</v>
      </c>
      <c r="G137" s="2258" t="s">
        <v>557</v>
      </c>
      <c r="H137" s="2258" t="s">
        <v>489</v>
      </c>
      <c r="I137" s="2240" t="s">
        <v>490</v>
      </c>
      <c r="J137" s="2240"/>
      <c r="K137" s="2240"/>
      <c r="L137" s="2240"/>
      <c r="M137" s="305" t="s">
        <v>491</v>
      </c>
      <c r="N137" s="306" t="s">
        <v>558</v>
      </c>
      <c r="O137" s="307" t="s">
        <v>493</v>
      </c>
      <c r="P137" s="306" t="s">
        <v>558</v>
      </c>
      <c r="Q137" s="306" t="s">
        <v>559</v>
      </c>
      <c r="R137" s="512" t="s">
        <v>585</v>
      </c>
      <c r="S137" s="2343" t="s">
        <v>495</v>
      </c>
      <c r="T137" s="513" t="s">
        <v>496</v>
      </c>
      <c r="U137" s="2345" t="s">
        <v>497</v>
      </c>
      <c r="V137" s="2346"/>
      <c r="W137" s="2346"/>
      <c r="X137" s="2346"/>
      <c r="Y137" s="2347"/>
      <c r="Z137" s="2351" t="s">
        <v>498</v>
      </c>
      <c r="AA137" s="2352"/>
      <c r="AB137" s="2351" t="s">
        <v>499</v>
      </c>
      <c r="AC137" s="2355"/>
      <c r="AD137" s="2355"/>
      <c r="AE137" s="2355"/>
      <c r="AF137" s="2355"/>
      <c r="AG137" s="2355"/>
      <c r="AH137" s="2355"/>
      <c r="AI137" s="2352"/>
    </row>
    <row r="138" spans="1:35" ht="15.6" x14ac:dyDescent="0.3">
      <c r="A138" s="2257"/>
      <c r="B138" s="2259"/>
      <c r="C138" s="2259"/>
      <c r="D138" s="2259"/>
      <c r="E138" s="2259"/>
      <c r="F138" s="2261"/>
      <c r="G138" s="2259"/>
      <c r="H138" s="2259"/>
      <c r="I138" s="310" t="s">
        <v>500</v>
      </c>
      <c r="J138" s="310" t="s">
        <v>501</v>
      </c>
      <c r="K138" s="310" t="s">
        <v>502</v>
      </c>
      <c r="L138" s="310" t="s">
        <v>503</v>
      </c>
      <c r="M138" s="311" t="s">
        <v>504</v>
      </c>
      <c r="N138" s="312" t="s">
        <v>505</v>
      </c>
      <c r="O138" s="313" t="s">
        <v>506</v>
      </c>
      <c r="P138" s="312" t="s">
        <v>507</v>
      </c>
      <c r="Q138" s="312" t="s">
        <v>560</v>
      </c>
      <c r="R138" s="312"/>
      <c r="S138" s="2344"/>
      <c r="T138" s="515" t="s">
        <v>508</v>
      </c>
      <c r="U138" s="2348"/>
      <c r="V138" s="2349"/>
      <c r="W138" s="2349"/>
      <c r="X138" s="2349"/>
      <c r="Y138" s="2350"/>
      <c r="Z138" s="2353"/>
      <c r="AA138" s="2354"/>
      <c r="AB138" s="2353"/>
      <c r="AC138" s="2356"/>
      <c r="AD138" s="2356"/>
      <c r="AE138" s="2356"/>
      <c r="AF138" s="2356"/>
      <c r="AG138" s="2356"/>
      <c r="AH138" s="2356"/>
      <c r="AI138" s="2354"/>
    </row>
    <row r="139" spans="1:35" ht="18" x14ac:dyDescent="0.35">
      <c r="A139" s="2377" t="s">
        <v>561</v>
      </c>
      <c r="B139" s="2378"/>
      <c r="C139" s="2378"/>
      <c r="D139" s="2378"/>
      <c r="E139" s="2378"/>
      <c r="F139" s="2378"/>
      <c r="G139" s="2378"/>
      <c r="H139" s="2378"/>
      <c r="I139" s="2378"/>
      <c r="J139" s="2378"/>
      <c r="K139" s="2378"/>
      <c r="L139" s="2378"/>
      <c r="M139" s="2378"/>
      <c r="N139" s="2378"/>
      <c r="O139" s="2378"/>
      <c r="P139" s="2378"/>
      <c r="Q139" s="2378"/>
      <c r="R139" s="2378"/>
      <c r="S139" s="2378"/>
      <c r="T139" s="559"/>
      <c r="U139" s="560" t="s">
        <v>510</v>
      </c>
      <c r="V139" s="561" t="s">
        <v>11</v>
      </c>
      <c r="W139" s="561" t="s">
        <v>511</v>
      </c>
      <c r="X139" s="561" t="s">
        <v>512</v>
      </c>
      <c r="Y139" s="562" t="s">
        <v>513</v>
      </c>
      <c r="Z139" s="563" t="s">
        <v>514</v>
      </c>
      <c r="AA139" s="562" t="s">
        <v>515</v>
      </c>
      <c r="AB139" s="563" t="s">
        <v>12</v>
      </c>
      <c r="AC139" s="561" t="s">
        <v>13</v>
      </c>
      <c r="AD139" s="561" t="s">
        <v>60</v>
      </c>
      <c r="AE139" s="561" t="s">
        <v>61</v>
      </c>
      <c r="AF139" s="561" t="s">
        <v>62</v>
      </c>
      <c r="AG139" s="561" t="s">
        <v>18</v>
      </c>
      <c r="AH139" s="561" t="s">
        <v>19</v>
      </c>
      <c r="AI139" s="562" t="s">
        <v>16</v>
      </c>
    </row>
    <row r="140" spans="1:35" x14ac:dyDescent="0.3">
      <c r="A140" s="154"/>
      <c r="B140" s="462"/>
      <c r="C140" s="462"/>
      <c r="D140" s="462"/>
      <c r="E140" s="462"/>
      <c r="F140" s="463"/>
      <c r="G140" s="462"/>
      <c r="H140" s="462"/>
      <c r="I140" s="465"/>
      <c r="J140" s="465"/>
      <c r="K140" s="465"/>
      <c r="L140" s="465"/>
      <c r="M140" s="462"/>
      <c r="N140" s="468"/>
      <c r="O140" s="469"/>
      <c r="P140" s="468"/>
      <c r="Q140" s="468"/>
      <c r="R140" s="470"/>
      <c r="S140" s="532"/>
      <c r="T140" s="149"/>
      <c r="U140" s="280"/>
      <c r="Y140" s="152"/>
      <c r="Z140" s="280"/>
      <c r="AA140" s="152"/>
      <c r="AB140" s="280"/>
      <c r="AI140" s="152"/>
    </row>
    <row r="141" spans="1:35" x14ac:dyDescent="0.3">
      <c r="A141" s="157" t="s">
        <v>634</v>
      </c>
      <c r="B141" s="157" t="s">
        <v>23</v>
      </c>
      <c r="C141" s="157" t="s">
        <v>517</v>
      </c>
      <c r="D141" s="157" t="s">
        <v>21</v>
      </c>
      <c r="E141" s="157" t="s">
        <v>518</v>
      </c>
      <c r="F141" s="158" t="s">
        <v>521</v>
      </c>
      <c r="G141" s="157">
        <v>1</v>
      </c>
      <c r="H141" s="157" t="s">
        <v>24</v>
      </c>
      <c r="I141" s="159">
        <v>1</v>
      </c>
      <c r="J141" s="161"/>
      <c r="K141" s="161"/>
      <c r="L141" s="2209"/>
      <c r="M141" s="163">
        <v>1</v>
      </c>
      <c r="N141" s="166">
        <v>35211.99</v>
      </c>
      <c r="O141" s="173">
        <v>0.55000000000000004</v>
      </c>
      <c r="P141" s="166">
        <f>N141*(1-O141)</f>
        <v>15845.395499999997</v>
      </c>
      <c r="Q141" s="166">
        <f t="shared" ref="Q141:Q153" si="23">P141*M141*G141</f>
        <v>15845.395499999997</v>
      </c>
      <c r="R141" s="206" t="e">
        <f>(Q141+Q142+Q145+#REF!)/E119*1000</f>
        <v>#REF!</v>
      </c>
      <c r="S141" s="167">
        <f>Q141/$Q$159</f>
        <v>7.1373277742902932E-2</v>
      </c>
      <c r="T141" s="168">
        <f>Q141</f>
        <v>15845.395499999997</v>
      </c>
      <c r="U141" s="282">
        <f t="shared" ref="U141:U147" si="24">T141</f>
        <v>15845.395499999997</v>
      </c>
      <c r="V141" s="169"/>
      <c r="Y141" s="152"/>
      <c r="Z141" s="282"/>
      <c r="AA141" s="171">
        <f>T141</f>
        <v>15845.395499999997</v>
      </c>
      <c r="AB141" s="282">
        <f>T141</f>
        <v>15845.395499999997</v>
      </c>
      <c r="AI141" s="152"/>
    </row>
    <row r="142" spans="1:35" x14ac:dyDescent="0.3">
      <c r="A142" s="157" t="s">
        <v>634</v>
      </c>
      <c r="B142" s="157" t="s">
        <v>25</v>
      </c>
      <c r="C142" s="157" t="s">
        <v>517</v>
      </c>
      <c r="D142" s="157" t="s">
        <v>21</v>
      </c>
      <c r="E142" s="157" t="s">
        <v>518</v>
      </c>
      <c r="F142" s="158" t="s">
        <v>521</v>
      </c>
      <c r="G142" s="157">
        <v>1</v>
      </c>
      <c r="H142" s="157" t="s">
        <v>24</v>
      </c>
      <c r="I142" s="159">
        <v>1</v>
      </c>
      <c r="J142" s="161"/>
      <c r="K142" s="161"/>
      <c r="L142" s="2209"/>
      <c r="M142" s="163">
        <v>1</v>
      </c>
      <c r="N142" s="166">
        <v>7000</v>
      </c>
      <c r="O142" s="173">
        <v>0.1</v>
      </c>
      <c r="P142" s="166">
        <f t="shared" ref="P142:P153" si="25">N142*(1-O142)</f>
        <v>6300</v>
      </c>
      <c r="Q142" s="166">
        <f t="shared" si="23"/>
        <v>6300</v>
      </c>
      <c r="R142" s="206"/>
      <c r="S142" s="167">
        <f>Q142/$Q$159</f>
        <v>2.837743303916198E-2</v>
      </c>
      <c r="T142" s="168">
        <f t="shared" ref="T142:T153" si="26">Q142</f>
        <v>6300</v>
      </c>
      <c r="U142" s="282">
        <f t="shared" si="24"/>
        <v>6300</v>
      </c>
      <c r="V142" s="169"/>
      <c r="Y142" s="152"/>
      <c r="Z142" s="282"/>
      <c r="AA142" s="171">
        <f>T142</f>
        <v>6300</v>
      </c>
      <c r="AB142" s="280"/>
      <c r="AC142" s="169">
        <f>T142</f>
        <v>6300</v>
      </c>
      <c r="AI142" s="152"/>
    </row>
    <row r="143" spans="1:35" x14ac:dyDescent="0.3">
      <c r="A143" s="157" t="s">
        <v>634</v>
      </c>
      <c r="B143" s="157" t="s">
        <v>25</v>
      </c>
      <c r="C143" s="157" t="s">
        <v>517</v>
      </c>
      <c r="D143" s="157" t="s">
        <v>26</v>
      </c>
      <c r="E143" s="157" t="s">
        <v>520</v>
      </c>
      <c r="F143" s="158" t="s">
        <v>640</v>
      </c>
      <c r="G143" s="157">
        <v>1</v>
      </c>
      <c r="H143" s="157" t="s">
        <v>63</v>
      </c>
      <c r="I143" s="175">
        <v>1</v>
      </c>
      <c r="J143" s="176"/>
      <c r="K143" s="176"/>
      <c r="L143" s="177"/>
      <c r="M143" s="163">
        <v>1</v>
      </c>
      <c r="N143" s="166">
        <v>7500</v>
      </c>
      <c r="O143" s="173">
        <v>0.1</v>
      </c>
      <c r="P143" s="166">
        <f t="shared" si="25"/>
        <v>6750</v>
      </c>
      <c r="Q143" s="166">
        <f t="shared" si="23"/>
        <v>6750</v>
      </c>
      <c r="R143" s="206" t="e">
        <f>(Q143+#REF!)/E119*1000</f>
        <v>#REF!</v>
      </c>
      <c r="S143" s="178">
        <f>Q143/$Q$159</f>
        <v>3.0404392541959264E-2</v>
      </c>
      <c r="T143" s="168">
        <f t="shared" si="26"/>
        <v>6750</v>
      </c>
      <c r="U143" s="282">
        <f t="shared" si="24"/>
        <v>6750</v>
      </c>
      <c r="Y143" s="152"/>
      <c r="Z143" s="282">
        <f>T143</f>
        <v>6750</v>
      </c>
      <c r="AA143" s="171"/>
      <c r="AB143" s="280"/>
      <c r="AC143" s="169">
        <f>T143</f>
        <v>6750</v>
      </c>
      <c r="AI143" s="152"/>
    </row>
    <row r="144" spans="1:35" x14ac:dyDescent="0.3">
      <c r="A144" s="157" t="s">
        <v>634</v>
      </c>
      <c r="B144" s="157" t="s">
        <v>25</v>
      </c>
      <c r="C144" s="157" t="s">
        <v>517</v>
      </c>
      <c r="D144" s="157" t="s">
        <v>27</v>
      </c>
      <c r="E144" s="157" t="s">
        <v>520</v>
      </c>
      <c r="F144" s="158" t="s">
        <v>552</v>
      </c>
      <c r="G144" s="157">
        <v>15</v>
      </c>
      <c r="H144" s="157" t="s">
        <v>24</v>
      </c>
      <c r="I144" s="175">
        <v>15</v>
      </c>
      <c r="J144" s="176"/>
      <c r="K144" s="179"/>
      <c r="L144" s="180"/>
      <c r="M144" s="163">
        <v>1</v>
      </c>
      <c r="N144" s="166">
        <v>2900</v>
      </c>
      <c r="O144" s="173">
        <v>0.1</v>
      </c>
      <c r="P144" s="166">
        <f t="shared" si="25"/>
        <v>2610</v>
      </c>
      <c r="Q144" s="166">
        <f t="shared" si="23"/>
        <v>39150</v>
      </c>
      <c r="R144" s="206" t="e">
        <f>(Q144+#REF!)/E119*1000</f>
        <v>#REF!</v>
      </c>
      <c r="S144" s="178">
        <f>Q144/$Q$159</f>
        <v>0.17634547674336373</v>
      </c>
      <c r="T144" s="168">
        <f t="shared" si="26"/>
        <v>39150</v>
      </c>
      <c r="U144" s="282">
        <f t="shared" si="24"/>
        <v>39150</v>
      </c>
      <c r="W144" s="169"/>
      <c r="Y144" s="152"/>
      <c r="Z144" s="283">
        <f>T144</f>
        <v>39150</v>
      </c>
      <c r="AA144" s="171"/>
      <c r="AB144" s="280"/>
      <c r="AC144" s="169">
        <f>T144</f>
        <v>39150</v>
      </c>
      <c r="AI144" s="152"/>
    </row>
    <row r="145" spans="1:35" x14ac:dyDescent="0.3">
      <c r="A145" s="157" t="s">
        <v>634</v>
      </c>
      <c r="B145" s="157" t="s">
        <v>64</v>
      </c>
      <c r="C145" s="157" t="s">
        <v>517</v>
      </c>
      <c r="D145" s="157" t="s">
        <v>21</v>
      </c>
      <c r="E145" s="157" t="s">
        <v>518</v>
      </c>
      <c r="F145" s="158" t="s">
        <v>521</v>
      </c>
      <c r="G145" s="157">
        <v>1</v>
      </c>
      <c r="H145" s="157" t="s">
        <v>24</v>
      </c>
      <c r="I145" s="159">
        <v>1</v>
      </c>
      <c r="J145" s="161"/>
      <c r="K145" s="161"/>
      <c r="L145" s="2209"/>
      <c r="M145" s="163">
        <v>1</v>
      </c>
      <c r="N145" s="166">
        <v>17576</v>
      </c>
      <c r="O145" s="173">
        <v>0.55000000000000004</v>
      </c>
      <c r="P145" s="166">
        <f t="shared" si="25"/>
        <v>7909.1999999999989</v>
      </c>
      <c r="Q145" s="166">
        <f t="shared" si="23"/>
        <v>7909.1999999999989</v>
      </c>
      <c r="R145" s="206"/>
      <c r="S145" s="167">
        <f>Q145/$Q$159</f>
        <v>3.5625840221165064E-2</v>
      </c>
      <c r="T145" s="168">
        <f t="shared" si="26"/>
        <v>7909.1999999999989</v>
      </c>
      <c r="U145" s="282">
        <f t="shared" si="24"/>
        <v>7909.1999999999989</v>
      </c>
      <c r="Y145" s="152"/>
      <c r="Z145" s="282"/>
      <c r="AA145" s="171">
        <f>T145</f>
        <v>7909.1999999999989</v>
      </c>
      <c r="AB145" s="280"/>
      <c r="AD145" s="169">
        <f>T145</f>
        <v>7909.1999999999989</v>
      </c>
      <c r="AI145" s="152"/>
    </row>
    <row r="146" spans="1:35" x14ac:dyDescent="0.3">
      <c r="A146" s="157" t="s">
        <v>634</v>
      </c>
      <c r="B146" s="157" t="s">
        <v>65</v>
      </c>
      <c r="C146" s="157" t="s">
        <v>517</v>
      </c>
      <c r="D146" s="157" t="s">
        <v>26</v>
      </c>
      <c r="E146" s="157" t="s">
        <v>520</v>
      </c>
      <c r="F146" s="158" t="s">
        <v>640</v>
      </c>
      <c r="G146" s="157">
        <v>1</v>
      </c>
      <c r="H146" s="157" t="s">
        <v>24</v>
      </c>
      <c r="I146" s="182">
        <v>1</v>
      </c>
      <c r="J146" s="183"/>
      <c r="K146" s="183"/>
      <c r="L146" s="2239"/>
      <c r="M146" s="163">
        <v>1</v>
      </c>
      <c r="N146" s="166">
        <v>5500</v>
      </c>
      <c r="O146" s="173">
        <v>0.15</v>
      </c>
      <c r="P146" s="166">
        <f t="shared" si="25"/>
        <v>4675</v>
      </c>
      <c r="Q146" s="166">
        <f t="shared" si="23"/>
        <v>4675</v>
      </c>
      <c r="R146" s="206" t="e">
        <f>(Q146+#REF!+Q147)/E119*1000</f>
        <v>#REF!</v>
      </c>
      <c r="S146" s="178">
        <f t="shared" ref="S146:S147" si="27">Q146/$Q$159</f>
        <v>2.1057857056838453E-2</v>
      </c>
      <c r="T146" s="168">
        <f t="shared" si="26"/>
        <v>4675</v>
      </c>
      <c r="U146" s="282">
        <f t="shared" si="24"/>
        <v>4675</v>
      </c>
      <c r="Y146" s="152"/>
      <c r="Z146" s="282">
        <f>T146</f>
        <v>4675</v>
      </c>
      <c r="AA146" s="171"/>
      <c r="AB146" s="280"/>
      <c r="AE146" s="169">
        <f>T146</f>
        <v>4675</v>
      </c>
      <c r="AI146" s="152"/>
    </row>
    <row r="147" spans="1:35" x14ac:dyDescent="0.3">
      <c r="A147" s="157" t="s">
        <v>634</v>
      </c>
      <c r="B147" s="157" t="s">
        <v>66</v>
      </c>
      <c r="C147" s="157" t="s">
        <v>517</v>
      </c>
      <c r="D147" s="157" t="s">
        <v>27</v>
      </c>
      <c r="E147" s="157" t="s">
        <v>524</v>
      </c>
      <c r="F147" s="158" t="s">
        <v>552</v>
      </c>
      <c r="G147" s="157">
        <v>15</v>
      </c>
      <c r="H147" s="157" t="s">
        <v>24</v>
      </c>
      <c r="I147" s="185"/>
      <c r="J147" s="160"/>
      <c r="K147" s="176">
        <v>15</v>
      </c>
      <c r="L147" s="177"/>
      <c r="M147" s="157">
        <v>1</v>
      </c>
      <c r="N147" s="166">
        <v>3222.65</v>
      </c>
      <c r="O147" s="173">
        <v>0.2</v>
      </c>
      <c r="P147" s="186">
        <f t="shared" si="25"/>
        <v>2578.1200000000003</v>
      </c>
      <c r="Q147" s="166">
        <f t="shared" si="23"/>
        <v>38671.800000000003</v>
      </c>
      <c r="R147" s="206"/>
      <c r="S147" s="178">
        <f t="shared" si="27"/>
        <v>0.17419149444505783</v>
      </c>
      <c r="T147" s="168">
        <f t="shared" si="26"/>
        <v>38671.800000000003</v>
      </c>
      <c r="U147" s="282">
        <f t="shared" si="24"/>
        <v>38671.800000000003</v>
      </c>
      <c r="Y147" s="152"/>
      <c r="Z147" s="282">
        <f>T147</f>
        <v>38671.800000000003</v>
      </c>
      <c r="AA147" s="152"/>
      <c r="AB147" s="280"/>
      <c r="AF147" s="169">
        <f>T147</f>
        <v>38671.800000000003</v>
      </c>
      <c r="AI147" s="152"/>
    </row>
    <row r="148" spans="1:35" x14ac:dyDescent="0.3">
      <c r="A148" s="157" t="s">
        <v>634</v>
      </c>
      <c r="B148" s="157" t="s">
        <v>31</v>
      </c>
      <c r="C148" s="157" t="s">
        <v>525</v>
      </c>
      <c r="D148" s="157" t="s">
        <v>32</v>
      </c>
      <c r="E148" s="157" t="s">
        <v>526</v>
      </c>
      <c r="F148" s="158" t="s">
        <v>527</v>
      </c>
      <c r="G148" s="157">
        <v>3</v>
      </c>
      <c r="H148" s="157" t="s">
        <v>33</v>
      </c>
      <c r="I148" s="284">
        <v>3</v>
      </c>
      <c r="J148" s="285">
        <v>3</v>
      </c>
      <c r="K148" s="285">
        <v>3</v>
      </c>
      <c r="L148" s="161">
        <v>3</v>
      </c>
      <c r="M148" s="157">
        <v>1</v>
      </c>
      <c r="N148" s="166">
        <f>265*8</f>
        <v>2120</v>
      </c>
      <c r="O148" s="173">
        <v>0.4</v>
      </c>
      <c r="P148" s="186">
        <f t="shared" si="25"/>
        <v>1272</v>
      </c>
      <c r="Q148" s="166">
        <f t="shared" si="23"/>
        <v>3816</v>
      </c>
      <c r="R148" s="206"/>
      <c r="S148" s="187">
        <f>Q148/$Q$159</f>
        <v>1.7188616583720971E-2</v>
      </c>
      <c r="T148" s="168">
        <f t="shared" si="26"/>
        <v>3816</v>
      </c>
      <c r="U148" s="283"/>
      <c r="W148" s="169">
        <f>T148</f>
        <v>3816</v>
      </c>
      <c r="Y148" s="152"/>
      <c r="Z148" s="283">
        <f>W148</f>
        <v>3816</v>
      </c>
      <c r="AA148" s="152"/>
      <c r="AB148" s="280"/>
      <c r="AG148" s="169"/>
      <c r="AI148" s="171">
        <f>T148</f>
        <v>3816</v>
      </c>
    </row>
    <row r="149" spans="1:35" x14ac:dyDescent="0.3">
      <c r="A149" s="157" t="s">
        <v>634</v>
      </c>
      <c r="B149" s="157" t="s">
        <v>35</v>
      </c>
      <c r="C149" s="157" t="s">
        <v>637</v>
      </c>
      <c r="D149" s="157" t="s">
        <v>21</v>
      </c>
      <c r="E149" s="157" t="s">
        <v>518</v>
      </c>
      <c r="F149" s="158" t="s">
        <v>521</v>
      </c>
      <c r="G149" s="157">
        <v>2</v>
      </c>
      <c r="H149" s="157" t="s">
        <v>24</v>
      </c>
      <c r="I149" s="182">
        <v>2</v>
      </c>
      <c r="J149" s="183"/>
      <c r="K149" s="183"/>
      <c r="L149" s="2239"/>
      <c r="M149" s="157">
        <v>1</v>
      </c>
      <c r="N149" s="473">
        <v>12150</v>
      </c>
      <c r="O149" s="165">
        <v>0.4</v>
      </c>
      <c r="P149" s="186">
        <f t="shared" si="25"/>
        <v>7290</v>
      </c>
      <c r="Q149" s="166">
        <f t="shared" si="23"/>
        <v>14580</v>
      </c>
      <c r="R149" s="606"/>
      <c r="S149" s="167">
        <f>Q149/$Q$159</f>
        <v>6.5673487890632015E-2</v>
      </c>
      <c r="T149" s="168">
        <f t="shared" si="26"/>
        <v>14580</v>
      </c>
      <c r="U149" s="283">
        <f t="shared" ref="U149:U152" si="28">T149</f>
        <v>14580</v>
      </c>
      <c r="Y149" s="152"/>
      <c r="Z149" s="607"/>
      <c r="AA149" s="171">
        <f>T149</f>
        <v>14580</v>
      </c>
      <c r="AB149" s="280"/>
      <c r="AG149" s="169">
        <f>T149</f>
        <v>14580</v>
      </c>
      <c r="AI149" s="152"/>
    </row>
    <row r="150" spans="1:35" x14ac:dyDescent="0.3">
      <c r="A150" s="157" t="s">
        <v>634</v>
      </c>
      <c r="B150" s="157" t="s">
        <v>35</v>
      </c>
      <c r="C150" s="157" t="s">
        <v>637</v>
      </c>
      <c r="D150" s="157" t="s">
        <v>26</v>
      </c>
      <c r="E150" s="157" t="s">
        <v>520</v>
      </c>
      <c r="F150" s="158" t="s">
        <v>640</v>
      </c>
      <c r="G150" s="157">
        <v>2</v>
      </c>
      <c r="H150" s="157" t="s">
        <v>24</v>
      </c>
      <c r="I150" s="182">
        <v>2</v>
      </c>
      <c r="J150" s="183"/>
      <c r="K150" s="183"/>
      <c r="L150" s="2239"/>
      <c r="M150" s="157">
        <v>1</v>
      </c>
      <c r="N150" s="473">
        <v>15000</v>
      </c>
      <c r="O150" s="165">
        <v>0.49</v>
      </c>
      <c r="P150" s="186">
        <f t="shared" si="25"/>
        <v>7650</v>
      </c>
      <c r="Q150" s="166">
        <f t="shared" si="23"/>
        <v>15300</v>
      </c>
      <c r="R150" s="606"/>
      <c r="S150" s="178">
        <f t="shared" ref="S150:S153" si="29">Q150/$Q$159</f>
        <v>6.8916623095107668E-2</v>
      </c>
      <c r="T150" s="168">
        <f t="shared" si="26"/>
        <v>15300</v>
      </c>
      <c r="U150" s="283">
        <f t="shared" si="28"/>
        <v>15300</v>
      </c>
      <c r="Y150" s="152"/>
      <c r="Z150" s="607">
        <f>T150</f>
        <v>15300</v>
      </c>
      <c r="AA150" s="152"/>
      <c r="AB150" s="280"/>
      <c r="AG150" s="169">
        <f>T150</f>
        <v>15300</v>
      </c>
      <c r="AI150" s="152"/>
    </row>
    <row r="151" spans="1:35" x14ac:dyDescent="0.3">
      <c r="A151" s="157" t="s">
        <v>634</v>
      </c>
      <c r="B151" s="157" t="s">
        <v>67</v>
      </c>
      <c r="C151" s="157" t="s">
        <v>637</v>
      </c>
      <c r="D151" s="157" t="s">
        <v>21</v>
      </c>
      <c r="E151" s="157" t="s">
        <v>518</v>
      </c>
      <c r="F151" s="158" t="s">
        <v>521</v>
      </c>
      <c r="G151" s="157">
        <v>1</v>
      </c>
      <c r="H151" s="157" t="s">
        <v>24</v>
      </c>
      <c r="I151" s="182">
        <v>1</v>
      </c>
      <c r="J151" s="183"/>
      <c r="K151" s="183"/>
      <c r="L151" s="2239"/>
      <c r="M151" s="157">
        <v>1</v>
      </c>
      <c r="N151" s="473">
        <v>8980</v>
      </c>
      <c r="O151" s="165">
        <v>0.25</v>
      </c>
      <c r="P151" s="476">
        <f t="shared" si="25"/>
        <v>6735</v>
      </c>
      <c r="Q151" s="473">
        <f t="shared" si="23"/>
        <v>6735</v>
      </c>
      <c r="R151" s="606"/>
      <c r="S151" s="167">
        <f>Q151/$Q$159</f>
        <v>3.0336827225199352E-2</v>
      </c>
      <c r="T151" s="168">
        <f t="shared" si="26"/>
        <v>6735</v>
      </c>
      <c r="U151" s="607">
        <f t="shared" si="28"/>
        <v>6735</v>
      </c>
      <c r="Y151" s="152"/>
      <c r="Z151" s="607"/>
      <c r="AA151" s="171">
        <f>T151</f>
        <v>6735</v>
      </c>
      <c r="AB151" s="280"/>
      <c r="AH151" s="169">
        <f>T151</f>
        <v>6735</v>
      </c>
      <c r="AI151" s="152"/>
    </row>
    <row r="152" spans="1:35" x14ac:dyDescent="0.3">
      <c r="A152" s="157" t="s">
        <v>634</v>
      </c>
      <c r="B152" s="157" t="s">
        <v>67</v>
      </c>
      <c r="C152" s="157" t="s">
        <v>637</v>
      </c>
      <c r="D152" s="157" t="s">
        <v>26</v>
      </c>
      <c r="E152" s="157" t="s">
        <v>520</v>
      </c>
      <c r="F152" s="158" t="s">
        <v>640</v>
      </c>
      <c r="G152" s="157">
        <v>1</v>
      </c>
      <c r="H152" s="157" t="s">
        <v>24</v>
      </c>
      <c r="I152" s="182">
        <v>1</v>
      </c>
      <c r="J152" s="183"/>
      <c r="K152" s="183"/>
      <c r="L152" s="2239"/>
      <c r="M152" s="157">
        <v>1</v>
      </c>
      <c r="N152" s="473">
        <v>14500</v>
      </c>
      <c r="O152" s="165">
        <v>0.25</v>
      </c>
      <c r="P152" s="476">
        <f t="shared" si="25"/>
        <v>10875</v>
      </c>
      <c r="Q152" s="473">
        <f t="shared" si="23"/>
        <v>10875</v>
      </c>
      <c r="R152" s="606"/>
      <c r="S152" s="178">
        <f t="shared" si="29"/>
        <v>4.898485465093437E-2</v>
      </c>
      <c r="T152" s="168">
        <f t="shared" si="26"/>
        <v>10875</v>
      </c>
      <c r="U152" s="607">
        <f t="shared" si="28"/>
        <v>10875</v>
      </c>
      <c r="Y152" s="152"/>
      <c r="Z152" s="607">
        <f>T152</f>
        <v>10875</v>
      </c>
      <c r="AA152" s="152"/>
      <c r="AB152" s="280"/>
      <c r="AH152" s="169">
        <f>T152</f>
        <v>10875</v>
      </c>
      <c r="AI152" s="152"/>
    </row>
    <row r="153" spans="1:35" x14ac:dyDescent="0.3">
      <c r="A153" s="157" t="s">
        <v>634</v>
      </c>
      <c r="B153" s="157" t="s">
        <v>67</v>
      </c>
      <c r="C153" s="157" t="s">
        <v>592</v>
      </c>
      <c r="D153" s="157" t="s">
        <v>68</v>
      </c>
      <c r="E153" s="157" t="s">
        <v>520</v>
      </c>
      <c r="F153" s="158" t="s">
        <v>641</v>
      </c>
      <c r="G153" s="157">
        <v>10</v>
      </c>
      <c r="H153" s="157" t="s">
        <v>24</v>
      </c>
      <c r="I153" s="182">
        <v>10</v>
      </c>
      <c r="J153" s="183"/>
      <c r="K153" s="183"/>
      <c r="L153" s="2239"/>
      <c r="M153" s="157">
        <v>1</v>
      </c>
      <c r="N153" s="473">
        <v>1800</v>
      </c>
      <c r="O153" s="165">
        <v>0.2</v>
      </c>
      <c r="P153" s="476">
        <f t="shared" si="25"/>
        <v>1440</v>
      </c>
      <c r="Q153" s="473">
        <f t="shared" si="23"/>
        <v>14400</v>
      </c>
      <c r="R153" s="606"/>
      <c r="S153" s="178">
        <f t="shared" si="29"/>
        <v>6.4862704089513099E-2</v>
      </c>
      <c r="T153" s="168">
        <f t="shared" si="26"/>
        <v>14400</v>
      </c>
      <c r="U153" s="607"/>
      <c r="W153" s="169">
        <f>T153</f>
        <v>14400</v>
      </c>
      <c r="Y153" s="152"/>
      <c r="Z153" s="607">
        <f>T153</f>
        <v>14400</v>
      </c>
      <c r="AA153" s="152"/>
      <c r="AB153" s="280"/>
      <c r="AH153" s="169">
        <f>T153</f>
        <v>14400</v>
      </c>
      <c r="AI153" s="152"/>
    </row>
    <row r="154" spans="1:35" x14ac:dyDescent="0.3">
      <c r="A154" s="157"/>
      <c r="B154" s="157"/>
      <c r="C154" s="157"/>
      <c r="D154" s="157"/>
      <c r="E154" s="157"/>
      <c r="F154" s="158"/>
      <c r="G154" s="157"/>
      <c r="H154" s="157"/>
      <c r="I154" s="1"/>
      <c r="K154" s="1"/>
      <c r="L154" s="286"/>
      <c r="M154" s="157"/>
      <c r="N154" s="473"/>
      <c r="O154" s="165"/>
      <c r="P154" s="476"/>
      <c r="Q154" s="473"/>
      <c r="R154" s="606"/>
      <c r="S154" s="609"/>
      <c r="T154" s="478"/>
      <c r="U154" s="607"/>
      <c r="Y154" s="152"/>
      <c r="Z154" s="607"/>
      <c r="AA154" s="152"/>
      <c r="AB154" s="280"/>
      <c r="AI154" s="152"/>
    </row>
    <row r="155" spans="1:35" x14ac:dyDescent="0.3">
      <c r="A155" s="172"/>
      <c r="B155" s="157"/>
      <c r="C155" s="190"/>
      <c r="D155" s="190"/>
      <c r="E155" s="190"/>
      <c r="F155" s="191"/>
      <c r="G155" s="190"/>
      <c r="H155" s="190"/>
      <c r="I155" s="245"/>
      <c r="J155" s="245"/>
      <c r="K155" s="245"/>
      <c r="L155" s="287"/>
      <c r="M155" s="190"/>
      <c r="N155" s="194"/>
      <c r="O155" s="195"/>
      <c r="P155" s="288"/>
      <c r="Q155" s="194"/>
      <c r="R155" s="206"/>
      <c r="S155" s="393"/>
      <c r="T155" s="168"/>
      <c r="U155" s="280"/>
      <c r="Y155" s="152"/>
      <c r="Z155" s="280"/>
      <c r="AA155" s="152"/>
      <c r="AB155" s="280"/>
      <c r="AI155" s="152"/>
    </row>
    <row r="156" spans="1:35" x14ac:dyDescent="0.3">
      <c r="A156" s="108" t="s">
        <v>634</v>
      </c>
      <c r="B156" s="108" t="s">
        <v>528</v>
      </c>
      <c r="C156" s="192"/>
      <c r="D156" s="193"/>
      <c r="E156" s="193"/>
      <c r="F156" s="244"/>
      <c r="G156" s="193"/>
      <c r="H156" s="193"/>
      <c r="I156" s="252"/>
      <c r="J156" s="252"/>
      <c r="K156" s="252"/>
      <c r="L156" s="252"/>
      <c r="M156" s="193"/>
      <c r="N156" s="246"/>
      <c r="O156" s="196"/>
      <c r="P156" s="186"/>
      <c r="Q156" s="166">
        <f>P156*M156*G156</f>
        <v>0</v>
      </c>
      <c r="R156" s="290"/>
      <c r="S156" s="256">
        <f>Q156/Q159</f>
        <v>0</v>
      </c>
      <c r="T156" s="168">
        <f>Q156</f>
        <v>0</v>
      </c>
      <c r="U156" s="280"/>
      <c r="X156" s="169">
        <f>T156</f>
        <v>0</v>
      </c>
      <c r="Y156" s="152"/>
      <c r="Z156" s="280"/>
      <c r="AA156" s="171">
        <f>X156</f>
        <v>0</v>
      </c>
      <c r="AB156" s="280"/>
      <c r="AI156" s="152"/>
    </row>
    <row r="157" spans="1:35" x14ac:dyDescent="0.3">
      <c r="A157" s="108" t="s">
        <v>634</v>
      </c>
      <c r="B157" s="108" t="s">
        <v>529</v>
      </c>
      <c r="C157" s="289"/>
      <c r="D157" s="252"/>
      <c r="E157" s="252"/>
      <c r="F157" s="253"/>
      <c r="G157" s="252"/>
      <c r="H157" s="252"/>
      <c r="I157" s="254"/>
      <c r="J157" s="254"/>
      <c r="K157" s="254"/>
      <c r="L157" s="254"/>
      <c r="M157" s="252"/>
      <c r="N157" s="255"/>
      <c r="O157" s="256"/>
      <c r="P157" s="290"/>
      <c r="Q157" s="257">
        <v>37000</v>
      </c>
      <c r="R157" s="480"/>
      <c r="S157" s="291">
        <f>Q157/Q159</f>
        <v>0.16666111467444336</v>
      </c>
      <c r="T157" s="168">
        <f>Q157</f>
        <v>37000</v>
      </c>
      <c r="U157" s="280"/>
      <c r="Y157" s="171">
        <f>T157</f>
        <v>37000</v>
      </c>
      <c r="Z157" s="280"/>
      <c r="AA157" s="152"/>
      <c r="AB157" s="280"/>
      <c r="AI157" s="152"/>
    </row>
    <row r="158" spans="1:35" x14ac:dyDescent="0.3">
      <c r="I158" s="115">
        <f>I159/M159</f>
        <v>0.61904761904761907</v>
      </c>
      <c r="J158" s="115">
        <f>J159/M159</f>
        <v>4.7619047619047616E-2</v>
      </c>
      <c r="K158" s="115">
        <f>K159/M159</f>
        <v>0.2857142857142857</v>
      </c>
      <c r="L158" s="115">
        <f>L159/M159</f>
        <v>4.7619047619047616E-2</v>
      </c>
      <c r="T158" s="149"/>
      <c r="U158" s="280"/>
      <c r="Y158" s="152"/>
      <c r="Z158" s="280"/>
      <c r="AA158" s="152"/>
      <c r="AB158" s="280"/>
      <c r="AI158" s="152"/>
    </row>
    <row r="159" spans="1:35" x14ac:dyDescent="0.3">
      <c r="A159" s="326" t="s">
        <v>531</v>
      </c>
      <c r="B159" s="327"/>
      <c r="C159" s="327"/>
      <c r="D159" s="327"/>
      <c r="E159" s="327"/>
      <c r="F159" s="328"/>
      <c r="G159" s="327"/>
      <c r="H159" s="327"/>
      <c r="I159" s="327">
        <f>I148+I146+I145+I144+I143+I142+I141+I149+I150+I151+I152+I153</f>
        <v>39</v>
      </c>
      <c r="J159" s="327">
        <f>J148</f>
        <v>3</v>
      </c>
      <c r="K159" s="327">
        <f>K148+K147</f>
        <v>18</v>
      </c>
      <c r="L159" s="327">
        <f>L148</f>
        <v>3</v>
      </c>
      <c r="M159" s="327">
        <f>SUM(I159:L159)</f>
        <v>63</v>
      </c>
      <c r="N159" s="329"/>
      <c r="O159" s="330"/>
      <c r="P159" s="329"/>
      <c r="Q159" s="331">
        <f>SUM(Q141:Q158)</f>
        <v>222007.39549999998</v>
      </c>
      <c r="R159" s="331"/>
      <c r="S159" s="332">
        <f>SUM(S141:S157)</f>
        <v>1.0000000000000002</v>
      </c>
      <c r="T159" s="333">
        <f>SUM(T141:T158)</f>
        <v>222007.39549999998</v>
      </c>
      <c r="U159" s="334">
        <f t="shared" ref="U159:AA159" si="30">SUM(U141:U157)</f>
        <v>166791.39549999998</v>
      </c>
      <c r="V159" s="335">
        <f t="shared" si="30"/>
        <v>0</v>
      </c>
      <c r="W159" s="335">
        <f t="shared" si="30"/>
        <v>18216</v>
      </c>
      <c r="X159" s="335">
        <f t="shared" si="30"/>
        <v>0</v>
      </c>
      <c r="Y159" s="337">
        <f t="shared" si="30"/>
        <v>37000</v>
      </c>
      <c r="Z159" s="336">
        <f t="shared" si="30"/>
        <v>133637.79999999999</v>
      </c>
      <c r="AA159" s="337">
        <f t="shared" si="30"/>
        <v>51369.595499999996</v>
      </c>
      <c r="AB159" s="619">
        <f>SUM(AB141:AB158)</f>
        <v>15845.395499999997</v>
      </c>
      <c r="AC159" s="620">
        <f t="shared" ref="AC159:AH159" si="31">SUM(AC141:AC158)</f>
        <v>52200</v>
      </c>
      <c r="AD159" s="620">
        <f t="shared" si="31"/>
        <v>7909.1999999999989</v>
      </c>
      <c r="AE159" s="620">
        <f t="shared" si="31"/>
        <v>4675</v>
      </c>
      <c r="AF159" s="620">
        <f t="shared" si="31"/>
        <v>38671.800000000003</v>
      </c>
      <c r="AG159" s="620">
        <f t="shared" si="31"/>
        <v>29880</v>
      </c>
      <c r="AH159" s="620">
        <f t="shared" si="31"/>
        <v>32010</v>
      </c>
      <c r="AI159" s="341">
        <f>SUM(AI141:AI158)</f>
        <v>3816</v>
      </c>
    </row>
    <row r="160" spans="1:35" x14ac:dyDescent="0.3">
      <c r="A160" s="342" t="s">
        <v>532</v>
      </c>
      <c r="B160" s="343"/>
      <c r="C160" s="343"/>
      <c r="D160" s="343"/>
      <c r="E160" s="343"/>
      <c r="F160" s="344"/>
      <c r="G160" s="343"/>
      <c r="H160" s="343"/>
      <c r="I160" s="343">
        <f>I148+I146+I145+I144+I143+I142+I141+I149+I150+I151+I152+I153</f>
        <v>39</v>
      </c>
      <c r="J160" s="343">
        <f>I146+I145+I144+I143+I142+I141+J148+I149+I150+I151+I152+I153</f>
        <v>39</v>
      </c>
      <c r="K160" s="343">
        <f>K148+K147+I146+I145+I143+I142+I141+I149+I150+I151+I152+I153</f>
        <v>39</v>
      </c>
      <c r="L160" s="343">
        <f>K147+I146+I145+I143+I142+I141+L148+I149+I150+I151+I152+I153</f>
        <v>39</v>
      </c>
      <c r="M160" s="343">
        <f>SUM(I160:L160)</f>
        <v>156</v>
      </c>
      <c r="N160" s="345"/>
      <c r="O160" s="346"/>
      <c r="P160" s="345"/>
      <c r="Q160" s="345"/>
      <c r="R160" s="345"/>
      <c r="S160" s="347"/>
      <c r="T160" s="348"/>
      <c r="U160" s="349">
        <f>U159/T159</f>
        <v>0.7512875646523226</v>
      </c>
      <c r="V160" s="350">
        <f>V159/T159</f>
        <v>0</v>
      </c>
      <c r="W160" s="350">
        <f>W159/T159</f>
        <v>8.2051320673234063E-2</v>
      </c>
      <c r="X160" s="350">
        <f>X159/T159</f>
        <v>0</v>
      </c>
      <c r="Y160" s="352">
        <f>Y159/T159</f>
        <v>0.16666111467444336</v>
      </c>
      <c r="Z160" s="351">
        <f>Z159/T159</f>
        <v>0.60195201920649533</v>
      </c>
      <c r="AA160" s="352">
        <f>AA159/T159</f>
        <v>0.23138686611906134</v>
      </c>
      <c r="AB160" s="591"/>
      <c r="AC160" s="524"/>
      <c r="AD160" s="524"/>
      <c r="AE160" s="524"/>
      <c r="AF160" s="524"/>
      <c r="AG160" s="524"/>
      <c r="AH160" s="524"/>
      <c r="AI160" s="356"/>
    </row>
    <row r="161" spans="1:35" x14ac:dyDescent="0.3">
      <c r="A161" s="243" t="s">
        <v>533</v>
      </c>
      <c r="B161" s="193"/>
      <c r="C161" s="193"/>
      <c r="D161" s="193"/>
      <c r="E161" s="193"/>
      <c r="F161" s="244"/>
      <c r="G161" s="193"/>
      <c r="H161" s="193"/>
      <c r="I161" s="2182">
        <f>I160/M160</f>
        <v>0.25</v>
      </c>
      <c r="J161" s="245"/>
      <c r="K161" s="245"/>
      <c r="L161" s="245"/>
      <c r="M161" s="193"/>
      <c r="N161" s="246"/>
      <c r="O161" s="196"/>
      <c r="P161" s="246"/>
      <c r="Q161" s="194">
        <f>U159</f>
        <v>166791.39549999998</v>
      </c>
      <c r="R161" s="288"/>
      <c r="S161" s="247">
        <f>Q161/Q166</f>
        <v>0.7512875646523226</v>
      </c>
      <c r="Y161" s="248"/>
      <c r="Z161" s="357">
        <f>I143+I144+I146+K147+I150+I152+I153</f>
        <v>45</v>
      </c>
      <c r="AA161" s="358">
        <f>I141+I142+I145+I149+I151</f>
        <v>6</v>
      </c>
    </row>
    <row r="162" spans="1:35" x14ac:dyDescent="0.3">
      <c r="A162" s="251" t="s">
        <v>11</v>
      </c>
      <c r="B162" s="252"/>
      <c r="C162" s="252"/>
      <c r="D162" s="252"/>
      <c r="E162" s="252"/>
      <c r="F162" s="253"/>
      <c r="G162" s="252"/>
      <c r="H162" s="252"/>
      <c r="I162" s="254"/>
      <c r="J162" s="254"/>
      <c r="K162" s="254"/>
      <c r="L162" s="254"/>
      <c r="M162" s="252"/>
      <c r="N162" s="255"/>
      <c r="O162" s="256"/>
      <c r="P162" s="255"/>
      <c r="Q162" s="257">
        <f>V159</f>
        <v>0</v>
      </c>
      <c r="R162" s="290"/>
      <c r="S162" s="256">
        <f>Q162/Q166</f>
        <v>0</v>
      </c>
      <c r="T162" s="525">
        <f>Q159/M159</f>
        <v>3523.9269126984123</v>
      </c>
      <c r="U162" s="621" t="s">
        <v>535</v>
      </c>
      <c r="Z162" s="195">
        <f>Z161/M159</f>
        <v>0.7142857142857143</v>
      </c>
      <c r="AA162" s="247">
        <f>AA161/M159</f>
        <v>9.5238095238095233E-2</v>
      </c>
    </row>
    <row r="163" spans="1:35" x14ac:dyDescent="0.3">
      <c r="A163" s="251" t="s">
        <v>536</v>
      </c>
      <c r="B163" s="252"/>
      <c r="C163" s="252"/>
      <c r="D163" s="252"/>
      <c r="E163" s="252"/>
      <c r="F163" s="253"/>
      <c r="G163" s="252"/>
      <c r="H163" s="252"/>
      <c r="I163" s="254"/>
      <c r="J163" s="254"/>
      <c r="K163" s="254"/>
      <c r="L163" s="254"/>
      <c r="M163" s="252"/>
      <c r="N163" s="255"/>
      <c r="O163" s="256"/>
      <c r="P163" s="255"/>
      <c r="Q163" s="257">
        <f>W159</f>
        <v>18216</v>
      </c>
      <c r="R163" s="290"/>
      <c r="S163" s="262">
        <f>Q163/Q166</f>
        <v>8.2051320673234063E-2</v>
      </c>
      <c r="V163" s="263"/>
      <c r="X163" s="99"/>
      <c r="Z163" s="2265" t="s">
        <v>537</v>
      </c>
      <c r="AA163" s="2265"/>
    </row>
    <row r="164" spans="1:35" x14ac:dyDescent="0.3">
      <c r="A164" s="251" t="s">
        <v>529</v>
      </c>
      <c r="B164" s="252"/>
      <c r="C164" s="252"/>
      <c r="D164" s="252"/>
      <c r="E164" s="252"/>
      <c r="F164" s="253"/>
      <c r="G164" s="252"/>
      <c r="H164" s="252"/>
      <c r="I164" s="254"/>
      <c r="J164" s="254"/>
      <c r="K164" s="254"/>
      <c r="L164" s="254"/>
      <c r="M164" s="252"/>
      <c r="N164" s="255"/>
      <c r="O164" s="256"/>
      <c r="P164" s="255"/>
      <c r="Q164" s="257">
        <f>Y159</f>
        <v>37000</v>
      </c>
      <c r="R164" s="290"/>
      <c r="S164" s="262">
        <f>Q164/Q166</f>
        <v>0.16666111467444336</v>
      </c>
      <c r="U164" s="263"/>
      <c r="V164" s="263"/>
    </row>
    <row r="165" spans="1:35" x14ac:dyDescent="0.3">
      <c r="A165" s="251" t="s">
        <v>528</v>
      </c>
      <c r="B165" s="252"/>
      <c r="C165" s="252"/>
      <c r="D165" s="252"/>
      <c r="E165" s="252"/>
      <c r="F165" s="253"/>
      <c r="G165" s="252"/>
      <c r="H165" s="252"/>
      <c r="I165" s="254"/>
      <c r="J165" s="254"/>
      <c r="K165" s="254"/>
      <c r="L165" s="254"/>
      <c r="M165" s="252"/>
      <c r="N165" s="255"/>
      <c r="O165" s="256"/>
      <c r="P165" s="255"/>
      <c r="Q165" s="257">
        <f>X159</f>
        <v>0</v>
      </c>
      <c r="R165" s="290"/>
      <c r="S165" s="262">
        <f>Q165/Q166</f>
        <v>0</v>
      </c>
    </row>
    <row r="166" spans="1:35" x14ac:dyDescent="0.3">
      <c r="A166" s="251"/>
      <c r="B166" s="252"/>
      <c r="C166" s="252"/>
      <c r="D166" s="252"/>
      <c r="E166" s="252"/>
      <c r="F166" s="253"/>
      <c r="G166" s="252"/>
      <c r="H166" s="252"/>
      <c r="I166" s="254"/>
      <c r="J166" s="254"/>
      <c r="K166" s="254"/>
      <c r="L166" s="254"/>
      <c r="M166" s="252"/>
      <c r="N166" s="255"/>
      <c r="O166" s="256"/>
      <c r="P166" s="255"/>
      <c r="Q166" s="264">
        <f>SUM(Q161:Q165)</f>
        <v>222007.39549999998</v>
      </c>
      <c r="R166" s="490"/>
      <c r="S166" s="262">
        <f>SUM(S161:S165)</f>
        <v>1</v>
      </c>
    </row>
    <row r="169" spans="1:35" x14ac:dyDescent="0.3">
      <c r="E169" s="1" t="s">
        <v>562</v>
      </c>
      <c r="F169" s="2" t="s">
        <v>642</v>
      </c>
    </row>
    <row r="170" spans="1:35" x14ac:dyDescent="0.3">
      <c r="E170" s="1" t="s">
        <v>473</v>
      </c>
      <c r="F170" s="2" t="s">
        <v>52</v>
      </c>
    </row>
    <row r="171" spans="1:35" ht="18" x14ac:dyDescent="0.35">
      <c r="A171" s="118"/>
      <c r="E171" s="1" t="s">
        <v>475</v>
      </c>
      <c r="F171" s="2" t="s">
        <v>643</v>
      </c>
    </row>
    <row r="172" spans="1:35" x14ac:dyDescent="0.3">
      <c r="E172" s="1" t="s">
        <v>477</v>
      </c>
      <c r="F172" s="2" t="s">
        <v>644</v>
      </c>
    </row>
    <row r="173" spans="1:35" ht="18" x14ac:dyDescent="0.35">
      <c r="A173" s="118"/>
    </row>
    <row r="174" spans="1:35" ht="18" x14ac:dyDescent="0.35">
      <c r="A174" s="118" t="s">
        <v>567</v>
      </c>
      <c r="S174" s="98"/>
    </row>
    <row r="176" spans="1:35" x14ac:dyDescent="0.3">
      <c r="A176" s="2335" t="s">
        <v>480</v>
      </c>
      <c r="B176" s="2336"/>
      <c r="C176" s="2336"/>
      <c r="D176" s="2336"/>
      <c r="E176" s="2336"/>
      <c r="F176" s="2336"/>
      <c r="G176" s="2336"/>
      <c r="H176" s="2336"/>
      <c r="I176" s="2336"/>
      <c r="J176" s="2336"/>
      <c r="K176" s="2336"/>
      <c r="L176" s="2336"/>
      <c r="M176" s="2336"/>
      <c r="N176" s="2336"/>
      <c r="O176" s="2336"/>
      <c r="P176" s="2336"/>
      <c r="Q176" s="2336"/>
      <c r="R176" s="2336"/>
      <c r="S176" s="2337"/>
      <c r="T176" s="2374" t="s">
        <v>584</v>
      </c>
      <c r="U176" s="2375"/>
      <c r="V176" s="2375"/>
      <c r="W176" s="2375"/>
      <c r="X176" s="2375"/>
      <c r="Y176" s="2375"/>
      <c r="Z176" s="2375"/>
      <c r="AA176" s="2375"/>
      <c r="AB176" s="2375"/>
      <c r="AC176" s="2375"/>
      <c r="AD176" s="2375"/>
      <c r="AE176" s="2375"/>
      <c r="AF176" s="2375"/>
      <c r="AG176" s="2375"/>
      <c r="AH176" s="2375"/>
      <c r="AI176" s="2376"/>
    </row>
    <row r="177" spans="1:35" ht="15.6" x14ac:dyDescent="0.3">
      <c r="A177" s="2227" t="s">
        <v>482</v>
      </c>
      <c r="B177" s="2215" t="s">
        <v>483</v>
      </c>
      <c r="C177" s="2215" t="s">
        <v>484</v>
      </c>
      <c r="D177" s="2215" t="s">
        <v>555</v>
      </c>
      <c r="E177" s="2215" t="s">
        <v>556</v>
      </c>
      <c r="F177" s="2213" t="s">
        <v>487</v>
      </c>
      <c r="G177" s="2215" t="s">
        <v>557</v>
      </c>
      <c r="H177" s="2215" t="s">
        <v>489</v>
      </c>
      <c r="I177" s="2217" t="s">
        <v>490</v>
      </c>
      <c r="J177" s="373"/>
      <c r="K177" s="373"/>
      <c r="L177" s="2218"/>
      <c r="M177" s="374" t="s">
        <v>491</v>
      </c>
      <c r="N177" s="375" t="s">
        <v>558</v>
      </c>
      <c r="O177" s="376" t="s">
        <v>493</v>
      </c>
      <c r="P177" s="375" t="s">
        <v>558</v>
      </c>
      <c r="Q177" s="375" t="s">
        <v>559</v>
      </c>
      <c r="R177" s="534" t="s">
        <v>585</v>
      </c>
      <c r="S177" s="2327" t="s">
        <v>495</v>
      </c>
      <c r="T177" s="535" t="s">
        <v>496</v>
      </c>
      <c r="U177" s="2329" t="s">
        <v>497</v>
      </c>
      <c r="V177" s="2330"/>
      <c r="W177" s="2330"/>
      <c r="X177" s="2330"/>
      <c r="Y177" s="2331"/>
      <c r="Z177" s="2317" t="s">
        <v>498</v>
      </c>
      <c r="AA177" s="2319"/>
      <c r="AB177" s="2317" t="s">
        <v>499</v>
      </c>
      <c r="AC177" s="2318"/>
      <c r="AD177" s="2318"/>
      <c r="AE177" s="2318"/>
      <c r="AF177" s="2318"/>
      <c r="AG177" s="2318"/>
      <c r="AH177" s="2318"/>
      <c r="AI177" s="2319"/>
    </row>
    <row r="178" spans="1:35" ht="15.6" x14ac:dyDescent="0.3">
      <c r="A178" s="2341"/>
      <c r="B178" s="2326"/>
      <c r="C178" s="2326"/>
      <c r="D178" s="2326"/>
      <c r="E178" s="2326"/>
      <c r="F178" s="2342"/>
      <c r="G178" s="2326"/>
      <c r="H178" s="2326"/>
      <c r="I178" s="536" t="s">
        <v>500</v>
      </c>
      <c r="J178" s="536" t="s">
        <v>501</v>
      </c>
      <c r="K178" s="536" t="s">
        <v>502</v>
      </c>
      <c r="L178" s="536" t="s">
        <v>503</v>
      </c>
      <c r="M178" s="537" t="s">
        <v>504</v>
      </c>
      <c r="N178" s="538" t="s">
        <v>505</v>
      </c>
      <c r="O178" s="539" t="s">
        <v>506</v>
      </c>
      <c r="P178" s="538" t="s">
        <v>507</v>
      </c>
      <c r="Q178" s="538" t="s">
        <v>560</v>
      </c>
      <c r="R178" s="538"/>
      <c r="S178" s="2328"/>
      <c r="T178" s="540" t="s">
        <v>508</v>
      </c>
      <c r="U178" s="2332"/>
      <c r="V178" s="2333"/>
      <c r="W178" s="2333"/>
      <c r="X178" s="2333"/>
      <c r="Y178" s="2334"/>
      <c r="Z178" s="2320"/>
      <c r="AA178" s="2322"/>
      <c r="AB178" s="2320"/>
      <c r="AC178" s="2321"/>
      <c r="AD178" s="2321"/>
      <c r="AE178" s="2321"/>
      <c r="AF178" s="2321"/>
      <c r="AG178" s="2321"/>
      <c r="AH178" s="2321"/>
      <c r="AI178" s="2322"/>
    </row>
    <row r="179" spans="1:35" ht="18" x14ac:dyDescent="0.35">
      <c r="A179" s="2323" t="s">
        <v>568</v>
      </c>
      <c r="B179" s="2324"/>
      <c r="C179" s="2324"/>
      <c r="D179" s="2324"/>
      <c r="E179" s="2324"/>
      <c r="F179" s="2324"/>
      <c r="G179" s="2324"/>
      <c r="H179" s="2324"/>
      <c r="I179" s="2324"/>
      <c r="J179" s="2324"/>
      <c r="K179" s="2324"/>
      <c r="L179" s="2324"/>
      <c r="M179" s="2324"/>
      <c r="N179" s="2324"/>
      <c r="O179" s="2324"/>
      <c r="P179" s="2324"/>
      <c r="Q179" s="2324"/>
      <c r="R179" s="2324"/>
      <c r="S179" s="2325"/>
      <c r="T179" s="559"/>
      <c r="U179" s="560" t="s">
        <v>510</v>
      </c>
      <c r="V179" s="561" t="s">
        <v>11</v>
      </c>
      <c r="W179" s="561" t="s">
        <v>511</v>
      </c>
      <c r="X179" s="561" t="s">
        <v>512</v>
      </c>
      <c r="Y179" s="562" t="s">
        <v>513</v>
      </c>
      <c r="Z179" s="563" t="s">
        <v>514</v>
      </c>
      <c r="AA179" s="561" t="s">
        <v>515</v>
      </c>
      <c r="AB179" s="563" t="s">
        <v>12</v>
      </c>
      <c r="AC179" s="561" t="s">
        <v>13</v>
      </c>
      <c r="AD179" s="561" t="s">
        <v>60</v>
      </c>
      <c r="AE179" s="561" t="s">
        <v>61</v>
      </c>
      <c r="AF179" s="561" t="s">
        <v>62</v>
      </c>
      <c r="AG179" s="561" t="s">
        <v>18</v>
      </c>
      <c r="AH179" s="561" t="s">
        <v>19</v>
      </c>
      <c r="AI179" s="562" t="s">
        <v>16</v>
      </c>
    </row>
    <row r="180" spans="1:35" x14ac:dyDescent="0.3">
      <c r="A180" s="154"/>
      <c r="B180" s="462"/>
      <c r="C180" s="462"/>
      <c r="D180" s="462"/>
      <c r="E180" s="462"/>
      <c r="F180" s="463"/>
      <c r="G180" s="462"/>
      <c r="H180" s="462"/>
      <c r="I180" s="465"/>
      <c r="J180" s="465"/>
      <c r="K180" s="465"/>
      <c r="L180" s="465"/>
      <c r="M180" s="462"/>
      <c r="N180" s="468"/>
      <c r="O180" s="469"/>
      <c r="P180" s="468"/>
      <c r="Q180" s="468"/>
      <c r="R180" s="468"/>
      <c r="S180" s="469"/>
      <c r="T180" s="166"/>
      <c r="Y180" s="286"/>
      <c r="AB180" s="280"/>
      <c r="AI180" s="152"/>
    </row>
    <row r="181" spans="1:35" x14ac:dyDescent="0.3">
      <c r="A181" s="157" t="s">
        <v>634</v>
      </c>
      <c r="B181" s="157" t="s">
        <v>25</v>
      </c>
      <c r="C181" s="157" t="s">
        <v>517</v>
      </c>
      <c r="D181" s="157" t="s">
        <v>26</v>
      </c>
      <c r="E181" s="157" t="s">
        <v>520</v>
      </c>
      <c r="F181" s="158" t="s">
        <v>645</v>
      </c>
      <c r="G181" s="157">
        <v>1</v>
      </c>
      <c r="H181" s="157" t="s">
        <v>63</v>
      </c>
      <c r="I181" s="175">
        <v>1</v>
      </c>
      <c r="J181" s="176"/>
      <c r="K181" s="176"/>
      <c r="L181" s="177"/>
      <c r="M181" s="163">
        <v>1</v>
      </c>
      <c r="N181" s="166">
        <v>7500</v>
      </c>
      <c r="O181" s="173">
        <v>0.1</v>
      </c>
      <c r="P181" s="166">
        <f t="shared" ref="P181:P189" si="32">N181*(1-O181)</f>
        <v>6750</v>
      </c>
      <c r="Q181" s="166">
        <f t="shared" ref="Q181:Q189" si="33">P181*M181*G181</f>
        <v>6750</v>
      </c>
      <c r="R181" s="206" t="e">
        <f>(Q181+#REF!)/E160*1000</f>
        <v>#REF!</v>
      </c>
      <c r="S181" s="178">
        <f t="shared" ref="S181:S189" si="34">Q181/$Q$195</f>
        <v>5.7837445075848454E-2</v>
      </c>
      <c r="T181" s="503">
        <f>Q181*3</f>
        <v>20250</v>
      </c>
      <c r="U181" s="394">
        <f t="shared" ref="U181:U185" si="35">T181</f>
        <v>20250</v>
      </c>
      <c r="Y181" s="286"/>
      <c r="Z181" s="394">
        <f>T181</f>
        <v>20250</v>
      </c>
      <c r="AA181" s="169"/>
      <c r="AB181" s="280"/>
      <c r="AC181" s="169">
        <f>T181</f>
        <v>20250</v>
      </c>
      <c r="AI181" s="152"/>
    </row>
    <row r="182" spans="1:35" x14ac:dyDescent="0.3">
      <c r="A182" s="157" t="s">
        <v>634</v>
      </c>
      <c r="B182" s="157" t="s">
        <v>25</v>
      </c>
      <c r="C182" s="157" t="s">
        <v>517</v>
      </c>
      <c r="D182" s="157" t="s">
        <v>27</v>
      </c>
      <c r="E182" s="157" t="s">
        <v>520</v>
      </c>
      <c r="F182" s="158" t="s">
        <v>519</v>
      </c>
      <c r="G182" s="157">
        <v>10</v>
      </c>
      <c r="H182" s="157" t="s">
        <v>24</v>
      </c>
      <c r="I182" s="175">
        <v>10</v>
      </c>
      <c r="J182" s="176"/>
      <c r="K182" s="179"/>
      <c r="L182" s="180"/>
      <c r="M182" s="163">
        <v>1</v>
      </c>
      <c r="N182" s="166">
        <v>2900</v>
      </c>
      <c r="O182" s="173">
        <v>0.1</v>
      </c>
      <c r="P182" s="166">
        <f t="shared" si="32"/>
        <v>2610</v>
      </c>
      <c r="Q182" s="166">
        <f t="shared" si="33"/>
        <v>26100</v>
      </c>
      <c r="R182" s="206" t="e">
        <f>(Q182+#REF!)/E160*1000</f>
        <v>#REF!</v>
      </c>
      <c r="S182" s="178">
        <f t="shared" si="34"/>
        <v>0.22363812095994737</v>
      </c>
      <c r="T182" s="503">
        <f t="shared" ref="T182:T189" si="36">Q182*3</f>
        <v>78300</v>
      </c>
      <c r="U182" s="394">
        <f t="shared" si="35"/>
        <v>78300</v>
      </c>
      <c r="W182" s="169"/>
      <c r="Y182" s="286"/>
      <c r="Z182" s="206">
        <f>T182</f>
        <v>78300</v>
      </c>
      <c r="AA182" s="169"/>
      <c r="AB182" s="280"/>
      <c r="AC182" s="169">
        <f>T182</f>
        <v>78300</v>
      </c>
      <c r="AI182" s="152"/>
    </row>
    <row r="183" spans="1:35" x14ac:dyDescent="0.3">
      <c r="A183" s="157" t="s">
        <v>634</v>
      </c>
      <c r="B183" s="157" t="s">
        <v>64</v>
      </c>
      <c r="C183" s="157" t="s">
        <v>517</v>
      </c>
      <c r="D183" s="157" t="s">
        <v>21</v>
      </c>
      <c r="E183" s="157" t="s">
        <v>518</v>
      </c>
      <c r="F183" s="158" t="s">
        <v>588</v>
      </c>
      <c r="G183" s="157">
        <v>1</v>
      </c>
      <c r="H183" s="157" t="s">
        <v>24</v>
      </c>
      <c r="I183" s="159">
        <v>1</v>
      </c>
      <c r="J183" s="161"/>
      <c r="K183" s="161"/>
      <c r="L183" s="2209"/>
      <c r="M183" s="163">
        <v>1</v>
      </c>
      <c r="N183" s="166">
        <v>17576</v>
      </c>
      <c r="O183" s="173">
        <v>0.55000000000000004</v>
      </c>
      <c r="P183" s="166">
        <f t="shared" si="32"/>
        <v>7909.1999999999989</v>
      </c>
      <c r="Q183" s="166">
        <f t="shared" si="33"/>
        <v>7909.1999999999989</v>
      </c>
      <c r="R183" s="206"/>
      <c r="S183" s="167">
        <f t="shared" si="34"/>
        <v>6.7770062310207491E-2</v>
      </c>
      <c r="T183" s="503">
        <f t="shared" si="36"/>
        <v>23727.599999999999</v>
      </c>
      <c r="U183" s="394">
        <f t="shared" si="35"/>
        <v>23727.599999999999</v>
      </c>
      <c r="Y183" s="286"/>
      <c r="Z183" s="394"/>
      <c r="AA183" s="169">
        <f>T183</f>
        <v>23727.599999999999</v>
      </c>
      <c r="AB183" s="280"/>
      <c r="AD183" s="169">
        <f>T183</f>
        <v>23727.599999999999</v>
      </c>
      <c r="AI183" s="152"/>
    </row>
    <row r="184" spans="1:35" x14ac:dyDescent="0.3">
      <c r="A184" s="157" t="s">
        <v>634</v>
      </c>
      <c r="B184" s="157" t="s">
        <v>65</v>
      </c>
      <c r="C184" s="157" t="s">
        <v>517</v>
      </c>
      <c r="D184" s="157" t="s">
        <v>26</v>
      </c>
      <c r="E184" s="157" t="s">
        <v>520</v>
      </c>
      <c r="F184" s="158" t="s">
        <v>43</v>
      </c>
      <c r="G184" s="157">
        <v>1</v>
      </c>
      <c r="H184" s="157" t="s">
        <v>24</v>
      </c>
      <c r="I184" s="182">
        <v>1</v>
      </c>
      <c r="J184" s="183"/>
      <c r="K184" s="183"/>
      <c r="L184" s="2239"/>
      <c r="M184" s="163">
        <v>1</v>
      </c>
      <c r="N184" s="166">
        <v>5500</v>
      </c>
      <c r="O184" s="173">
        <v>0.15</v>
      </c>
      <c r="P184" s="166">
        <f t="shared" si="32"/>
        <v>4675</v>
      </c>
      <c r="Q184" s="166">
        <f t="shared" si="33"/>
        <v>4675</v>
      </c>
      <c r="R184" s="206" t="e">
        <f>(Q184+#REF!+Q185)/E160*1000</f>
        <v>#REF!</v>
      </c>
      <c r="S184" s="178">
        <f t="shared" si="34"/>
        <v>4.0057786034013561E-2</v>
      </c>
      <c r="T184" s="503">
        <f t="shared" si="36"/>
        <v>14025</v>
      </c>
      <c r="U184" s="394">
        <f t="shared" si="35"/>
        <v>14025</v>
      </c>
      <c r="Y184" s="286"/>
      <c r="Z184" s="394">
        <f>T184</f>
        <v>14025</v>
      </c>
      <c r="AA184" s="169"/>
      <c r="AB184" s="280"/>
      <c r="AE184" s="169">
        <f>T184</f>
        <v>14025</v>
      </c>
      <c r="AI184" s="152"/>
    </row>
    <row r="185" spans="1:35" x14ac:dyDescent="0.3">
      <c r="A185" s="157" t="s">
        <v>634</v>
      </c>
      <c r="B185" s="157" t="s">
        <v>66</v>
      </c>
      <c r="C185" s="157" t="s">
        <v>517</v>
      </c>
      <c r="D185" s="157" t="s">
        <v>27</v>
      </c>
      <c r="E185" s="157" t="s">
        <v>524</v>
      </c>
      <c r="F185" s="158" t="s">
        <v>519</v>
      </c>
      <c r="G185" s="157">
        <v>10</v>
      </c>
      <c r="H185" s="157" t="s">
        <v>24</v>
      </c>
      <c r="I185" s="185"/>
      <c r="J185" s="160"/>
      <c r="K185" s="176">
        <v>10</v>
      </c>
      <c r="L185" s="177"/>
      <c r="M185" s="157">
        <v>1</v>
      </c>
      <c r="N185" s="166">
        <v>3222.65</v>
      </c>
      <c r="O185" s="173">
        <v>0.2</v>
      </c>
      <c r="P185" s="186">
        <f t="shared" si="32"/>
        <v>2578.1200000000003</v>
      </c>
      <c r="Q185" s="166">
        <f t="shared" si="33"/>
        <v>25781.200000000004</v>
      </c>
      <c r="R185" s="206"/>
      <c r="S185" s="178">
        <f t="shared" si="34"/>
        <v>0.22090647985029105</v>
      </c>
      <c r="T185" s="503">
        <f t="shared" si="36"/>
        <v>77343.600000000006</v>
      </c>
      <c r="U185" s="394">
        <f t="shared" si="35"/>
        <v>77343.600000000006</v>
      </c>
      <c r="Y185" s="286"/>
      <c r="Z185" s="394">
        <f>T185</f>
        <v>77343.600000000006</v>
      </c>
      <c r="AB185" s="280"/>
      <c r="AF185" s="169">
        <f>T185</f>
        <v>77343.600000000006</v>
      </c>
      <c r="AI185" s="152"/>
    </row>
    <row r="186" spans="1:35" x14ac:dyDescent="0.3">
      <c r="A186" s="157" t="s">
        <v>634</v>
      </c>
      <c r="B186" s="157" t="s">
        <v>31</v>
      </c>
      <c r="C186" s="157" t="s">
        <v>525</v>
      </c>
      <c r="D186" s="157" t="s">
        <v>32</v>
      </c>
      <c r="E186" s="157" t="s">
        <v>526</v>
      </c>
      <c r="F186" s="158"/>
      <c r="G186" s="157">
        <v>3</v>
      </c>
      <c r="H186" s="157" t="s">
        <v>33</v>
      </c>
      <c r="I186" s="284">
        <v>3</v>
      </c>
      <c r="J186" s="160"/>
      <c r="K186" s="285">
        <v>3</v>
      </c>
      <c r="L186" s="180"/>
      <c r="M186" s="157">
        <v>1</v>
      </c>
      <c r="N186" s="166">
        <f>265*8</f>
        <v>2120</v>
      </c>
      <c r="O186" s="173">
        <v>0.4</v>
      </c>
      <c r="P186" s="186">
        <f t="shared" si="32"/>
        <v>1272</v>
      </c>
      <c r="Q186" s="166">
        <f t="shared" si="33"/>
        <v>3816</v>
      </c>
      <c r="R186" s="206"/>
      <c r="S186" s="187">
        <f t="shared" si="34"/>
        <v>3.2697435616212994E-2</v>
      </c>
      <c r="T186" s="503">
        <f t="shared" si="36"/>
        <v>11448</v>
      </c>
      <c r="U186" s="206"/>
      <c r="W186" s="169">
        <f>T186</f>
        <v>11448</v>
      </c>
      <c r="Y186" s="286"/>
      <c r="Z186" s="206"/>
      <c r="AB186" s="280"/>
      <c r="AI186" s="171">
        <f>T186</f>
        <v>11448</v>
      </c>
    </row>
    <row r="187" spans="1:35" x14ac:dyDescent="0.3">
      <c r="A187" s="157" t="s">
        <v>634</v>
      </c>
      <c r="B187" s="157" t="s">
        <v>35</v>
      </c>
      <c r="C187" s="157" t="s">
        <v>637</v>
      </c>
      <c r="D187" s="157" t="s">
        <v>21</v>
      </c>
      <c r="E187" s="157" t="s">
        <v>518</v>
      </c>
      <c r="F187" s="158" t="s">
        <v>588</v>
      </c>
      <c r="G187" s="157">
        <v>1</v>
      </c>
      <c r="H187" s="157" t="s">
        <v>24</v>
      </c>
      <c r="I187" s="182">
        <v>1</v>
      </c>
      <c r="J187" s="183"/>
      <c r="K187" s="183"/>
      <c r="L187" s="2239"/>
      <c r="M187" s="157">
        <v>1</v>
      </c>
      <c r="N187" s="473">
        <v>12150</v>
      </c>
      <c r="O187" s="165">
        <v>0.4</v>
      </c>
      <c r="P187" s="186">
        <f t="shared" si="32"/>
        <v>7290</v>
      </c>
      <c r="Q187" s="166">
        <f t="shared" si="33"/>
        <v>7290</v>
      </c>
      <c r="R187" s="606"/>
      <c r="S187" s="167">
        <f t="shared" si="34"/>
        <v>6.2464440681916332E-2</v>
      </c>
      <c r="T187" s="503">
        <f t="shared" si="36"/>
        <v>21870</v>
      </c>
      <c r="U187" s="206">
        <f t="shared" ref="U187:U189" si="37">T187</f>
        <v>21870</v>
      </c>
      <c r="Y187" s="286"/>
      <c r="Z187" s="606"/>
      <c r="AA187" s="169">
        <f>T187</f>
        <v>21870</v>
      </c>
      <c r="AB187" s="280"/>
      <c r="AG187" s="169">
        <f>T187</f>
        <v>21870</v>
      </c>
      <c r="AI187" s="152"/>
    </row>
    <row r="188" spans="1:35" x14ac:dyDescent="0.3">
      <c r="A188" s="157" t="s">
        <v>634</v>
      </c>
      <c r="B188" s="157" t="s">
        <v>35</v>
      </c>
      <c r="C188" s="157" t="s">
        <v>637</v>
      </c>
      <c r="D188" s="157" t="s">
        <v>26</v>
      </c>
      <c r="E188" s="157" t="s">
        <v>520</v>
      </c>
      <c r="F188" s="158" t="s">
        <v>43</v>
      </c>
      <c r="G188" s="157">
        <v>1</v>
      </c>
      <c r="H188" s="157" t="s">
        <v>24</v>
      </c>
      <c r="I188" s="182">
        <v>1</v>
      </c>
      <c r="J188" s="183"/>
      <c r="K188" s="183"/>
      <c r="L188" s="2239"/>
      <c r="M188" s="157">
        <v>1</v>
      </c>
      <c r="N188" s="473">
        <v>15000</v>
      </c>
      <c r="O188" s="165">
        <v>0.49</v>
      </c>
      <c r="P188" s="186">
        <f t="shared" si="32"/>
        <v>7650</v>
      </c>
      <c r="Q188" s="166">
        <f t="shared" si="33"/>
        <v>7650</v>
      </c>
      <c r="R188" s="606"/>
      <c r="S188" s="178">
        <f t="shared" si="34"/>
        <v>6.5549104419294915E-2</v>
      </c>
      <c r="T188" s="503">
        <f t="shared" si="36"/>
        <v>22950</v>
      </c>
      <c r="U188" s="206">
        <f t="shared" si="37"/>
        <v>22950</v>
      </c>
      <c r="Y188" s="286"/>
      <c r="Z188" s="606">
        <f>T188</f>
        <v>22950</v>
      </c>
      <c r="AB188" s="280"/>
      <c r="AG188" s="169">
        <f>T188</f>
        <v>22950</v>
      </c>
      <c r="AI188" s="152"/>
    </row>
    <row r="189" spans="1:35" x14ac:dyDescent="0.3">
      <c r="A189" s="157" t="s">
        <v>634</v>
      </c>
      <c r="B189" s="157" t="s">
        <v>67</v>
      </c>
      <c r="C189" s="157" t="s">
        <v>637</v>
      </c>
      <c r="D189" s="157" t="s">
        <v>21</v>
      </c>
      <c r="E189" s="157" t="s">
        <v>518</v>
      </c>
      <c r="F189" s="158" t="s">
        <v>588</v>
      </c>
      <c r="G189" s="157">
        <v>1</v>
      </c>
      <c r="H189" s="157" t="s">
        <v>24</v>
      </c>
      <c r="I189" s="182">
        <v>1</v>
      </c>
      <c r="J189" s="183"/>
      <c r="K189" s="183"/>
      <c r="L189" s="2239"/>
      <c r="M189" s="157">
        <v>1</v>
      </c>
      <c r="N189" s="473">
        <v>8980</v>
      </c>
      <c r="O189" s="165">
        <v>0.25</v>
      </c>
      <c r="P189" s="476">
        <f t="shared" si="32"/>
        <v>6735</v>
      </c>
      <c r="Q189" s="473">
        <f t="shared" si="33"/>
        <v>6735</v>
      </c>
      <c r="R189" s="606"/>
      <c r="S189" s="167">
        <f t="shared" si="34"/>
        <v>5.770891742012435E-2</v>
      </c>
      <c r="T189" s="503">
        <f t="shared" si="36"/>
        <v>20205</v>
      </c>
      <c r="U189" s="606">
        <f t="shared" si="37"/>
        <v>20205</v>
      </c>
      <c r="Y189" s="286"/>
      <c r="Z189" s="606"/>
      <c r="AA189" s="169">
        <f>T189</f>
        <v>20205</v>
      </c>
      <c r="AB189" s="280"/>
      <c r="AH189" s="169">
        <f>T189</f>
        <v>20205</v>
      </c>
      <c r="AI189" s="152"/>
    </row>
    <row r="190" spans="1:35" x14ac:dyDescent="0.3">
      <c r="A190" s="157"/>
      <c r="B190" s="157"/>
      <c r="C190" s="157"/>
      <c r="D190" s="157"/>
      <c r="E190" s="157"/>
      <c r="F190" s="158"/>
      <c r="G190" s="157"/>
      <c r="H190" s="157"/>
      <c r="I190" s="1"/>
      <c r="K190" s="1"/>
      <c r="L190" s="286"/>
      <c r="M190" s="157"/>
      <c r="N190" s="473"/>
      <c r="O190" s="165"/>
      <c r="P190" s="476"/>
      <c r="Q190" s="473"/>
      <c r="R190" s="606"/>
      <c r="S190" s="609"/>
      <c r="T190" s="164"/>
      <c r="U190" s="606"/>
      <c r="Y190" s="286"/>
      <c r="Z190" s="606"/>
      <c r="AB190" s="280"/>
      <c r="AI190" s="152"/>
    </row>
    <row r="191" spans="1:35" x14ac:dyDescent="0.3">
      <c r="A191" s="172"/>
      <c r="B191" s="157"/>
      <c r="C191" s="190"/>
      <c r="D191" s="190"/>
      <c r="E191" s="190"/>
      <c r="F191" s="191"/>
      <c r="G191" s="190"/>
      <c r="H191" s="190"/>
      <c r="I191" s="245"/>
      <c r="J191" s="245"/>
      <c r="K191" s="245"/>
      <c r="L191" s="287"/>
      <c r="M191" s="190"/>
      <c r="N191" s="194"/>
      <c r="O191" s="195"/>
      <c r="P191" s="288"/>
      <c r="Q191" s="194"/>
      <c r="R191" s="206"/>
      <c r="S191" s="393"/>
      <c r="T191" s="503"/>
      <c r="U191" s="188"/>
      <c r="Y191" s="286"/>
      <c r="Z191" s="188"/>
      <c r="AB191" s="280"/>
      <c r="AI191" s="152"/>
    </row>
    <row r="192" spans="1:35" x14ac:dyDescent="0.3">
      <c r="A192" s="108" t="s">
        <v>634</v>
      </c>
      <c r="B192" s="108" t="s">
        <v>528</v>
      </c>
      <c r="C192" s="192"/>
      <c r="D192" s="193"/>
      <c r="E192" s="193"/>
      <c r="F192" s="244"/>
      <c r="G192" s="193"/>
      <c r="H192" s="193"/>
      <c r="I192" s="252"/>
      <c r="J192" s="252"/>
      <c r="K192" s="252"/>
      <c r="L192" s="252"/>
      <c r="M192" s="193"/>
      <c r="N192" s="246"/>
      <c r="O192" s="196"/>
      <c r="P192" s="186"/>
      <c r="Q192" s="166">
        <f>P192*M192*G192</f>
        <v>0</v>
      </c>
      <c r="R192" s="290"/>
      <c r="S192" s="262">
        <f>Q192/Q195</f>
        <v>0</v>
      </c>
      <c r="T192" s="503">
        <f>Q192</f>
        <v>0</v>
      </c>
      <c r="U192" s="188"/>
      <c r="X192" s="169">
        <f>T192</f>
        <v>0</v>
      </c>
      <c r="Y192" s="286"/>
      <c r="Z192" s="188"/>
      <c r="AA192" s="169">
        <f>X192</f>
        <v>0</v>
      </c>
      <c r="AB192" s="280"/>
      <c r="AI192" s="152"/>
    </row>
    <row r="193" spans="1:35" x14ac:dyDescent="0.3">
      <c r="A193" s="108" t="s">
        <v>634</v>
      </c>
      <c r="B193" s="108" t="s">
        <v>529</v>
      </c>
      <c r="C193" s="289"/>
      <c r="D193" s="252"/>
      <c r="E193" s="252"/>
      <c r="F193" s="253"/>
      <c r="G193" s="252"/>
      <c r="H193" s="252"/>
      <c r="I193" s="254"/>
      <c r="J193" s="254"/>
      <c r="K193" s="254"/>
      <c r="L193" s="254"/>
      <c r="M193" s="252"/>
      <c r="N193" s="255"/>
      <c r="O193" s="256"/>
      <c r="P193" s="290"/>
      <c r="Q193" s="257">
        <v>20000</v>
      </c>
      <c r="R193" s="480"/>
      <c r="S193" s="291">
        <f>Q193/Q195</f>
        <v>0.17137020763214358</v>
      </c>
      <c r="T193" s="503">
        <f>Q193*3</f>
        <v>60000</v>
      </c>
      <c r="U193" s="188"/>
      <c r="Y193" s="395">
        <f>T193</f>
        <v>60000</v>
      </c>
      <c r="Z193" s="188"/>
      <c r="AB193" s="280"/>
      <c r="AI193" s="152"/>
    </row>
    <row r="194" spans="1:35" x14ac:dyDescent="0.3">
      <c r="I194" s="115">
        <f>I195/M195</f>
        <v>0.59375</v>
      </c>
      <c r="J194" s="115"/>
      <c r="K194" s="115">
        <f>K195/M195</f>
        <v>0.40625</v>
      </c>
      <c r="T194" s="166"/>
      <c r="U194" s="188"/>
      <c r="Y194" s="286"/>
      <c r="Z194" s="188"/>
      <c r="AB194" s="280"/>
      <c r="AI194" s="152"/>
    </row>
    <row r="195" spans="1:35" x14ac:dyDescent="0.3">
      <c r="A195" s="396" t="s">
        <v>531</v>
      </c>
      <c r="B195" s="373"/>
      <c r="C195" s="373"/>
      <c r="D195" s="373"/>
      <c r="E195" s="373"/>
      <c r="F195" s="397"/>
      <c r="G195" s="373"/>
      <c r="H195" s="373"/>
      <c r="I195" s="373">
        <f>I189+I188+I187+I186+I184+I183+I182+I181</f>
        <v>19</v>
      </c>
      <c r="J195" s="373"/>
      <c r="K195" s="373">
        <f>K186+K185</f>
        <v>13</v>
      </c>
      <c r="L195" s="373"/>
      <c r="M195" s="373">
        <f>SUM(I195:L195)</f>
        <v>32</v>
      </c>
      <c r="N195" s="398"/>
      <c r="O195" s="399"/>
      <c r="P195" s="398"/>
      <c r="Q195" s="400">
        <f>SUM(Q181:Q194)</f>
        <v>116706.4</v>
      </c>
      <c r="R195" s="400"/>
      <c r="S195" s="401">
        <f>SUM(S181:S193)</f>
        <v>1</v>
      </c>
      <c r="T195" s="541">
        <f>SUM(T181:T194)</f>
        <v>350119.2</v>
      </c>
      <c r="U195" s="542">
        <f t="shared" ref="U195:AA195" si="38">SUM(U181:U193)</f>
        <v>278671.2</v>
      </c>
      <c r="V195" s="404">
        <f t="shared" si="38"/>
        <v>0</v>
      </c>
      <c r="W195" s="404">
        <f t="shared" si="38"/>
        <v>11448</v>
      </c>
      <c r="X195" s="404">
        <f t="shared" si="38"/>
        <v>0</v>
      </c>
      <c r="Y195" s="404">
        <f t="shared" si="38"/>
        <v>60000</v>
      </c>
      <c r="Z195" s="543">
        <f t="shared" si="38"/>
        <v>212868.6</v>
      </c>
      <c r="AA195" s="404">
        <f t="shared" si="38"/>
        <v>65802.600000000006</v>
      </c>
      <c r="AB195" s="622"/>
      <c r="AC195" s="545">
        <f>SUM(AC181:AC194)</f>
        <v>98550</v>
      </c>
      <c r="AD195" s="545">
        <f t="shared" ref="AD195:AI195" si="39">SUM(AD181:AD194)</f>
        <v>23727.599999999999</v>
      </c>
      <c r="AE195" s="545">
        <f t="shared" si="39"/>
        <v>14025</v>
      </c>
      <c r="AF195" s="545">
        <f t="shared" si="39"/>
        <v>77343.600000000006</v>
      </c>
      <c r="AG195" s="545">
        <f t="shared" si="39"/>
        <v>44820</v>
      </c>
      <c r="AH195" s="545">
        <f t="shared" si="39"/>
        <v>20205</v>
      </c>
      <c r="AI195" s="623">
        <f t="shared" si="39"/>
        <v>11448</v>
      </c>
    </row>
    <row r="196" spans="1:35" x14ac:dyDescent="0.3">
      <c r="A196" s="410" t="s">
        <v>532</v>
      </c>
      <c r="B196" s="411"/>
      <c r="C196" s="411"/>
      <c r="D196" s="411"/>
      <c r="E196" s="411"/>
      <c r="F196" s="412"/>
      <c r="G196" s="411"/>
      <c r="H196" s="411"/>
      <c r="I196" s="411">
        <f>I189+I188+I187+I186+I184+I183+I182+I181</f>
        <v>19</v>
      </c>
      <c r="J196" s="411">
        <f>I189+I188+I187+I184+I183+I182+I181</f>
        <v>16</v>
      </c>
      <c r="K196" s="411">
        <f>I189+I188+I187+K186+K185+I184+I183+I181</f>
        <v>19</v>
      </c>
      <c r="L196" s="411"/>
      <c r="M196" s="411">
        <f>SUM(I196:L196)</f>
        <v>54</v>
      </c>
      <c r="N196" s="413"/>
      <c r="O196" s="414"/>
      <c r="P196" s="413"/>
      <c r="Q196" s="413"/>
      <c r="R196" s="413"/>
      <c r="S196" s="415"/>
      <c r="T196" s="546"/>
      <c r="U196" s="624">
        <f>U195/T195</f>
        <v>0.79593235675164342</v>
      </c>
      <c r="V196" s="418">
        <f>V195/T195</f>
        <v>0</v>
      </c>
      <c r="W196" s="418">
        <f>W195/T195</f>
        <v>3.2697435616212994E-2</v>
      </c>
      <c r="X196" s="418">
        <f>X195/T195</f>
        <v>0</v>
      </c>
      <c r="Y196" s="418">
        <f>Y195/T195</f>
        <v>0.17137020763214356</v>
      </c>
      <c r="Z196" s="539">
        <f>Z195/T195</f>
        <v>0.60798893633939521</v>
      </c>
      <c r="AA196" s="418">
        <f>AA195/T195</f>
        <v>0.18794342041224818</v>
      </c>
      <c r="AB196" s="599"/>
      <c r="AC196" s="550"/>
      <c r="AD196" s="550"/>
      <c r="AE196" s="550"/>
      <c r="AF196" s="550"/>
      <c r="AG196" s="550"/>
      <c r="AH196" s="550"/>
      <c r="AI196" s="424"/>
    </row>
    <row r="197" spans="1:35" x14ac:dyDescent="0.3">
      <c r="A197" s="243" t="s">
        <v>533</v>
      </c>
      <c r="B197" s="193"/>
      <c r="C197" s="193"/>
      <c r="D197" s="193"/>
      <c r="E197" s="193"/>
      <c r="F197" s="244"/>
      <c r="G197" s="193"/>
      <c r="H197" s="193"/>
      <c r="I197" s="2182">
        <f>I196/M196</f>
        <v>0.35185185185185186</v>
      </c>
      <c r="J197" s="2182">
        <f>J196/M196</f>
        <v>0.29629629629629628</v>
      </c>
      <c r="K197" s="2182">
        <f>K196/M196</f>
        <v>0.35185185185185186</v>
      </c>
      <c r="L197" s="245"/>
      <c r="M197" s="193"/>
      <c r="N197" s="246"/>
      <c r="O197" s="196"/>
      <c r="P197" s="246"/>
      <c r="Q197" s="194">
        <f>U195/5</f>
        <v>55734.240000000005</v>
      </c>
      <c r="R197" s="288"/>
      <c r="S197" s="247">
        <f>Q197/Q202</f>
        <v>0.79593235675164353</v>
      </c>
      <c r="Y197" s="248">
        <f>SUM(U181:Y194)</f>
        <v>350119.2</v>
      </c>
      <c r="Z197" s="357">
        <f>I181+I182+I184+K185+I188</f>
        <v>23</v>
      </c>
      <c r="AA197" s="358">
        <f>I183+I187+I189</f>
        <v>3</v>
      </c>
    </row>
    <row r="198" spans="1:35" x14ac:dyDescent="0.3">
      <c r="A198" s="251" t="s">
        <v>11</v>
      </c>
      <c r="B198" s="252"/>
      <c r="C198" s="252"/>
      <c r="D198" s="252"/>
      <c r="E198" s="252"/>
      <c r="F198" s="253"/>
      <c r="G198" s="252"/>
      <c r="H198" s="252"/>
      <c r="I198" s="254"/>
      <c r="J198" s="254"/>
      <c r="K198" s="254"/>
      <c r="L198" s="254"/>
      <c r="M198" s="252"/>
      <c r="N198" s="255"/>
      <c r="O198" s="256"/>
      <c r="P198" s="255"/>
      <c r="Q198" s="257">
        <f>V195</f>
        <v>0</v>
      </c>
      <c r="R198" s="290"/>
      <c r="S198" s="256">
        <f>Q198/Q202</f>
        <v>0</v>
      </c>
      <c r="T198" s="551">
        <f>Q195/M195</f>
        <v>3647.0749999999998</v>
      </c>
      <c r="U198" s="625" t="s">
        <v>535</v>
      </c>
      <c r="Z198" s="195">
        <f>Z197/M195</f>
        <v>0.71875</v>
      </c>
      <c r="AA198" s="247">
        <f>AA197/M195</f>
        <v>9.375E-2</v>
      </c>
    </row>
    <row r="199" spans="1:35" x14ac:dyDescent="0.3">
      <c r="A199" s="251" t="s">
        <v>536</v>
      </c>
      <c r="B199" s="252"/>
      <c r="C199" s="252"/>
      <c r="D199" s="252"/>
      <c r="E199" s="252"/>
      <c r="F199" s="253"/>
      <c r="G199" s="252"/>
      <c r="H199" s="252"/>
      <c r="I199" s="254"/>
      <c r="J199" s="254"/>
      <c r="K199" s="254"/>
      <c r="L199" s="254"/>
      <c r="M199" s="252"/>
      <c r="N199" s="255"/>
      <c r="O199" s="256"/>
      <c r="P199" s="255"/>
      <c r="Q199" s="257">
        <f>W195/5</f>
        <v>2289.6</v>
      </c>
      <c r="R199" s="290"/>
      <c r="S199" s="262">
        <f>Q199/Q202</f>
        <v>3.2697435616212994E-2</v>
      </c>
      <c r="V199" s="263"/>
      <c r="X199" s="99"/>
      <c r="Z199" s="2265" t="s">
        <v>537</v>
      </c>
      <c r="AA199" s="2265"/>
    </row>
    <row r="200" spans="1:35" x14ac:dyDescent="0.3">
      <c r="A200" s="251" t="s">
        <v>529</v>
      </c>
      <c r="B200" s="252"/>
      <c r="C200" s="252"/>
      <c r="D200" s="252"/>
      <c r="E200" s="252"/>
      <c r="F200" s="253"/>
      <c r="G200" s="252"/>
      <c r="H200" s="252"/>
      <c r="I200" s="254"/>
      <c r="J200" s="254"/>
      <c r="K200" s="254"/>
      <c r="L200" s="254"/>
      <c r="M200" s="252"/>
      <c r="N200" s="255"/>
      <c r="O200" s="256"/>
      <c r="P200" s="255"/>
      <c r="Q200" s="257">
        <f>Y195/5</f>
        <v>12000</v>
      </c>
      <c r="R200" s="290"/>
      <c r="S200" s="262">
        <f>Q200/Q202</f>
        <v>0.17137020763214358</v>
      </c>
      <c r="U200" s="263"/>
      <c r="V200" s="263"/>
    </row>
    <row r="201" spans="1:35" x14ac:dyDescent="0.3">
      <c r="A201" s="251" t="s">
        <v>528</v>
      </c>
      <c r="B201" s="252"/>
      <c r="C201" s="252"/>
      <c r="D201" s="252"/>
      <c r="E201" s="252"/>
      <c r="F201" s="253"/>
      <c r="G201" s="252"/>
      <c r="H201" s="252"/>
      <c r="I201" s="254"/>
      <c r="J201" s="254"/>
      <c r="K201" s="254"/>
      <c r="L201" s="254"/>
      <c r="M201" s="252"/>
      <c r="N201" s="255"/>
      <c r="O201" s="256"/>
      <c r="P201" s="255"/>
      <c r="Q201" s="257">
        <f>X195</f>
        <v>0</v>
      </c>
      <c r="R201" s="290"/>
      <c r="S201" s="262">
        <f>Q201/Q202</f>
        <v>0</v>
      </c>
    </row>
    <row r="202" spans="1:35" x14ac:dyDescent="0.3">
      <c r="A202" s="251"/>
      <c r="B202" s="252"/>
      <c r="C202" s="252"/>
      <c r="D202" s="252"/>
      <c r="E202" s="252"/>
      <c r="F202" s="253"/>
      <c r="G202" s="252"/>
      <c r="H202" s="252"/>
      <c r="I202" s="254"/>
      <c r="J202" s="254"/>
      <c r="K202" s="254"/>
      <c r="L202" s="254"/>
      <c r="M202" s="252"/>
      <c r="N202" s="255"/>
      <c r="O202" s="256"/>
      <c r="P202" s="255"/>
      <c r="Q202" s="264">
        <f>SUM(Q197:Q201)</f>
        <v>70023.839999999997</v>
      </c>
      <c r="R202" s="490"/>
      <c r="S202" s="262">
        <f>SUM(S197:S201)</f>
        <v>1</v>
      </c>
    </row>
    <row r="203" spans="1:35" ht="18" x14ac:dyDescent="0.35">
      <c r="Q203" s="116"/>
      <c r="R203" s="116"/>
      <c r="S203" s="626"/>
      <c r="AA203" s="303">
        <f>SUM(AB204:AI204)</f>
        <v>1949017.8840000001</v>
      </c>
      <c r="AB203" s="563" t="s">
        <v>12</v>
      </c>
      <c r="AC203" s="561" t="s">
        <v>13</v>
      </c>
      <c r="AD203" s="561" t="s">
        <v>60</v>
      </c>
      <c r="AE203" s="561" t="s">
        <v>61</v>
      </c>
      <c r="AF203" s="561" t="s">
        <v>62</v>
      </c>
      <c r="AG203" s="561" t="s">
        <v>18</v>
      </c>
      <c r="AH203" s="561" t="s">
        <v>19</v>
      </c>
      <c r="AI203" s="562" t="s">
        <v>16</v>
      </c>
    </row>
    <row r="204" spans="1:35" ht="18" x14ac:dyDescent="0.35">
      <c r="A204" s="430" t="s">
        <v>569</v>
      </c>
      <c r="B204" s="431"/>
      <c r="C204" s="431"/>
      <c r="D204" s="432"/>
      <c r="E204" s="432"/>
      <c r="F204" s="433"/>
      <c r="G204" s="432"/>
      <c r="H204" s="432"/>
      <c r="I204" s="434"/>
      <c r="J204" s="434"/>
      <c r="K204" s="434"/>
      <c r="L204" s="434"/>
      <c r="M204" s="431"/>
      <c r="N204" s="435"/>
      <c r="O204" s="436"/>
      <c r="P204" s="435"/>
      <c r="Q204" s="435"/>
      <c r="R204" s="436"/>
      <c r="S204" s="437"/>
      <c r="T204" s="435">
        <f>T195+T159+T125+T85+T51</f>
        <v>2323336.284</v>
      </c>
      <c r="AA204" s="137" t="s">
        <v>601</v>
      </c>
      <c r="AB204" s="435">
        <f>AB195+AB159+AB125+AB85+AB51</f>
        <v>126763.16399999998</v>
      </c>
      <c r="AC204" s="435">
        <f t="shared" ref="AC204:AI204" si="40">AC195+AC159+AC125+AC85+AC51</f>
        <v>467010</v>
      </c>
      <c r="AD204" s="435">
        <f t="shared" si="40"/>
        <v>175582.8</v>
      </c>
      <c r="AE204" s="435">
        <f t="shared" si="40"/>
        <v>51425</v>
      </c>
      <c r="AF204" s="435">
        <f t="shared" si="40"/>
        <v>427967.92000000004</v>
      </c>
      <c r="AG204" s="435">
        <f t="shared" si="40"/>
        <v>365490</v>
      </c>
      <c r="AH204" s="435">
        <f t="shared" si="40"/>
        <v>313155</v>
      </c>
      <c r="AI204" s="435">
        <f t="shared" si="40"/>
        <v>21624</v>
      </c>
    </row>
    <row r="205" spans="1:35" x14ac:dyDescent="0.3">
      <c r="S205" s="3" t="s">
        <v>571</v>
      </c>
      <c r="T205" s="120">
        <f>D19-T204</f>
        <v>-103877.53399999999</v>
      </c>
      <c r="U205" s="111"/>
    </row>
    <row r="206" spans="1:35" x14ac:dyDescent="0.3">
      <c r="D206" s="304"/>
      <c r="E206" s="304"/>
      <c r="G206" s="304"/>
      <c r="H206" s="304"/>
    </row>
    <row r="207" spans="1:35" x14ac:dyDescent="0.3">
      <c r="D207" s="304"/>
      <c r="E207" s="304"/>
      <c r="G207" s="304"/>
      <c r="H207" s="304"/>
    </row>
    <row r="208" spans="1:35" x14ac:dyDescent="0.3">
      <c r="D208" s="304"/>
      <c r="E208" s="304"/>
      <c r="G208" s="304"/>
      <c r="H208" s="304"/>
    </row>
    <row r="209" spans="4:4" x14ac:dyDescent="0.3">
      <c r="D209" s="30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89"/>
  <sheetViews>
    <sheetView topLeftCell="A42" workbookViewId="0">
      <selection activeCell="H54" sqref="H54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1166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328</v>
      </c>
      <c r="C2" t="s">
        <v>349</v>
      </c>
      <c r="D2" t="s">
        <v>350</v>
      </c>
      <c r="E2" s="1" t="s">
        <v>23</v>
      </c>
      <c r="F2" s="1" t="s">
        <v>21</v>
      </c>
      <c r="G2" s="2186">
        <v>2</v>
      </c>
      <c r="H2" s="2186">
        <f>VLOOKUP(G2,Pesos!A:B,2,0)</f>
        <v>0.8</v>
      </c>
      <c r="I2" s="1"/>
      <c r="J2" s="1" t="s">
        <v>308</v>
      </c>
      <c r="K2" s="1">
        <v>2</v>
      </c>
      <c r="L2" s="1">
        <v>3</v>
      </c>
      <c r="M2" s="1">
        <v>2</v>
      </c>
      <c r="N2" s="1" t="s">
        <v>24</v>
      </c>
      <c r="O2" s="1">
        <v>2</v>
      </c>
      <c r="P2" s="1"/>
      <c r="Q2" s="1">
        <v>1</v>
      </c>
      <c r="R2" s="1"/>
      <c r="S2" s="1">
        <v>1</v>
      </c>
      <c r="T2" s="15">
        <v>5200</v>
      </c>
      <c r="U2" s="25">
        <v>0.34</v>
      </c>
      <c r="V2" s="25">
        <f>T2*(1-U2)</f>
        <v>3431.9999999999995</v>
      </c>
      <c r="W2" s="25">
        <f>V2*S2*M2</f>
        <v>6863.9999999999991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328</v>
      </c>
      <c r="C3" t="s">
        <v>349</v>
      </c>
      <c r="D3" t="s">
        <v>350</v>
      </c>
      <c r="E3" s="1" t="s">
        <v>25</v>
      </c>
      <c r="F3" s="1" t="s">
        <v>21</v>
      </c>
      <c r="G3" s="2186">
        <v>2</v>
      </c>
      <c r="H3" s="2186">
        <f>VLOOKUP(G3,Pesos!A:B,2,0)</f>
        <v>0.8</v>
      </c>
      <c r="J3" s="1" t="s">
        <v>305</v>
      </c>
      <c r="K3" s="1">
        <v>2</v>
      </c>
      <c r="L3" s="1">
        <v>4</v>
      </c>
      <c r="M3" s="1">
        <v>2</v>
      </c>
      <c r="N3" s="1" t="s">
        <v>24</v>
      </c>
      <c r="O3" s="1">
        <v>2</v>
      </c>
      <c r="S3" s="1">
        <v>1</v>
      </c>
      <c r="T3" s="5">
        <v>7800</v>
      </c>
      <c r="U3" s="24">
        <v>0.34</v>
      </c>
      <c r="V3" s="26">
        <f>T3*(1-U3)</f>
        <v>5147.9999999999991</v>
      </c>
      <c r="W3" s="26">
        <f>V3*S3*M3</f>
        <v>10295.999999999998</v>
      </c>
      <c r="X3" s="6"/>
      <c r="Y3" s="22"/>
      <c r="Z3" s="1"/>
    </row>
    <row r="4" spans="1:32" x14ac:dyDescent="0.3">
      <c r="A4" t="s">
        <v>327</v>
      </c>
      <c r="B4" t="s">
        <v>328</v>
      </c>
      <c r="C4" t="s">
        <v>349</v>
      </c>
      <c r="D4" t="s">
        <v>350</v>
      </c>
      <c r="E4" s="1" t="s">
        <v>25</v>
      </c>
      <c r="F4" s="1" t="s">
        <v>26</v>
      </c>
      <c r="G4" s="2186">
        <v>3</v>
      </c>
      <c r="H4" s="2186">
        <f>VLOOKUP(G4,Pesos!A:B,2,0)</f>
        <v>0.7</v>
      </c>
      <c r="I4" s="1" t="s">
        <v>308</v>
      </c>
      <c r="K4" s="1">
        <v>2</v>
      </c>
      <c r="L4" s="1">
        <v>4</v>
      </c>
      <c r="M4" s="1">
        <v>1</v>
      </c>
      <c r="N4" s="1" t="s">
        <v>24</v>
      </c>
      <c r="O4" s="1">
        <v>1</v>
      </c>
      <c r="S4" s="1">
        <v>1</v>
      </c>
      <c r="T4" s="5">
        <v>3500</v>
      </c>
      <c r="U4" s="24">
        <v>0.2</v>
      </c>
      <c r="V4" s="26">
        <f t="shared" ref="V4:V17" si="0">T4*(1-U4)</f>
        <v>2800</v>
      </c>
      <c r="W4" s="26">
        <f>V4*S4*M4</f>
        <v>2800</v>
      </c>
      <c r="X4" s="6"/>
      <c r="Y4" s="22"/>
      <c r="Z4" s="1"/>
    </row>
    <row r="5" spans="1:32" x14ac:dyDescent="0.3">
      <c r="A5" t="s">
        <v>327</v>
      </c>
      <c r="B5" t="s">
        <v>328</v>
      </c>
      <c r="C5" t="s">
        <v>349</v>
      </c>
      <c r="D5" t="s">
        <v>350</v>
      </c>
      <c r="E5" s="1" t="s">
        <v>25</v>
      </c>
      <c r="F5" s="1" t="s">
        <v>27</v>
      </c>
      <c r="G5" s="2186">
        <v>1</v>
      </c>
      <c r="H5" s="2186">
        <f>VLOOKUP(G5,Pesos!A:B,2,0)</f>
        <v>0.9</v>
      </c>
      <c r="I5" s="1" t="s">
        <v>305</v>
      </c>
      <c r="K5" s="1">
        <v>10</v>
      </c>
      <c r="L5" s="2" t="s">
        <v>51</v>
      </c>
      <c r="M5" s="1">
        <v>15</v>
      </c>
      <c r="N5" s="1" t="s">
        <v>24</v>
      </c>
      <c r="O5" s="1">
        <v>15</v>
      </c>
      <c r="S5" s="1">
        <v>1</v>
      </c>
      <c r="T5" s="5">
        <v>1500</v>
      </c>
      <c r="U5" s="24">
        <v>0.2</v>
      </c>
      <c r="V5" s="26">
        <f t="shared" si="0"/>
        <v>1200</v>
      </c>
      <c r="W5" s="26">
        <f>V5*S5*M5</f>
        <v>18000</v>
      </c>
      <c r="X5" s="18"/>
      <c r="Y5" s="22"/>
      <c r="Z5" s="1"/>
    </row>
    <row r="6" spans="1:32" x14ac:dyDescent="0.3">
      <c r="A6" t="s">
        <v>327</v>
      </c>
      <c r="B6" t="s">
        <v>328</v>
      </c>
      <c r="C6" t="s">
        <v>349</v>
      </c>
      <c r="D6" t="s">
        <v>350</v>
      </c>
      <c r="E6" s="1" t="s">
        <v>64</v>
      </c>
      <c r="F6" s="1" t="s">
        <v>21</v>
      </c>
      <c r="G6" s="2186">
        <v>2</v>
      </c>
      <c r="H6" s="2186">
        <f>VLOOKUP(G6,Pesos!A:B,2,0)</f>
        <v>0.8</v>
      </c>
      <c r="J6" s="1" t="s">
        <v>308</v>
      </c>
      <c r="K6" s="1">
        <v>10</v>
      </c>
      <c r="L6" s="2" t="s">
        <v>51</v>
      </c>
      <c r="M6" s="1">
        <v>15</v>
      </c>
      <c r="N6" s="1" t="s">
        <v>24</v>
      </c>
      <c r="Q6" s="1">
        <v>15</v>
      </c>
      <c r="S6" s="1">
        <v>1</v>
      </c>
      <c r="T6" s="5">
        <v>1500</v>
      </c>
      <c r="U6" s="24">
        <v>0.2</v>
      </c>
      <c r="V6" s="26">
        <f t="shared" si="0"/>
        <v>1200</v>
      </c>
      <c r="W6" s="26">
        <f>V6*S6*M6</f>
        <v>18000</v>
      </c>
      <c r="X6" s="6"/>
      <c r="Y6" s="22"/>
      <c r="Z6" s="1"/>
    </row>
    <row r="7" spans="1:32" x14ac:dyDescent="0.3">
      <c r="A7" t="s">
        <v>327</v>
      </c>
      <c r="B7" t="s">
        <v>328</v>
      </c>
      <c r="C7" t="s">
        <v>349</v>
      </c>
      <c r="D7" t="s">
        <v>350</v>
      </c>
      <c r="E7" s="1" t="s">
        <v>65</v>
      </c>
      <c r="F7" s="1" t="s">
        <v>26</v>
      </c>
      <c r="G7" s="2186">
        <v>3</v>
      </c>
      <c r="H7" s="2186">
        <f>VLOOKUP(G7,Pesos!A:B,2,0)</f>
        <v>0.7</v>
      </c>
      <c r="I7" s="1" t="s">
        <v>308</v>
      </c>
      <c r="L7" s="2"/>
      <c r="M7" s="1"/>
      <c r="T7" s="5"/>
      <c r="U7" s="29"/>
      <c r="V7" s="26"/>
      <c r="W7" s="26"/>
      <c r="X7" s="6"/>
      <c r="Y7" s="22"/>
      <c r="Z7" s="1"/>
    </row>
    <row r="8" spans="1:32" x14ac:dyDescent="0.3">
      <c r="A8" t="s">
        <v>327</v>
      </c>
      <c r="B8" t="s">
        <v>328</v>
      </c>
      <c r="C8" t="s">
        <v>349</v>
      </c>
      <c r="D8" t="s">
        <v>350</v>
      </c>
      <c r="E8" s="1" t="s">
        <v>66</v>
      </c>
      <c r="F8" s="1" t="s">
        <v>27</v>
      </c>
      <c r="G8" s="2186">
        <v>1</v>
      </c>
      <c r="H8" s="2186">
        <f>VLOOKUP(G8,Pesos!A:B,2,0)</f>
        <v>0.9</v>
      </c>
      <c r="I8" s="1" t="s">
        <v>308</v>
      </c>
      <c r="K8" s="1">
        <v>2</v>
      </c>
      <c r="L8" s="2" t="s">
        <v>333</v>
      </c>
      <c r="M8" s="1">
        <v>1</v>
      </c>
      <c r="N8" s="1" t="s">
        <v>24</v>
      </c>
      <c r="O8" s="1">
        <v>1</v>
      </c>
      <c r="S8" s="1">
        <v>1</v>
      </c>
      <c r="T8" s="15">
        <v>5200</v>
      </c>
      <c r="U8" s="29">
        <v>0.34</v>
      </c>
      <c r="V8" s="26">
        <f t="shared" si="0"/>
        <v>3431.9999999999995</v>
      </c>
      <c r="W8" s="26">
        <f>V8*S8*M8</f>
        <v>3431.9999999999995</v>
      </c>
      <c r="X8" s="6"/>
      <c r="Y8" s="22"/>
      <c r="Z8" s="1"/>
    </row>
    <row r="9" spans="1:32" x14ac:dyDescent="0.3">
      <c r="A9" t="s">
        <v>327</v>
      </c>
      <c r="B9" t="s">
        <v>328</v>
      </c>
      <c r="C9" t="s">
        <v>349</v>
      </c>
      <c r="D9" t="s">
        <v>350</v>
      </c>
      <c r="E9" s="1" t="s">
        <v>35</v>
      </c>
      <c r="F9" s="1" t="s">
        <v>21</v>
      </c>
      <c r="G9" s="2186">
        <v>2</v>
      </c>
      <c r="H9" s="2186">
        <f>VLOOKUP(G9,Pesos!A:B,2,0)</f>
        <v>0.8</v>
      </c>
      <c r="J9" s="1" t="s">
        <v>308</v>
      </c>
      <c r="K9" s="1">
        <v>2</v>
      </c>
      <c r="L9" s="2" t="s">
        <v>346</v>
      </c>
      <c r="M9" s="1">
        <v>1</v>
      </c>
      <c r="N9" s="1" t="s">
        <v>24</v>
      </c>
      <c r="O9" s="1">
        <v>1</v>
      </c>
      <c r="S9" s="1">
        <v>1</v>
      </c>
      <c r="T9" s="5">
        <v>7800</v>
      </c>
      <c r="U9" s="24">
        <v>0.34</v>
      </c>
      <c r="V9" s="26">
        <f t="shared" si="0"/>
        <v>5147.9999999999991</v>
      </c>
      <c r="W9" s="26">
        <f>V9*S9*M9</f>
        <v>5147.9999999999991</v>
      </c>
      <c r="X9" s="6"/>
      <c r="Y9" s="22"/>
      <c r="Z9" s="1"/>
    </row>
    <row r="10" spans="1:32" x14ac:dyDescent="0.3">
      <c r="A10" t="s">
        <v>327</v>
      </c>
      <c r="B10" t="s">
        <v>328</v>
      </c>
      <c r="C10" t="s">
        <v>349</v>
      </c>
      <c r="D10" t="s">
        <v>350</v>
      </c>
      <c r="E10" s="1" t="s">
        <v>35</v>
      </c>
      <c r="F10" s="1" t="s">
        <v>26</v>
      </c>
      <c r="G10" s="2186">
        <v>3</v>
      </c>
      <c r="H10" s="2186">
        <f>VLOOKUP(G10,Pesos!A:B,2,0)</f>
        <v>0.7</v>
      </c>
      <c r="I10" s="1" t="s">
        <v>308</v>
      </c>
      <c r="K10" s="1">
        <v>5</v>
      </c>
      <c r="L10" s="2" t="s">
        <v>203</v>
      </c>
      <c r="M10" s="1">
        <v>3</v>
      </c>
      <c r="N10" s="1" t="s">
        <v>24</v>
      </c>
      <c r="O10" s="1">
        <v>3</v>
      </c>
      <c r="S10" s="1">
        <v>1</v>
      </c>
      <c r="T10" s="5">
        <v>1550</v>
      </c>
      <c r="U10" s="24">
        <v>0.2</v>
      </c>
      <c r="V10" s="26">
        <f t="shared" si="0"/>
        <v>1240</v>
      </c>
      <c r="W10" s="26">
        <f>V10*S10*M10</f>
        <v>3720</v>
      </c>
      <c r="X10" s="6"/>
      <c r="Y10" s="22"/>
      <c r="Z10" s="1"/>
    </row>
    <row r="11" spans="1:32" x14ac:dyDescent="0.3">
      <c r="A11" t="s">
        <v>327</v>
      </c>
      <c r="B11" t="s">
        <v>328</v>
      </c>
      <c r="C11" t="s">
        <v>349</v>
      </c>
      <c r="D11" t="s">
        <v>350</v>
      </c>
      <c r="E11" s="1" t="s">
        <v>67</v>
      </c>
      <c r="F11" s="1" t="s">
        <v>21</v>
      </c>
      <c r="G11" s="2186">
        <v>2</v>
      </c>
      <c r="H11" s="2186">
        <f>VLOOKUP(G11,Pesos!A:B,2,0)</f>
        <v>0.8</v>
      </c>
      <c r="J11" s="1" t="s">
        <v>308</v>
      </c>
      <c r="K11" s="1">
        <v>2</v>
      </c>
      <c r="L11" s="2" t="s">
        <v>229</v>
      </c>
      <c r="M11" s="1">
        <v>4</v>
      </c>
      <c r="N11" s="1" t="s">
        <v>58</v>
      </c>
      <c r="O11" s="1">
        <v>4</v>
      </c>
      <c r="Q11" s="1">
        <v>4</v>
      </c>
      <c r="S11" s="1">
        <v>2</v>
      </c>
      <c r="T11" s="5">
        <v>2450</v>
      </c>
      <c r="U11" s="24">
        <v>0.2</v>
      </c>
      <c r="V11" s="26">
        <f t="shared" si="0"/>
        <v>1960</v>
      </c>
      <c r="W11" s="26">
        <f>V11*S11*M11</f>
        <v>15680</v>
      </c>
      <c r="X11" s="6"/>
      <c r="Y11" s="22"/>
      <c r="Z11" s="1"/>
    </row>
    <row r="12" spans="1:32" x14ac:dyDescent="0.3">
      <c r="A12" t="s">
        <v>327</v>
      </c>
      <c r="B12" t="s">
        <v>328</v>
      </c>
      <c r="C12" t="s">
        <v>349</v>
      </c>
      <c r="D12" t="s">
        <v>350</v>
      </c>
      <c r="E12" s="1" t="s">
        <v>67</v>
      </c>
      <c r="F12" s="1" t="s">
        <v>26</v>
      </c>
      <c r="G12" s="2186">
        <v>3</v>
      </c>
      <c r="H12" s="2186">
        <f>VLOOKUP(G12,Pesos!A:B,2,0)</f>
        <v>0.7</v>
      </c>
      <c r="I12" s="1" t="s">
        <v>308</v>
      </c>
      <c r="K12" s="1">
        <v>2</v>
      </c>
      <c r="L12" s="2" t="s">
        <v>346</v>
      </c>
      <c r="M12" s="1">
        <v>1</v>
      </c>
      <c r="N12" s="1" t="s">
        <v>24</v>
      </c>
      <c r="O12" s="1">
        <v>1</v>
      </c>
      <c r="S12" s="1">
        <v>1</v>
      </c>
      <c r="T12" s="5">
        <v>3500</v>
      </c>
      <c r="U12" s="24">
        <v>0.2</v>
      </c>
      <c r="V12" s="26">
        <f t="shared" si="0"/>
        <v>2800</v>
      </c>
      <c r="W12" s="26">
        <f>V12*S12*M12</f>
        <v>2800</v>
      </c>
      <c r="X12" s="6"/>
      <c r="Y12" s="22"/>
      <c r="Z12" s="1"/>
    </row>
    <row r="13" spans="1:32" x14ac:dyDescent="0.3">
      <c r="G13" s="2186"/>
      <c r="H13" s="2186"/>
      <c r="L13" s="2"/>
      <c r="M13" s="1"/>
      <c r="T13" s="5"/>
      <c r="U13" s="24"/>
      <c r="V13" s="26"/>
      <c r="W13" s="26"/>
      <c r="X13" s="6"/>
      <c r="Y13" s="22"/>
      <c r="Z13" s="1"/>
    </row>
    <row r="14" spans="1:32" x14ac:dyDescent="0.3">
      <c r="A14" t="s">
        <v>340</v>
      </c>
      <c r="B14" t="s">
        <v>328</v>
      </c>
      <c r="C14" t="s">
        <v>349</v>
      </c>
      <c r="D14" t="s">
        <v>350</v>
      </c>
      <c r="E14" s="1" t="s">
        <v>23</v>
      </c>
      <c r="F14" s="1" t="s">
        <v>21</v>
      </c>
      <c r="G14" s="2186">
        <v>1</v>
      </c>
      <c r="H14" s="2186">
        <f>VLOOKUP(G14,Pesos!A:B,2,0)</f>
        <v>0.9</v>
      </c>
      <c r="J14" s="1" t="s">
        <v>308</v>
      </c>
      <c r="K14" s="1">
        <v>6</v>
      </c>
      <c r="L14" s="2" t="s">
        <v>331</v>
      </c>
      <c r="M14" s="1">
        <v>1</v>
      </c>
      <c r="N14" s="1" t="s">
        <v>24</v>
      </c>
      <c r="O14" s="1">
        <v>1</v>
      </c>
      <c r="S14" s="1">
        <v>1</v>
      </c>
      <c r="T14" s="5">
        <v>35211.99</v>
      </c>
      <c r="U14" s="24">
        <v>0.55000000000000004</v>
      </c>
      <c r="V14" s="26">
        <f t="shared" si="0"/>
        <v>15845.395499999997</v>
      </c>
      <c r="W14" s="26">
        <f t="shared" ref="W14:W26" si="1">V14*S14*M14</f>
        <v>15845.395499999997</v>
      </c>
      <c r="X14" s="6"/>
      <c r="Y14" s="22"/>
      <c r="Z14" s="1"/>
    </row>
    <row r="15" spans="1:32" x14ac:dyDescent="0.3">
      <c r="A15" t="s">
        <v>340</v>
      </c>
      <c r="B15" t="s">
        <v>328</v>
      </c>
      <c r="C15" t="s">
        <v>349</v>
      </c>
      <c r="D15" t="s">
        <v>350</v>
      </c>
      <c r="E15" s="1" t="s">
        <v>25</v>
      </c>
      <c r="F15" s="1" t="s">
        <v>21</v>
      </c>
      <c r="G15" s="2186">
        <v>1</v>
      </c>
      <c r="H15" s="2186">
        <f>VLOOKUP(G15,Pesos!A:B,2,0)</f>
        <v>0.9</v>
      </c>
      <c r="J15" s="1" t="s">
        <v>308</v>
      </c>
      <c r="K15" s="1">
        <v>6</v>
      </c>
      <c r="L15" s="2" t="s">
        <v>331</v>
      </c>
      <c r="M15" s="1">
        <v>1</v>
      </c>
      <c r="N15" s="1" t="s">
        <v>24</v>
      </c>
      <c r="O15" s="1">
        <v>1</v>
      </c>
      <c r="S15" s="1">
        <v>1</v>
      </c>
      <c r="T15" s="5">
        <v>7000</v>
      </c>
      <c r="U15" s="24">
        <v>0.1</v>
      </c>
      <c r="V15" s="26">
        <f t="shared" si="0"/>
        <v>6300</v>
      </c>
      <c r="W15" s="26">
        <f t="shared" si="1"/>
        <v>6300</v>
      </c>
      <c r="X15" s="6"/>
      <c r="Y15" s="22"/>
      <c r="Z15" s="1"/>
    </row>
    <row r="16" spans="1:32" x14ac:dyDescent="0.3">
      <c r="A16" t="s">
        <v>340</v>
      </c>
      <c r="B16" t="s">
        <v>328</v>
      </c>
      <c r="C16" t="s">
        <v>349</v>
      </c>
      <c r="D16" t="s">
        <v>350</v>
      </c>
      <c r="E16" s="1" t="s">
        <v>25</v>
      </c>
      <c r="F16" s="1" t="s">
        <v>26</v>
      </c>
      <c r="G16" s="2186">
        <v>4</v>
      </c>
      <c r="H16" s="2186">
        <f>VLOOKUP(G16,Pesos!A:B,2,0)</f>
        <v>0.6</v>
      </c>
      <c r="I16" s="1" t="s">
        <v>308</v>
      </c>
      <c r="K16" s="1">
        <v>7</v>
      </c>
      <c r="L16" s="2" t="s">
        <v>351</v>
      </c>
      <c r="M16" s="1">
        <v>1</v>
      </c>
      <c r="N16" s="1" t="s">
        <v>63</v>
      </c>
      <c r="O16" s="1">
        <v>1</v>
      </c>
      <c r="S16" s="1">
        <v>1</v>
      </c>
      <c r="T16" s="5">
        <v>7500</v>
      </c>
      <c r="U16" s="24">
        <v>0.1</v>
      </c>
      <c r="V16" s="26">
        <f t="shared" si="0"/>
        <v>6750</v>
      </c>
      <c r="W16" s="26">
        <f t="shared" si="1"/>
        <v>6750</v>
      </c>
      <c r="X16" s="6"/>
      <c r="Y16" s="22"/>
      <c r="Z16" s="1"/>
    </row>
    <row r="17" spans="1:26" x14ac:dyDescent="0.3">
      <c r="A17" t="s">
        <v>340</v>
      </c>
      <c r="B17" t="s">
        <v>328</v>
      </c>
      <c r="C17" t="s">
        <v>349</v>
      </c>
      <c r="D17" t="s">
        <v>350</v>
      </c>
      <c r="E17" s="1" t="s">
        <v>25</v>
      </c>
      <c r="F17" s="1" t="s">
        <v>27</v>
      </c>
      <c r="G17" s="2186">
        <v>2</v>
      </c>
      <c r="H17" s="2186">
        <f>VLOOKUP(G17,Pesos!A:B,2,0)</f>
        <v>0.8</v>
      </c>
      <c r="I17" s="1" t="s">
        <v>308</v>
      </c>
      <c r="K17" s="1">
        <v>16</v>
      </c>
      <c r="L17" s="2" t="s">
        <v>83</v>
      </c>
      <c r="M17" s="1">
        <v>21</v>
      </c>
      <c r="N17" s="1" t="s">
        <v>24</v>
      </c>
      <c r="O17" s="1">
        <v>20</v>
      </c>
      <c r="S17" s="1">
        <v>1</v>
      </c>
      <c r="T17" s="5">
        <v>2900</v>
      </c>
      <c r="U17" s="24">
        <v>0.1</v>
      </c>
      <c r="V17" s="26">
        <f t="shared" si="0"/>
        <v>2610</v>
      </c>
      <c r="W17" s="26">
        <f t="shared" si="1"/>
        <v>54810</v>
      </c>
      <c r="X17" s="6"/>
      <c r="Y17" s="22"/>
      <c r="Z17" s="1"/>
    </row>
    <row r="18" spans="1:26" x14ac:dyDescent="0.3">
      <c r="A18" t="s">
        <v>340</v>
      </c>
      <c r="B18" t="s">
        <v>328</v>
      </c>
      <c r="C18" t="s">
        <v>349</v>
      </c>
      <c r="D18" t="s">
        <v>350</v>
      </c>
      <c r="E18" s="1" t="s">
        <v>64</v>
      </c>
      <c r="F18" s="1" t="s">
        <v>21</v>
      </c>
      <c r="G18" s="2186">
        <v>1</v>
      </c>
      <c r="H18" s="2186">
        <f>VLOOKUP(G18,Pesos!A:B,2,0)</f>
        <v>0.9</v>
      </c>
      <c r="J18" s="1" t="s">
        <v>308</v>
      </c>
      <c r="K18" s="1">
        <v>6</v>
      </c>
      <c r="L18" s="2" t="s">
        <v>331</v>
      </c>
      <c r="M18" s="1">
        <v>1</v>
      </c>
      <c r="N18" s="1" t="s">
        <v>24</v>
      </c>
      <c r="O18" s="1">
        <v>1</v>
      </c>
      <c r="S18" s="1">
        <v>1</v>
      </c>
      <c r="T18" s="5">
        <v>17576</v>
      </c>
      <c r="U18" s="24">
        <v>0.55000000000000004</v>
      </c>
      <c r="V18" s="25">
        <f>T18*(1-U18)</f>
        <v>7909.1999999999989</v>
      </c>
      <c r="W18" s="25">
        <f t="shared" si="1"/>
        <v>7909.1999999999989</v>
      </c>
      <c r="X18" s="22"/>
      <c r="Y18" s="22"/>
      <c r="Z18" s="1"/>
    </row>
    <row r="19" spans="1:26" x14ac:dyDescent="0.3">
      <c r="A19" t="s">
        <v>340</v>
      </c>
      <c r="B19" t="s">
        <v>328</v>
      </c>
      <c r="C19" t="s">
        <v>349</v>
      </c>
      <c r="D19" t="s">
        <v>350</v>
      </c>
      <c r="E19" s="1" t="s">
        <v>65</v>
      </c>
      <c r="F19" s="1" t="s">
        <v>26</v>
      </c>
      <c r="G19" s="2186">
        <v>4</v>
      </c>
      <c r="H19" s="2186">
        <f>VLOOKUP(G19,Pesos!A:B,2,0)</f>
        <v>0.6</v>
      </c>
      <c r="I19" s="1" t="s">
        <v>308</v>
      </c>
      <c r="K19" s="1">
        <v>7</v>
      </c>
      <c r="L19" s="1">
        <v>14</v>
      </c>
      <c r="M19" s="1">
        <v>1</v>
      </c>
      <c r="N19" s="1" t="s">
        <v>24</v>
      </c>
      <c r="O19" s="1">
        <v>1</v>
      </c>
      <c r="S19" s="1">
        <v>1</v>
      </c>
      <c r="T19" s="5">
        <v>5500</v>
      </c>
      <c r="U19" s="24">
        <v>0.15</v>
      </c>
      <c r="V19" s="25">
        <f>T19*(1-U19)</f>
        <v>4675</v>
      </c>
      <c r="W19" s="25">
        <f t="shared" si="1"/>
        <v>4675</v>
      </c>
      <c r="X19" s="18"/>
    </row>
    <row r="20" spans="1:26" x14ac:dyDescent="0.3">
      <c r="A20" t="s">
        <v>340</v>
      </c>
      <c r="B20" t="s">
        <v>328</v>
      </c>
      <c r="C20" t="s">
        <v>349</v>
      </c>
      <c r="D20" t="s">
        <v>350</v>
      </c>
      <c r="E20" s="1" t="s">
        <v>66</v>
      </c>
      <c r="F20" s="1" t="s">
        <v>27</v>
      </c>
      <c r="G20" s="2186">
        <v>2</v>
      </c>
      <c r="H20" s="2186">
        <f>VLOOKUP(G20,Pesos!A:B,2,0)</f>
        <v>0.8</v>
      </c>
      <c r="I20" s="1" t="s">
        <v>308</v>
      </c>
      <c r="K20" s="1">
        <v>16</v>
      </c>
      <c r="L20" s="1">
        <v>25</v>
      </c>
      <c r="M20" s="1">
        <v>21</v>
      </c>
      <c r="N20" s="1" t="s">
        <v>24</v>
      </c>
      <c r="O20" s="1">
        <v>20</v>
      </c>
      <c r="S20" s="1">
        <v>1</v>
      </c>
      <c r="T20" s="5">
        <v>3222.65</v>
      </c>
      <c r="U20" s="24">
        <v>0.2</v>
      </c>
      <c r="V20" s="26">
        <f>T20*(1-U20)</f>
        <v>2578.1200000000003</v>
      </c>
      <c r="W20" s="26">
        <f t="shared" si="1"/>
        <v>54140.520000000004</v>
      </c>
      <c r="X20" s="6"/>
    </row>
    <row r="21" spans="1:26" x14ac:dyDescent="0.3">
      <c r="A21" t="s">
        <v>340</v>
      </c>
      <c r="B21" t="s">
        <v>328</v>
      </c>
      <c r="C21" t="s">
        <v>349</v>
      </c>
      <c r="D21" t="s">
        <v>350</v>
      </c>
      <c r="E21" s="1" t="s">
        <v>31</v>
      </c>
      <c r="F21" s="1" t="s">
        <v>32</v>
      </c>
      <c r="G21" s="2186">
        <v>5</v>
      </c>
      <c r="H21" s="2186">
        <f>VLOOKUP(G21,Pesos!A:B,2,0)</f>
        <v>0.5</v>
      </c>
      <c r="I21" s="1" t="s">
        <v>308</v>
      </c>
      <c r="K21" s="1">
        <v>5</v>
      </c>
      <c r="L21" s="2" t="s">
        <v>203</v>
      </c>
      <c r="M21" s="1">
        <v>5</v>
      </c>
      <c r="N21" s="1" t="s">
        <v>33</v>
      </c>
      <c r="O21" s="1">
        <v>5</v>
      </c>
      <c r="S21" s="1">
        <v>1</v>
      </c>
      <c r="T21" s="5">
        <f>265*8</f>
        <v>2120</v>
      </c>
      <c r="U21" s="24">
        <v>0.4</v>
      </c>
      <c r="V21" s="26">
        <f t="shared" ref="V21" si="2">T21*(1-U21)</f>
        <v>1272</v>
      </c>
      <c r="W21" s="26">
        <f t="shared" si="1"/>
        <v>6360</v>
      </c>
      <c r="X21" s="6"/>
    </row>
    <row r="22" spans="1:26" x14ac:dyDescent="0.3">
      <c r="A22" t="s">
        <v>340</v>
      </c>
      <c r="B22" t="s">
        <v>328</v>
      </c>
      <c r="C22" t="s">
        <v>349</v>
      </c>
      <c r="D22" t="s">
        <v>350</v>
      </c>
      <c r="E22" s="1" t="s">
        <v>35</v>
      </c>
      <c r="F22" s="1" t="s">
        <v>21</v>
      </c>
      <c r="G22" s="2186">
        <v>1</v>
      </c>
      <c r="H22" s="2186">
        <f>VLOOKUP(G22,Pesos!A:B,2,0)</f>
        <v>0.9</v>
      </c>
      <c r="J22" s="1" t="s">
        <v>308</v>
      </c>
      <c r="K22" s="1">
        <v>6</v>
      </c>
      <c r="L22" s="1">
        <v>12</v>
      </c>
      <c r="M22" s="1">
        <v>3</v>
      </c>
      <c r="N22" s="1" t="s">
        <v>24</v>
      </c>
      <c r="O22" s="1">
        <v>3</v>
      </c>
      <c r="S22" s="1">
        <v>1</v>
      </c>
      <c r="T22" s="9">
        <v>12150</v>
      </c>
      <c r="U22" s="29">
        <v>0.4</v>
      </c>
      <c r="V22" s="26">
        <f t="shared" ref="V22:V26" si="3">T22*(1-U22)</f>
        <v>7290</v>
      </c>
      <c r="W22" s="26">
        <f t="shared" si="1"/>
        <v>21870</v>
      </c>
      <c r="X22" s="6"/>
    </row>
    <row r="23" spans="1:26" x14ac:dyDescent="0.3">
      <c r="A23" t="s">
        <v>340</v>
      </c>
      <c r="B23" t="s">
        <v>328</v>
      </c>
      <c r="C23" t="s">
        <v>349</v>
      </c>
      <c r="D23" t="s">
        <v>350</v>
      </c>
      <c r="E23" s="1" t="s">
        <v>35</v>
      </c>
      <c r="F23" s="1" t="s">
        <v>26</v>
      </c>
      <c r="G23" s="2186">
        <v>4</v>
      </c>
      <c r="H23" s="2186">
        <f>VLOOKUP(G23,Pesos!A:B,2,0)</f>
        <v>0.6</v>
      </c>
      <c r="I23" s="1" t="s">
        <v>308</v>
      </c>
      <c r="K23" s="1">
        <v>7</v>
      </c>
      <c r="L23" s="1">
        <v>14</v>
      </c>
      <c r="M23" s="1">
        <v>2</v>
      </c>
      <c r="N23" s="1" t="s">
        <v>24</v>
      </c>
      <c r="O23" s="1">
        <v>2</v>
      </c>
      <c r="S23" s="1">
        <v>1</v>
      </c>
      <c r="T23" s="9">
        <v>15000</v>
      </c>
      <c r="U23" s="29">
        <v>0.49</v>
      </c>
      <c r="V23" s="26">
        <f t="shared" si="3"/>
        <v>7650</v>
      </c>
      <c r="W23" s="26">
        <f t="shared" si="1"/>
        <v>15300</v>
      </c>
      <c r="X23" s="6"/>
    </row>
    <row r="24" spans="1:26" x14ac:dyDescent="0.3">
      <c r="A24" t="s">
        <v>340</v>
      </c>
      <c r="B24" t="s">
        <v>328</v>
      </c>
      <c r="C24" t="s">
        <v>349</v>
      </c>
      <c r="D24" t="s">
        <v>350</v>
      </c>
      <c r="E24" s="1" t="s">
        <v>67</v>
      </c>
      <c r="F24" s="1" t="s">
        <v>21</v>
      </c>
      <c r="G24" s="2186">
        <v>1</v>
      </c>
      <c r="H24" s="2186">
        <f>VLOOKUP(G24,Pesos!A:B,2,0)</f>
        <v>0.9</v>
      </c>
      <c r="J24" s="1" t="s">
        <v>308</v>
      </c>
      <c r="K24" s="1">
        <v>6</v>
      </c>
      <c r="L24" s="1">
        <v>12</v>
      </c>
      <c r="M24" s="1">
        <v>2</v>
      </c>
      <c r="N24" s="1" t="s">
        <v>24</v>
      </c>
      <c r="O24" s="1">
        <v>2</v>
      </c>
      <c r="R24" s="18"/>
      <c r="S24" s="1">
        <v>1</v>
      </c>
      <c r="T24" s="9">
        <v>8980</v>
      </c>
      <c r="U24" s="29">
        <v>0.25</v>
      </c>
      <c r="V24" s="26">
        <f t="shared" si="3"/>
        <v>6735</v>
      </c>
      <c r="W24" s="26">
        <f t="shared" si="1"/>
        <v>13470</v>
      </c>
      <c r="X24" s="6"/>
    </row>
    <row r="25" spans="1:26" x14ac:dyDescent="0.3">
      <c r="A25" t="s">
        <v>340</v>
      </c>
      <c r="B25" t="s">
        <v>328</v>
      </c>
      <c r="C25" t="s">
        <v>349</v>
      </c>
      <c r="D25" t="s">
        <v>350</v>
      </c>
      <c r="E25" s="1" t="s">
        <v>67</v>
      </c>
      <c r="F25" s="1" t="s">
        <v>26</v>
      </c>
      <c r="G25" s="2186">
        <v>4</v>
      </c>
      <c r="H25" s="2186">
        <f>VLOOKUP(G25,Pesos!A:B,2,0)</f>
        <v>0.6</v>
      </c>
      <c r="I25" s="1" t="s">
        <v>308</v>
      </c>
      <c r="K25" s="1">
        <v>7</v>
      </c>
      <c r="L25" s="1">
        <v>14</v>
      </c>
      <c r="M25" s="1">
        <v>2</v>
      </c>
      <c r="N25" s="1" t="s">
        <v>24</v>
      </c>
      <c r="O25" s="1">
        <v>2</v>
      </c>
      <c r="R25" s="6"/>
      <c r="S25" s="1">
        <v>1</v>
      </c>
      <c r="T25" s="9">
        <v>14500</v>
      </c>
      <c r="U25" s="29">
        <v>0.25</v>
      </c>
      <c r="V25" s="26">
        <f t="shared" si="3"/>
        <v>10875</v>
      </c>
      <c r="W25" s="26">
        <f t="shared" si="1"/>
        <v>21750</v>
      </c>
      <c r="X25" s="6"/>
    </row>
    <row r="26" spans="1:26" x14ac:dyDescent="0.3">
      <c r="A26" t="s">
        <v>340</v>
      </c>
      <c r="B26" t="s">
        <v>328</v>
      </c>
      <c r="C26" t="s">
        <v>349</v>
      </c>
      <c r="D26" t="s">
        <v>350</v>
      </c>
      <c r="E26" s="1" t="s">
        <v>67</v>
      </c>
      <c r="F26" s="1" t="s">
        <v>68</v>
      </c>
      <c r="G26" s="2186">
        <v>3</v>
      </c>
      <c r="H26" s="2186">
        <f>VLOOKUP(G26,Pesos!A:B,2,0)</f>
        <v>0.7</v>
      </c>
      <c r="I26" s="1" t="s">
        <v>308</v>
      </c>
      <c r="K26" s="1">
        <v>6</v>
      </c>
      <c r="L26" s="1">
        <v>15</v>
      </c>
      <c r="M26" s="1">
        <v>10</v>
      </c>
      <c r="N26" s="1" t="s">
        <v>24</v>
      </c>
      <c r="O26" s="1">
        <v>10</v>
      </c>
      <c r="R26" s="6"/>
      <c r="S26" s="1">
        <v>1</v>
      </c>
      <c r="T26" s="9">
        <v>1800</v>
      </c>
      <c r="U26" s="29">
        <v>0.2</v>
      </c>
      <c r="V26" s="26">
        <f t="shared" si="3"/>
        <v>1440</v>
      </c>
      <c r="W26" s="26">
        <f t="shared" si="1"/>
        <v>14400</v>
      </c>
      <c r="X26" s="6"/>
    </row>
    <row r="27" spans="1:26" x14ac:dyDescent="0.3">
      <c r="G27" s="2186"/>
      <c r="H27" s="2186"/>
      <c r="M27" s="1"/>
      <c r="R27" s="18"/>
      <c r="T27" s="5"/>
      <c r="U27" s="24"/>
      <c r="V27" s="26"/>
      <c r="W27" s="26"/>
      <c r="X27" s="6"/>
    </row>
    <row r="28" spans="1:26" x14ac:dyDescent="0.3">
      <c r="A28" t="s">
        <v>342</v>
      </c>
      <c r="B28" t="s">
        <v>328</v>
      </c>
      <c r="C28" t="s">
        <v>349</v>
      </c>
      <c r="D28" t="s">
        <v>350</v>
      </c>
      <c r="E28" s="1" t="s">
        <v>23</v>
      </c>
      <c r="F28" s="1" t="s">
        <v>21</v>
      </c>
      <c r="G28" s="2186">
        <v>2</v>
      </c>
      <c r="H28" s="2186">
        <f>VLOOKUP(G28,Pesos!A:B,2,0)</f>
        <v>0.8</v>
      </c>
      <c r="J28" s="1" t="s">
        <v>308</v>
      </c>
      <c r="K28" s="1">
        <v>4</v>
      </c>
      <c r="L28" s="1">
        <v>8</v>
      </c>
      <c r="M28" s="2" t="s">
        <v>38</v>
      </c>
      <c r="N28" s="1" t="s">
        <v>24</v>
      </c>
      <c r="O28" s="1">
        <v>1</v>
      </c>
      <c r="R28" s="18"/>
      <c r="S28" s="1">
        <v>1</v>
      </c>
      <c r="T28" s="5">
        <v>35211.99</v>
      </c>
      <c r="U28" s="24">
        <v>0.55000000000000004</v>
      </c>
      <c r="V28" s="26">
        <f t="shared" ref="V28" si="4">T28*(1-U28)</f>
        <v>15845.395499999997</v>
      </c>
      <c r="W28" s="26">
        <f>V28*S28*M28</f>
        <v>15845.395499999997</v>
      </c>
      <c r="X28" s="6"/>
    </row>
    <row r="29" spans="1:26" x14ac:dyDescent="0.3">
      <c r="A29" t="s">
        <v>342</v>
      </c>
      <c r="B29" t="s">
        <v>328</v>
      </c>
      <c r="C29" t="s">
        <v>349</v>
      </c>
      <c r="D29" t="s">
        <v>350</v>
      </c>
      <c r="E29" s="1" t="s">
        <v>25</v>
      </c>
      <c r="F29" s="1" t="s">
        <v>21</v>
      </c>
      <c r="G29" s="2186">
        <v>2</v>
      </c>
      <c r="H29" s="2186">
        <f>VLOOKUP(G29,Pesos!A:B,2,0)</f>
        <v>0.8</v>
      </c>
      <c r="J29" s="1" t="s">
        <v>308</v>
      </c>
      <c r="K29" s="2" t="s">
        <v>346</v>
      </c>
      <c r="L29" s="1">
        <v>8</v>
      </c>
      <c r="M29" s="2" t="s">
        <v>38</v>
      </c>
      <c r="N29" s="1" t="s">
        <v>24</v>
      </c>
      <c r="O29" s="1">
        <v>1</v>
      </c>
      <c r="R29" s="18"/>
      <c r="S29" s="1">
        <v>1</v>
      </c>
      <c r="T29" s="5">
        <v>7000</v>
      </c>
      <c r="U29" s="24">
        <v>0.1</v>
      </c>
      <c r="V29" s="26">
        <f t="shared" ref="V29:V34" si="5">T29*(1-U29)</f>
        <v>6300</v>
      </c>
      <c r="W29" s="26">
        <f t="shared" ref="W29:W33" si="6">V29*S29*M29</f>
        <v>6300</v>
      </c>
      <c r="X29" s="6"/>
    </row>
    <row r="30" spans="1:26" x14ac:dyDescent="0.3">
      <c r="A30" t="s">
        <v>342</v>
      </c>
      <c r="B30" t="s">
        <v>328</v>
      </c>
      <c r="C30" t="s">
        <v>349</v>
      </c>
      <c r="D30" t="s">
        <v>350</v>
      </c>
      <c r="E30" s="1" t="s">
        <v>25</v>
      </c>
      <c r="F30" s="1" t="s">
        <v>26</v>
      </c>
      <c r="G30" s="2186">
        <v>3</v>
      </c>
      <c r="H30" s="2186">
        <f>VLOOKUP(G30,Pesos!A:B,2,0)</f>
        <v>0.7</v>
      </c>
      <c r="I30" s="1" t="s">
        <v>308</v>
      </c>
      <c r="K30" s="2" t="s">
        <v>332</v>
      </c>
      <c r="L30" s="1">
        <v>6</v>
      </c>
      <c r="M30" s="2" t="s">
        <v>38</v>
      </c>
      <c r="N30" s="1" t="s">
        <v>63</v>
      </c>
      <c r="O30" s="1">
        <v>1</v>
      </c>
      <c r="S30" s="1">
        <v>1</v>
      </c>
      <c r="T30" s="5">
        <v>7500</v>
      </c>
      <c r="U30" s="24">
        <v>0.1</v>
      </c>
      <c r="V30" s="26">
        <f t="shared" si="5"/>
        <v>6750</v>
      </c>
      <c r="W30" s="26">
        <f t="shared" si="6"/>
        <v>6750</v>
      </c>
    </row>
    <row r="31" spans="1:26" x14ac:dyDescent="0.3">
      <c r="A31" t="s">
        <v>342</v>
      </c>
      <c r="B31" t="s">
        <v>328</v>
      </c>
      <c r="C31" t="s">
        <v>349</v>
      </c>
      <c r="D31" t="s">
        <v>350</v>
      </c>
      <c r="E31" s="1" t="s">
        <v>25</v>
      </c>
      <c r="F31" s="1" t="s">
        <v>27</v>
      </c>
      <c r="G31" s="2186">
        <v>1</v>
      </c>
      <c r="H31" s="2186">
        <f>VLOOKUP(G31,Pesos!A:B,2,0)</f>
        <v>0.9</v>
      </c>
      <c r="I31" s="1" t="s">
        <v>308</v>
      </c>
      <c r="K31" s="2" t="s">
        <v>203</v>
      </c>
      <c r="L31" s="1">
        <v>20</v>
      </c>
      <c r="M31" s="2" t="s">
        <v>51</v>
      </c>
      <c r="N31" s="1" t="s">
        <v>24</v>
      </c>
      <c r="O31" s="1">
        <v>20</v>
      </c>
      <c r="S31" s="1">
        <v>1</v>
      </c>
      <c r="T31" s="5">
        <v>2900</v>
      </c>
      <c r="U31" s="24">
        <v>0.1</v>
      </c>
      <c r="V31" s="26">
        <f t="shared" si="5"/>
        <v>2610</v>
      </c>
      <c r="W31" s="26">
        <f t="shared" si="6"/>
        <v>52200</v>
      </c>
    </row>
    <row r="32" spans="1:26" x14ac:dyDescent="0.3">
      <c r="A32" t="s">
        <v>342</v>
      </c>
      <c r="B32" t="s">
        <v>328</v>
      </c>
      <c r="C32" t="s">
        <v>349</v>
      </c>
      <c r="D32" t="s">
        <v>350</v>
      </c>
      <c r="E32" s="1" t="s">
        <v>64</v>
      </c>
      <c r="F32" s="1" t="s">
        <v>21</v>
      </c>
      <c r="G32" s="2186">
        <v>2</v>
      </c>
      <c r="H32" s="2186">
        <f>VLOOKUP(G32,Pesos!A:B,2,0)</f>
        <v>0.8</v>
      </c>
      <c r="J32" s="1" t="s">
        <v>308</v>
      </c>
      <c r="K32" s="2" t="s">
        <v>346</v>
      </c>
      <c r="L32" s="1">
        <v>8</v>
      </c>
      <c r="M32" s="2" t="s">
        <v>38</v>
      </c>
      <c r="N32" s="1" t="s">
        <v>24</v>
      </c>
      <c r="O32" s="1">
        <v>1</v>
      </c>
      <c r="S32" s="1">
        <v>1</v>
      </c>
      <c r="T32" s="5">
        <v>17576</v>
      </c>
      <c r="U32" s="24">
        <v>0.55000000000000004</v>
      </c>
      <c r="V32" s="26">
        <f t="shared" si="5"/>
        <v>7909.1999999999989</v>
      </c>
      <c r="W32" s="26">
        <f t="shared" si="6"/>
        <v>7909.1999999999989</v>
      </c>
    </row>
    <row r="33" spans="1:24" x14ac:dyDescent="0.3">
      <c r="A33" t="s">
        <v>342</v>
      </c>
      <c r="B33" t="s">
        <v>328</v>
      </c>
      <c r="C33" t="s">
        <v>349</v>
      </c>
      <c r="D33" t="s">
        <v>350</v>
      </c>
      <c r="E33" s="1" t="s">
        <v>65</v>
      </c>
      <c r="F33" s="1" t="s">
        <v>26</v>
      </c>
      <c r="G33" s="2186">
        <v>3</v>
      </c>
      <c r="H33" s="2186">
        <f>VLOOKUP(G33,Pesos!A:B,2,0)</f>
        <v>0.7</v>
      </c>
      <c r="I33" s="1" t="s">
        <v>308</v>
      </c>
      <c r="K33" s="2" t="s">
        <v>332</v>
      </c>
      <c r="L33" s="1">
        <v>6</v>
      </c>
      <c r="M33" s="2" t="s">
        <v>38</v>
      </c>
      <c r="N33" s="1" t="s">
        <v>24</v>
      </c>
      <c r="O33" s="1">
        <v>1</v>
      </c>
      <c r="S33" s="1">
        <v>1</v>
      </c>
      <c r="T33" s="5">
        <v>5500</v>
      </c>
      <c r="U33" s="24">
        <v>0.15</v>
      </c>
      <c r="V33" s="26">
        <f t="shared" si="5"/>
        <v>4675</v>
      </c>
      <c r="W33" s="26">
        <f t="shared" si="6"/>
        <v>4675</v>
      </c>
    </row>
    <row r="34" spans="1:24" x14ac:dyDescent="0.3">
      <c r="A34" t="s">
        <v>342</v>
      </c>
      <c r="B34" t="s">
        <v>328</v>
      </c>
      <c r="C34" t="s">
        <v>349</v>
      </c>
      <c r="D34" t="s">
        <v>350</v>
      </c>
      <c r="E34" s="1" t="s">
        <v>66</v>
      </c>
      <c r="F34" s="1" t="s">
        <v>27</v>
      </c>
      <c r="G34" s="2186">
        <v>1</v>
      </c>
      <c r="H34" s="2186">
        <f>VLOOKUP(G34,Pesos!A:B,2,0)</f>
        <v>0.9</v>
      </c>
      <c r="I34" s="1" t="s">
        <v>308</v>
      </c>
      <c r="K34" s="2" t="s">
        <v>203</v>
      </c>
      <c r="L34" s="1">
        <v>20</v>
      </c>
      <c r="M34" s="2" t="s">
        <v>51</v>
      </c>
      <c r="N34" s="1" t="s">
        <v>24</v>
      </c>
      <c r="O34" s="1">
        <v>20</v>
      </c>
      <c r="S34" s="1">
        <v>1</v>
      </c>
      <c r="T34" s="5">
        <v>3222.65</v>
      </c>
      <c r="U34" s="24">
        <v>0.2</v>
      </c>
      <c r="V34" s="26">
        <f t="shared" si="5"/>
        <v>2578.1200000000003</v>
      </c>
      <c r="W34" s="26">
        <f>V34*S34*M34</f>
        <v>51562.400000000009</v>
      </c>
      <c r="X34" s="6"/>
    </row>
    <row r="35" spans="1:24" x14ac:dyDescent="0.3">
      <c r="A35" t="s">
        <v>342</v>
      </c>
      <c r="B35" t="s">
        <v>328</v>
      </c>
      <c r="C35" t="s">
        <v>349</v>
      </c>
      <c r="D35" t="s">
        <v>350</v>
      </c>
      <c r="E35" s="1" t="s">
        <v>35</v>
      </c>
      <c r="F35" s="1" t="s">
        <v>21</v>
      </c>
      <c r="G35" s="2186">
        <v>2</v>
      </c>
      <c r="H35" s="2186">
        <f>VLOOKUP(G35,Pesos!A:B,2,0)</f>
        <v>0.8</v>
      </c>
      <c r="J35" s="1" t="s">
        <v>308</v>
      </c>
      <c r="K35" s="1">
        <v>4</v>
      </c>
      <c r="L35" s="1">
        <v>8</v>
      </c>
      <c r="M35" s="2" t="s">
        <v>332</v>
      </c>
      <c r="N35" s="1" t="s">
        <v>24</v>
      </c>
      <c r="O35" s="1">
        <v>2</v>
      </c>
      <c r="S35" s="1">
        <v>1</v>
      </c>
      <c r="T35" s="9">
        <v>12150</v>
      </c>
      <c r="U35" s="29">
        <v>0.4</v>
      </c>
      <c r="V35" s="26">
        <f t="shared" ref="V35:V38" si="7">T35*(1-U35)</f>
        <v>7290</v>
      </c>
      <c r="W35" s="26">
        <f t="shared" ref="W35:W38" si="8">V35*S35*M35</f>
        <v>14580</v>
      </c>
    </row>
    <row r="36" spans="1:24" x14ac:dyDescent="0.3">
      <c r="A36" t="s">
        <v>342</v>
      </c>
      <c r="B36" t="s">
        <v>328</v>
      </c>
      <c r="C36" t="s">
        <v>349</v>
      </c>
      <c r="D36" t="s">
        <v>350</v>
      </c>
      <c r="E36" s="1" t="s">
        <v>35</v>
      </c>
      <c r="F36" s="1" t="s">
        <v>26</v>
      </c>
      <c r="G36" s="2186">
        <v>3</v>
      </c>
      <c r="H36" s="2186">
        <f>VLOOKUP(G36,Pesos!A:B,2,0)</f>
        <v>0.7</v>
      </c>
      <c r="I36" s="1" t="s">
        <v>308</v>
      </c>
      <c r="K36" s="1">
        <v>2</v>
      </c>
      <c r="L36" s="1">
        <v>6</v>
      </c>
      <c r="M36" s="2" t="s">
        <v>332</v>
      </c>
      <c r="N36" s="1" t="s">
        <v>24</v>
      </c>
      <c r="O36" s="1">
        <v>2</v>
      </c>
      <c r="S36" s="1">
        <v>1</v>
      </c>
      <c r="T36" s="9">
        <v>15000</v>
      </c>
      <c r="U36" s="29">
        <v>0.49</v>
      </c>
      <c r="V36" s="26">
        <f t="shared" si="7"/>
        <v>7650</v>
      </c>
      <c r="W36" s="26">
        <f t="shared" si="8"/>
        <v>15300</v>
      </c>
    </row>
    <row r="37" spans="1:24" x14ac:dyDescent="0.3">
      <c r="A37" t="s">
        <v>342</v>
      </c>
      <c r="B37" t="s">
        <v>328</v>
      </c>
      <c r="C37" t="s">
        <v>349</v>
      </c>
      <c r="D37" t="s">
        <v>350</v>
      </c>
      <c r="E37" s="1" t="s">
        <v>67</v>
      </c>
      <c r="F37" s="1" t="s">
        <v>21</v>
      </c>
      <c r="G37" s="2186">
        <v>2</v>
      </c>
      <c r="H37" s="2186">
        <f>VLOOKUP(G37,Pesos!A:B,2,0)</f>
        <v>0.8</v>
      </c>
      <c r="J37" s="1" t="s">
        <v>308</v>
      </c>
      <c r="K37" s="1">
        <v>4</v>
      </c>
      <c r="L37" s="1">
        <v>8</v>
      </c>
      <c r="M37" s="2" t="s">
        <v>332</v>
      </c>
      <c r="N37" s="1" t="s">
        <v>24</v>
      </c>
      <c r="O37" s="1">
        <v>2</v>
      </c>
      <c r="S37" s="1">
        <v>1</v>
      </c>
      <c r="T37" s="9">
        <v>8980</v>
      </c>
      <c r="U37" s="29">
        <v>0.25</v>
      </c>
      <c r="V37" s="26">
        <f t="shared" si="7"/>
        <v>6735</v>
      </c>
      <c r="W37" s="26">
        <f t="shared" si="8"/>
        <v>13470</v>
      </c>
    </row>
    <row r="38" spans="1:24" x14ac:dyDescent="0.3">
      <c r="A38" t="s">
        <v>342</v>
      </c>
      <c r="B38" t="s">
        <v>328</v>
      </c>
      <c r="C38" t="s">
        <v>349</v>
      </c>
      <c r="D38" t="s">
        <v>350</v>
      </c>
      <c r="E38" s="1" t="s">
        <v>67</v>
      </c>
      <c r="F38" s="1" t="s">
        <v>26</v>
      </c>
      <c r="G38" s="2186">
        <v>3</v>
      </c>
      <c r="H38" s="2186">
        <f>VLOOKUP(G38,Pesos!A:B,2,0)</f>
        <v>0.7</v>
      </c>
      <c r="I38" s="1" t="s">
        <v>308</v>
      </c>
      <c r="K38" s="1">
        <v>2</v>
      </c>
      <c r="L38" s="1">
        <v>6</v>
      </c>
      <c r="M38" s="2" t="s">
        <v>332</v>
      </c>
      <c r="N38" s="1" t="s">
        <v>24</v>
      </c>
      <c r="O38" s="1">
        <v>2</v>
      </c>
      <c r="S38" s="1">
        <v>1</v>
      </c>
      <c r="T38" s="9">
        <v>14500</v>
      </c>
      <c r="U38" s="29">
        <v>0.25</v>
      </c>
      <c r="V38" s="26">
        <f t="shared" si="7"/>
        <v>10875</v>
      </c>
      <c r="W38" s="26">
        <f t="shared" si="8"/>
        <v>21750</v>
      </c>
    </row>
    <row r="39" spans="1:24" x14ac:dyDescent="0.3">
      <c r="G39" s="2186"/>
      <c r="H39" s="2186"/>
    </row>
    <row r="40" spans="1:24" x14ac:dyDescent="0.3">
      <c r="A40" t="s">
        <v>343</v>
      </c>
      <c r="B40" t="s">
        <v>328</v>
      </c>
      <c r="C40" t="s">
        <v>349</v>
      </c>
      <c r="D40" t="s">
        <v>350</v>
      </c>
      <c r="E40" s="1" t="s">
        <v>23</v>
      </c>
      <c r="F40" s="1" t="s">
        <v>21</v>
      </c>
      <c r="G40" s="2186">
        <v>1</v>
      </c>
      <c r="H40" s="2186">
        <f>VLOOKUP(G40,Pesos!A:B,2,0)</f>
        <v>0.9</v>
      </c>
      <c r="J40" s="1" t="s">
        <v>308</v>
      </c>
      <c r="K40" s="1">
        <v>4</v>
      </c>
      <c r="L40" s="1">
        <v>8</v>
      </c>
      <c r="M40" s="1">
        <v>1</v>
      </c>
      <c r="N40" s="1" t="s">
        <v>24</v>
      </c>
      <c r="O40" s="1">
        <v>1</v>
      </c>
      <c r="S40" s="1">
        <v>1</v>
      </c>
      <c r="T40" s="5">
        <v>35211.99</v>
      </c>
      <c r="U40" s="24">
        <v>0.55000000000000004</v>
      </c>
      <c r="V40" s="26">
        <f t="shared" ref="V40:V52" si="9">T40*(1-U40)</f>
        <v>15845.395499999997</v>
      </c>
      <c r="W40" s="26">
        <f t="shared" ref="W40:W52" si="10">V40*S40*M40</f>
        <v>15845.395499999997</v>
      </c>
    </row>
    <row r="41" spans="1:24" x14ac:dyDescent="0.3">
      <c r="A41" t="s">
        <v>343</v>
      </c>
      <c r="B41" t="s">
        <v>328</v>
      </c>
      <c r="C41" t="s">
        <v>349</v>
      </c>
      <c r="D41" t="s">
        <v>350</v>
      </c>
      <c r="E41" s="1" t="s">
        <v>25</v>
      </c>
      <c r="F41" s="1" t="s">
        <v>21</v>
      </c>
      <c r="G41" s="2186">
        <v>1</v>
      </c>
      <c r="H41" s="2186">
        <f>VLOOKUP(G41,Pesos!A:B,2,0)</f>
        <v>0.9</v>
      </c>
      <c r="J41" s="1" t="s">
        <v>308</v>
      </c>
      <c r="K41" s="1">
        <v>4</v>
      </c>
      <c r="L41" s="1">
        <v>8</v>
      </c>
      <c r="M41" s="1">
        <v>1</v>
      </c>
      <c r="N41" s="1" t="s">
        <v>24</v>
      </c>
      <c r="O41" s="1">
        <v>1</v>
      </c>
      <c r="S41" s="1">
        <v>1</v>
      </c>
      <c r="T41" s="5">
        <v>7000</v>
      </c>
      <c r="U41" s="24">
        <v>0.1</v>
      </c>
      <c r="V41" s="26">
        <f t="shared" si="9"/>
        <v>6300</v>
      </c>
      <c r="W41" s="26">
        <f t="shared" si="10"/>
        <v>6300</v>
      </c>
    </row>
    <row r="42" spans="1:24" x14ac:dyDescent="0.3">
      <c r="A42" t="s">
        <v>343</v>
      </c>
      <c r="B42" t="s">
        <v>328</v>
      </c>
      <c r="C42" t="s">
        <v>349</v>
      </c>
      <c r="D42" t="s">
        <v>350</v>
      </c>
      <c r="E42" s="1" t="s">
        <v>25</v>
      </c>
      <c r="F42" s="1" t="s">
        <v>26</v>
      </c>
      <c r="G42" s="2186">
        <v>4</v>
      </c>
      <c r="H42" s="2186">
        <f>VLOOKUP(G42,Pesos!A:B,2,0)</f>
        <v>0.6</v>
      </c>
      <c r="I42" s="1" t="s">
        <v>308</v>
      </c>
      <c r="K42" s="1">
        <v>2</v>
      </c>
      <c r="L42" s="1">
        <v>6</v>
      </c>
      <c r="M42" s="1">
        <v>1</v>
      </c>
      <c r="N42" s="1" t="s">
        <v>63</v>
      </c>
      <c r="O42" s="1">
        <v>1</v>
      </c>
      <c r="S42" s="1">
        <v>1</v>
      </c>
      <c r="T42" s="5">
        <v>7500</v>
      </c>
      <c r="U42" s="24">
        <v>0.1</v>
      </c>
      <c r="V42" s="26">
        <f t="shared" si="9"/>
        <v>6750</v>
      </c>
      <c r="W42" s="26">
        <f t="shared" si="10"/>
        <v>6750</v>
      </c>
    </row>
    <row r="43" spans="1:24" x14ac:dyDescent="0.3">
      <c r="A43" t="s">
        <v>343</v>
      </c>
      <c r="B43" t="s">
        <v>328</v>
      </c>
      <c r="C43" t="s">
        <v>349</v>
      </c>
      <c r="D43" t="s">
        <v>350</v>
      </c>
      <c r="E43" s="1" t="s">
        <v>25</v>
      </c>
      <c r="F43" s="1" t="s">
        <v>27</v>
      </c>
      <c r="G43" s="2186">
        <v>2</v>
      </c>
      <c r="H43" s="2186">
        <f>VLOOKUP(G43,Pesos!A:B,2,0)</f>
        <v>0.8</v>
      </c>
      <c r="I43" s="1" t="s">
        <v>308</v>
      </c>
      <c r="K43" s="1">
        <v>10</v>
      </c>
      <c r="L43" s="1">
        <v>20</v>
      </c>
      <c r="M43" s="1">
        <v>15</v>
      </c>
      <c r="N43" s="1" t="s">
        <v>24</v>
      </c>
      <c r="O43" s="1">
        <v>15</v>
      </c>
      <c r="S43" s="1">
        <v>1</v>
      </c>
      <c r="T43" s="5">
        <v>2900</v>
      </c>
      <c r="U43" s="24">
        <v>0.1</v>
      </c>
      <c r="V43" s="26">
        <f t="shared" si="9"/>
        <v>2610</v>
      </c>
      <c r="W43" s="26">
        <f t="shared" si="10"/>
        <v>39150</v>
      </c>
    </row>
    <row r="44" spans="1:24" x14ac:dyDescent="0.3">
      <c r="A44" t="s">
        <v>343</v>
      </c>
      <c r="B44" t="s">
        <v>328</v>
      </c>
      <c r="C44" t="s">
        <v>349</v>
      </c>
      <c r="D44" t="s">
        <v>350</v>
      </c>
      <c r="E44" s="1" t="s">
        <v>64</v>
      </c>
      <c r="F44" s="1" t="s">
        <v>21</v>
      </c>
      <c r="G44" s="2186">
        <v>1</v>
      </c>
      <c r="H44" s="2186">
        <f>VLOOKUP(G44,Pesos!A:B,2,0)</f>
        <v>0.9</v>
      </c>
      <c r="J44" s="1" t="s">
        <v>308</v>
      </c>
      <c r="K44" s="1">
        <v>4</v>
      </c>
      <c r="L44" s="1">
        <v>8</v>
      </c>
      <c r="M44" s="1">
        <v>1</v>
      </c>
      <c r="N44" s="1" t="s">
        <v>24</v>
      </c>
      <c r="O44" s="1">
        <v>1</v>
      </c>
      <c r="S44" s="1">
        <v>1</v>
      </c>
      <c r="T44" s="5">
        <v>17576</v>
      </c>
      <c r="U44" s="24">
        <v>0.55000000000000004</v>
      </c>
      <c r="V44" s="26">
        <f t="shared" si="9"/>
        <v>7909.1999999999989</v>
      </c>
      <c r="W44" s="26">
        <f t="shared" si="10"/>
        <v>7909.1999999999989</v>
      </c>
    </row>
    <row r="45" spans="1:24" x14ac:dyDescent="0.3">
      <c r="A45" t="s">
        <v>343</v>
      </c>
      <c r="B45" t="s">
        <v>328</v>
      </c>
      <c r="C45" t="s">
        <v>349</v>
      </c>
      <c r="D45" t="s">
        <v>350</v>
      </c>
      <c r="E45" s="1" t="s">
        <v>65</v>
      </c>
      <c r="F45" s="1" t="s">
        <v>26</v>
      </c>
      <c r="G45" s="2186">
        <v>4</v>
      </c>
      <c r="H45" s="2186">
        <f>VLOOKUP(G45,Pesos!A:B,2,0)</f>
        <v>0.6</v>
      </c>
      <c r="I45" s="1" t="s">
        <v>308</v>
      </c>
      <c r="K45" s="1">
        <v>2</v>
      </c>
      <c r="L45" s="1">
        <v>6</v>
      </c>
      <c r="M45" s="1">
        <v>1</v>
      </c>
      <c r="N45" s="1" t="s">
        <v>24</v>
      </c>
      <c r="O45" s="1">
        <v>1</v>
      </c>
      <c r="S45" s="1">
        <v>1</v>
      </c>
      <c r="T45" s="5">
        <v>5500</v>
      </c>
      <c r="U45" s="24">
        <v>0.15</v>
      </c>
      <c r="V45" s="26">
        <f t="shared" si="9"/>
        <v>4675</v>
      </c>
      <c r="W45" s="26">
        <f t="shared" si="10"/>
        <v>4675</v>
      </c>
    </row>
    <row r="46" spans="1:24" x14ac:dyDescent="0.3">
      <c r="A46" t="s">
        <v>343</v>
      </c>
      <c r="B46" t="s">
        <v>328</v>
      </c>
      <c r="C46" t="s">
        <v>349</v>
      </c>
      <c r="D46" t="s">
        <v>350</v>
      </c>
      <c r="E46" s="1" t="s">
        <v>66</v>
      </c>
      <c r="F46" s="1" t="s">
        <v>27</v>
      </c>
      <c r="G46" s="2186">
        <v>2</v>
      </c>
      <c r="H46" s="2186">
        <f>VLOOKUP(G46,Pesos!A:B,2,0)</f>
        <v>0.8</v>
      </c>
      <c r="I46" s="1" t="s">
        <v>308</v>
      </c>
      <c r="K46" s="1">
        <v>10</v>
      </c>
      <c r="L46" s="1">
        <v>20</v>
      </c>
      <c r="M46" s="1">
        <v>15</v>
      </c>
      <c r="N46" s="1" t="s">
        <v>24</v>
      </c>
      <c r="O46" s="1">
        <v>15</v>
      </c>
      <c r="S46" s="1">
        <v>1</v>
      </c>
      <c r="T46" s="5">
        <v>3222.65</v>
      </c>
      <c r="U46" s="24">
        <v>0.2</v>
      </c>
      <c r="V46" s="26">
        <f t="shared" si="9"/>
        <v>2578.1200000000003</v>
      </c>
      <c r="W46" s="26">
        <f t="shared" si="10"/>
        <v>38671.800000000003</v>
      </c>
    </row>
    <row r="47" spans="1:24" x14ac:dyDescent="0.3">
      <c r="A47" t="s">
        <v>343</v>
      </c>
      <c r="B47" t="s">
        <v>328</v>
      </c>
      <c r="C47" t="s">
        <v>349</v>
      </c>
      <c r="D47" t="s">
        <v>350</v>
      </c>
      <c r="E47" s="1" t="s">
        <v>31</v>
      </c>
      <c r="F47" s="1" t="s">
        <v>32</v>
      </c>
      <c r="G47" s="2186">
        <v>5</v>
      </c>
      <c r="H47" s="2186">
        <f>VLOOKUP(G47,Pesos!A:B,2,0)</f>
        <v>0.5</v>
      </c>
      <c r="I47" s="1" t="s">
        <v>308</v>
      </c>
      <c r="K47" s="1">
        <v>7</v>
      </c>
      <c r="L47" s="1">
        <v>30</v>
      </c>
      <c r="M47" s="1">
        <v>3</v>
      </c>
      <c r="N47" s="1" t="s">
        <v>33</v>
      </c>
      <c r="O47" s="1">
        <v>3</v>
      </c>
      <c r="P47" s="1">
        <v>3</v>
      </c>
      <c r="Q47" s="1">
        <v>3</v>
      </c>
      <c r="R47" s="1">
        <v>3</v>
      </c>
      <c r="S47" s="1">
        <v>1</v>
      </c>
      <c r="T47" s="5">
        <f>265*8</f>
        <v>2120</v>
      </c>
      <c r="U47" s="24">
        <v>0.4</v>
      </c>
      <c r="V47" s="26">
        <f t="shared" si="9"/>
        <v>1272</v>
      </c>
      <c r="W47" s="26">
        <f t="shared" si="10"/>
        <v>3816</v>
      </c>
    </row>
    <row r="48" spans="1:24" x14ac:dyDescent="0.3">
      <c r="A48" t="s">
        <v>343</v>
      </c>
      <c r="B48" t="s">
        <v>328</v>
      </c>
      <c r="C48" t="s">
        <v>349</v>
      </c>
      <c r="D48" t="s">
        <v>350</v>
      </c>
      <c r="E48" s="1" t="s">
        <v>35</v>
      </c>
      <c r="F48" s="1" t="s">
        <v>21</v>
      </c>
      <c r="G48" s="2186">
        <v>1</v>
      </c>
      <c r="H48" s="2186">
        <f>VLOOKUP(G48,Pesos!A:B,2,0)</f>
        <v>0.9</v>
      </c>
      <c r="J48" s="1" t="s">
        <v>308</v>
      </c>
      <c r="K48" s="1">
        <v>4</v>
      </c>
      <c r="L48" s="1">
        <v>8</v>
      </c>
      <c r="M48" s="1">
        <v>2</v>
      </c>
      <c r="N48" s="1" t="s">
        <v>24</v>
      </c>
      <c r="O48" s="1">
        <v>2</v>
      </c>
      <c r="S48" s="1">
        <v>1</v>
      </c>
      <c r="T48" s="9">
        <v>12150</v>
      </c>
      <c r="U48" s="29">
        <v>0.4</v>
      </c>
      <c r="V48" s="26">
        <f t="shared" si="9"/>
        <v>7290</v>
      </c>
      <c r="W48" s="26">
        <f t="shared" si="10"/>
        <v>14580</v>
      </c>
    </row>
    <row r="49" spans="1:23" x14ac:dyDescent="0.3">
      <c r="A49" t="s">
        <v>343</v>
      </c>
      <c r="B49" t="s">
        <v>328</v>
      </c>
      <c r="C49" t="s">
        <v>349</v>
      </c>
      <c r="D49" t="s">
        <v>350</v>
      </c>
      <c r="E49" s="1" t="s">
        <v>35</v>
      </c>
      <c r="F49" s="1" t="s">
        <v>26</v>
      </c>
      <c r="G49" s="2186">
        <v>4</v>
      </c>
      <c r="H49" s="2186">
        <f>VLOOKUP(G49,Pesos!A:B,2,0)</f>
        <v>0.6</v>
      </c>
      <c r="I49" s="1" t="s">
        <v>308</v>
      </c>
      <c r="K49" s="1">
        <v>2</v>
      </c>
      <c r="L49" s="1">
        <v>6</v>
      </c>
      <c r="M49" s="1">
        <v>2</v>
      </c>
      <c r="N49" s="1" t="s">
        <v>24</v>
      </c>
      <c r="O49" s="1">
        <v>2</v>
      </c>
      <c r="S49" s="1">
        <v>1</v>
      </c>
      <c r="T49" s="9">
        <v>15000</v>
      </c>
      <c r="U49" s="29">
        <v>0.49</v>
      </c>
      <c r="V49" s="26">
        <f t="shared" si="9"/>
        <v>7650</v>
      </c>
      <c r="W49" s="26">
        <f t="shared" si="10"/>
        <v>15300</v>
      </c>
    </row>
    <row r="50" spans="1:23" x14ac:dyDescent="0.3">
      <c r="A50" t="s">
        <v>343</v>
      </c>
      <c r="B50" t="s">
        <v>328</v>
      </c>
      <c r="C50" t="s">
        <v>349</v>
      </c>
      <c r="D50" t="s">
        <v>350</v>
      </c>
      <c r="E50" s="1" t="s">
        <v>67</v>
      </c>
      <c r="F50" s="1" t="s">
        <v>21</v>
      </c>
      <c r="G50" s="2186">
        <v>1</v>
      </c>
      <c r="H50" s="2186">
        <f>VLOOKUP(G50,Pesos!A:B,2,0)</f>
        <v>0.9</v>
      </c>
      <c r="J50" s="1" t="s">
        <v>308</v>
      </c>
      <c r="K50" s="1">
        <v>4</v>
      </c>
      <c r="L50" s="1">
        <v>8</v>
      </c>
      <c r="M50" s="1">
        <v>1</v>
      </c>
      <c r="N50" s="1" t="s">
        <v>24</v>
      </c>
      <c r="O50" s="1">
        <v>1</v>
      </c>
      <c r="S50" s="1">
        <v>1</v>
      </c>
      <c r="T50" s="9">
        <v>8980</v>
      </c>
      <c r="U50" s="29">
        <v>0.25</v>
      </c>
      <c r="V50" s="26">
        <f t="shared" si="9"/>
        <v>6735</v>
      </c>
      <c r="W50" s="26">
        <f t="shared" si="10"/>
        <v>6735</v>
      </c>
    </row>
    <row r="51" spans="1:23" x14ac:dyDescent="0.3">
      <c r="A51" t="s">
        <v>343</v>
      </c>
      <c r="B51" t="s">
        <v>328</v>
      </c>
      <c r="C51" t="s">
        <v>349</v>
      </c>
      <c r="D51" t="s">
        <v>350</v>
      </c>
      <c r="E51" s="1" t="s">
        <v>67</v>
      </c>
      <c r="F51" s="1" t="s">
        <v>26</v>
      </c>
      <c r="G51" s="2186">
        <v>4</v>
      </c>
      <c r="H51" s="2186">
        <f>VLOOKUP(G51,Pesos!A:B,2,0)</f>
        <v>0.6</v>
      </c>
      <c r="I51" s="1" t="s">
        <v>308</v>
      </c>
      <c r="K51" s="1">
        <v>2</v>
      </c>
      <c r="L51" s="1">
        <v>6</v>
      </c>
      <c r="M51" s="1">
        <v>1</v>
      </c>
      <c r="N51" s="1" t="s">
        <v>24</v>
      </c>
      <c r="O51" s="1">
        <v>1</v>
      </c>
      <c r="S51" s="1">
        <v>1</v>
      </c>
      <c r="T51" s="9">
        <v>14500</v>
      </c>
      <c r="U51" s="29">
        <v>0.25</v>
      </c>
      <c r="V51" s="26">
        <f t="shared" si="9"/>
        <v>10875</v>
      </c>
      <c r="W51" s="26">
        <f t="shared" si="10"/>
        <v>10875</v>
      </c>
    </row>
    <row r="52" spans="1:23" x14ac:dyDescent="0.3">
      <c r="A52" t="s">
        <v>343</v>
      </c>
      <c r="B52" t="s">
        <v>328</v>
      </c>
      <c r="C52" t="s">
        <v>349</v>
      </c>
      <c r="D52" t="s">
        <v>350</v>
      </c>
      <c r="E52" s="1" t="s">
        <v>67</v>
      </c>
      <c r="F52" s="1" t="s">
        <v>68</v>
      </c>
      <c r="G52" s="2186">
        <v>3</v>
      </c>
      <c r="H52" s="2186">
        <f>VLOOKUP(G52,Pesos!A:B,2,0)</f>
        <v>0.7</v>
      </c>
      <c r="I52" s="1" t="s">
        <v>308</v>
      </c>
      <c r="K52" s="1">
        <v>4</v>
      </c>
      <c r="L52" s="1">
        <v>10</v>
      </c>
      <c r="M52" s="1">
        <v>10</v>
      </c>
      <c r="N52" s="1" t="s">
        <v>24</v>
      </c>
      <c r="O52" s="1">
        <v>10</v>
      </c>
      <c r="S52" s="1">
        <v>1</v>
      </c>
      <c r="T52" s="9">
        <v>1800</v>
      </c>
      <c r="U52" s="29">
        <v>0.2</v>
      </c>
      <c r="V52" s="26">
        <f t="shared" si="9"/>
        <v>1440</v>
      </c>
      <c r="W52" s="26">
        <f t="shared" si="10"/>
        <v>14400</v>
      </c>
    </row>
    <row r="53" spans="1:23" x14ac:dyDescent="0.3">
      <c r="G53" s="2186"/>
      <c r="H53" s="2186"/>
    </row>
    <row r="54" spans="1:23" x14ac:dyDescent="0.3">
      <c r="A54" t="s">
        <v>326</v>
      </c>
      <c r="B54" t="s">
        <v>328</v>
      </c>
      <c r="C54" t="s">
        <v>349</v>
      </c>
      <c r="D54" t="s">
        <v>350</v>
      </c>
      <c r="E54" s="1" t="s">
        <v>25</v>
      </c>
      <c r="F54" s="1" t="s">
        <v>26</v>
      </c>
      <c r="G54" s="2186">
        <v>3</v>
      </c>
      <c r="H54" s="2186">
        <f>VLOOKUP(G54,Pesos!A:B,2,0)</f>
        <v>0.7</v>
      </c>
      <c r="I54" s="1" t="s">
        <v>308</v>
      </c>
      <c r="K54" s="1">
        <v>1</v>
      </c>
      <c r="L54" s="1">
        <v>4</v>
      </c>
      <c r="M54" s="1">
        <v>1</v>
      </c>
      <c r="N54" s="1" t="s">
        <v>63</v>
      </c>
      <c r="O54" s="1">
        <v>1</v>
      </c>
      <c r="S54" s="1">
        <v>1</v>
      </c>
      <c r="T54" s="5">
        <v>7500</v>
      </c>
      <c r="U54" s="24">
        <v>0.1</v>
      </c>
      <c r="V54" s="26">
        <f t="shared" ref="V54:V62" si="11">T54*(1-U54)</f>
        <v>6750</v>
      </c>
      <c r="W54" s="26">
        <f t="shared" ref="W54:W62" si="12">V54*S54*M54</f>
        <v>6750</v>
      </c>
    </row>
    <row r="55" spans="1:23" x14ac:dyDescent="0.3">
      <c r="A55" t="s">
        <v>326</v>
      </c>
      <c r="B55" t="s">
        <v>328</v>
      </c>
      <c r="C55" t="s">
        <v>349</v>
      </c>
      <c r="D55" t="s">
        <v>350</v>
      </c>
      <c r="E55" s="1" t="s">
        <v>25</v>
      </c>
      <c r="F55" s="1" t="s">
        <v>27</v>
      </c>
      <c r="G55" s="2186">
        <v>2</v>
      </c>
      <c r="H55" s="2186">
        <f>VLOOKUP(G55,Pesos!A:B,2,0)</f>
        <v>0.8</v>
      </c>
      <c r="I55" s="1" t="s">
        <v>308</v>
      </c>
      <c r="K55" s="1">
        <v>6</v>
      </c>
      <c r="L55" s="1">
        <v>12</v>
      </c>
      <c r="M55" s="1">
        <v>10</v>
      </c>
      <c r="N55" s="1" t="s">
        <v>24</v>
      </c>
      <c r="O55" s="1">
        <v>10</v>
      </c>
      <c r="S55" s="1">
        <v>1</v>
      </c>
      <c r="T55" s="5">
        <v>2900</v>
      </c>
      <c r="U55" s="24">
        <v>0.1</v>
      </c>
      <c r="V55" s="26">
        <f t="shared" si="11"/>
        <v>2610</v>
      </c>
      <c r="W55" s="26">
        <f t="shared" si="12"/>
        <v>26100</v>
      </c>
    </row>
    <row r="56" spans="1:23" x14ac:dyDescent="0.3">
      <c r="A56" t="s">
        <v>326</v>
      </c>
      <c r="B56" t="s">
        <v>328</v>
      </c>
      <c r="C56" t="s">
        <v>349</v>
      </c>
      <c r="D56" t="s">
        <v>350</v>
      </c>
      <c r="E56" s="1" t="s">
        <v>64</v>
      </c>
      <c r="F56" s="1" t="s">
        <v>21</v>
      </c>
      <c r="G56" s="2186">
        <v>1</v>
      </c>
      <c r="H56" s="2186">
        <f>VLOOKUP(G56,Pesos!A:B,2,0)</f>
        <v>0.9</v>
      </c>
      <c r="J56" s="1" t="s">
        <v>308</v>
      </c>
      <c r="K56" s="1">
        <v>2</v>
      </c>
      <c r="L56" s="1">
        <v>4</v>
      </c>
      <c r="M56" s="1">
        <v>1</v>
      </c>
      <c r="N56" s="1" t="s">
        <v>24</v>
      </c>
      <c r="O56" s="1">
        <v>1</v>
      </c>
      <c r="S56" s="1">
        <v>1</v>
      </c>
      <c r="T56" s="5">
        <v>17576</v>
      </c>
      <c r="U56" s="24">
        <v>0.55000000000000004</v>
      </c>
      <c r="V56" s="26">
        <f t="shared" si="11"/>
        <v>7909.1999999999989</v>
      </c>
      <c r="W56" s="26">
        <f t="shared" si="12"/>
        <v>7909.1999999999989</v>
      </c>
    </row>
    <row r="57" spans="1:23" x14ac:dyDescent="0.3">
      <c r="A57" t="s">
        <v>326</v>
      </c>
      <c r="B57" t="s">
        <v>328</v>
      </c>
      <c r="C57" t="s">
        <v>349</v>
      </c>
      <c r="D57" t="s">
        <v>350</v>
      </c>
      <c r="E57" s="1" t="s">
        <v>65</v>
      </c>
      <c r="F57" s="1" t="s">
        <v>26</v>
      </c>
      <c r="G57" s="2186">
        <v>3</v>
      </c>
      <c r="H57" s="2186">
        <f>VLOOKUP(G57,Pesos!A:B,2,0)</f>
        <v>0.7</v>
      </c>
      <c r="I57" s="1" t="s">
        <v>308</v>
      </c>
      <c r="K57" s="1">
        <v>1</v>
      </c>
      <c r="L57" s="1">
        <v>3</v>
      </c>
      <c r="M57" s="1">
        <v>1</v>
      </c>
      <c r="N57" s="1" t="s">
        <v>24</v>
      </c>
      <c r="O57" s="1">
        <v>1</v>
      </c>
      <c r="S57" s="1">
        <v>1</v>
      </c>
      <c r="T57" s="5">
        <v>5500</v>
      </c>
      <c r="U57" s="24">
        <v>0.15</v>
      </c>
      <c r="V57" s="26">
        <f t="shared" si="11"/>
        <v>4675</v>
      </c>
      <c r="W57" s="26">
        <f t="shared" si="12"/>
        <v>4675</v>
      </c>
    </row>
    <row r="58" spans="1:23" x14ac:dyDescent="0.3">
      <c r="A58" t="s">
        <v>326</v>
      </c>
      <c r="B58" t="s">
        <v>328</v>
      </c>
      <c r="C58" t="s">
        <v>349</v>
      </c>
      <c r="D58" t="s">
        <v>350</v>
      </c>
      <c r="E58" s="1" t="s">
        <v>66</v>
      </c>
      <c r="F58" s="1" t="s">
        <v>27</v>
      </c>
      <c r="G58" s="2186">
        <v>2</v>
      </c>
      <c r="H58" s="2186">
        <f>VLOOKUP(G58,Pesos!A:B,2,0)</f>
        <v>0.8</v>
      </c>
      <c r="I58" s="1" t="s">
        <v>308</v>
      </c>
      <c r="K58" s="1">
        <v>6</v>
      </c>
      <c r="L58" s="1">
        <v>12</v>
      </c>
      <c r="M58" s="1">
        <v>10</v>
      </c>
      <c r="N58" s="1" t="s">
        <v>24</v>
      </c>
      <c r="O58" s="1">
        <v>10</v>
      </c>
      <c r="S58" s="1">
        <v>1</v>
      </c>
      <c r="T58" s="5">
        <v>3222.65</v>
      </c>
      <c r="U58" s="24">
        <v>0.2</v>
      </c>
      <c r="V58" s="26">
        <f t="shared" si="11"/>
        <v>2578.1200000000003</v>
      </c>
      <c r="W58" s="26">
        <f t="shared" si="12"/>
        <v>25781.200000000004</v>
      </c>
    </row>
    <row r="59" spans="1:23" x14ac:dyDescent="0.3">
      <c r="A59" t="s">
        <v>326</v>
      </c>
      <c r="B59" t="s">
        <v>328</v>
      </c>
      <c r="C59" t="s">
        <v>349</v>
      </c>
      <c r="D59" t="s">
        <v>350</v>
      </c>
      <c r="E59" s="1" t="s">
        <v>31</v>
      </c>
      <c r="F59" s="1" t="s">
        <v>32</v>
      </c>
      <c r="G59" s="2186">
        <v>4</v>
      </c>
      <c r="H59" s="2186">
        <f>VLOOKUP(G59,Pesos!A:B,2,0)</f>
        <v>0.6</v>
      </c>
      <c r="I59" s="1" t="s">
        <v>308</v>
      </c>
      <c r="K59" s="1">
        <v>4</v>
      </c>
      <c r="L59" s="1">
        <v>15</v>
      </c>
      <c r="M59" s="1">
        <v>3</v>
      </c>
      <c r="N59" s="1" t="s">
        <v>33</v>
      </c>
      <c r="O59" s="1">
        <v>3</v>
      </c>
      <c r="Q59" s="1">
        <v>3</v>
      </c>
      <c r="S59" s="1">
        <v>2</v>
      </c>
      <c r="T59" s="5">
        <f>265*8</f>
        <v>2120</v>
      </c>
      <c r="U59" s="24">
        <v>0.4</v>
      </c>
      <c r="V59" s="26">
        <f t="shared" si="11"/>
        <v>1272</v>
      </c>
      <c r="W59" s="26">
        <f t="shared" si="12"/>
        <v>7632</v>
      </c>
    </row>
    <row r="60" spans="1:23" x14ac:dyDescent="0.3">
      <c r="A60" t="s">
        <v>326</v>
      </c>
      <c r="B60" t="s">
        <v>328</v>
      </c>
      <c r="C60" t="s">
        <v>349</v>
      </c>
      <c r="D60" t="s">
        <v>350</v>
      </c>
      <c r="E60" s="1" t="s">
        <v>35</v>
      </c>
      <c r="F60" s="1" t="s">
        <v>21</v>
      </c>
      <c r="G60" s="2186">
        <v>1</v>
      </c>
      <c r="H60" s="2186">
        <f>VLOOKUP(G60,Pesos!A:B,2,0)</f>
        <v>0.9</v>
      </c>
      <c r="J60" s="1" t="s">
        <v>308</v>
      </c>
      <c r="K60" s="1">
        <v>2</v>
      </c>
      <c r="L60" s="1">
        <v>4</v>
      </c>
      <c r="M60" s="1">
        <v>1</v>
      </c>
      <c r="N60" s="1" t="s">
        <v>24</v>
      </c>
      <c r="O60" s="1">
        <v>1</v>
      </c>
      <c r="S60" s="1">
        <v>1</v>
      </c>
      <c r="T60" s="9">
        <v>12150</v>
      </c>
      <c r="U60" s="29">
        <v>0.4</v>
      </c>
      <c r="V60" s="26">
        <f t="shared" si="11"/>
        <v>7290</v>
      </c>
      <c r="W60" s="26">
        <f t="shared" si="12"/>
        <v>7290</v>
      </c>
    </row>
    <row r="61" spans="1:23" x14ac:dyDescent="0.3">
      <c r="A61" t="s">
        <v>326</v>
      </c>
      <c r="B61" t="s">
        <v>328</v>
      </c>
      <c r="C61" t="s">
        <v>349</v>
      </c>
      <c r="D61" t="s">
        <v>350</v>
      </c>
      <c r="E61" s="1" t="s">
        <v>35</v>
      </c>
      <c r="F61" s="1" t="s">
        <v>26</v>
      </c>
      <c r="G61" s="2186">
        <v>3</v>
      </c>
      <c r="H61" s="2186">
        <f>VLOOKUP(G61,Pesos!A:B,2,0)</f>
        <v>0.7</v>
      </c>
      <c r="I61" s="1" t="s">
        <v>308</v>
      </c>
      <c r="K61" s="1">
        <v>1</v>
      </c>
      <c r="L61" s="1">
        <v>3</v>
      </c>
      <c r="M61" s="1">
        <v>1</v>
      </c>
      <c r="N61" s="1" t="s">
        <v>24</v>
      </c>
      <c r="O61" s="1">
        <v>1</v>
      </c>
      <c r="S61" s="1">
        <v>1</v>
      </c>
      <c r="T61" s="9">
        <v>15000</v>
      </c>
      <c r="U61" s="29">
        <v>0.49</v>
      </c>
      <c r="V61" s="26">
        <f t="shared" si="11"/>
        <v>7650</v>
      </c>
      <c r="W61" s="26">
        <f t="shared" si="12"/>
        <v>7650</v>
      </c>
    </row>
    <row r="62" spans="1:23" x14ac:dyDescent="0.3">
      <c r="A62" t="s">
        <v>326</v>
      </c>
      <c r="B62" t="s">
        <v>328</v>
      </c>
      <c r="C62" t="s">
        <v>349</v>
      </c>
      <c r="D62" t="s">
        <v>350</v>
      </c>
      <c r="E62" s="1" t="s">
        <v>67</v>
      </c>
      <c r="F62" s="1" t="s">
        <v>21</v>
      </c>
      <c r="G62" s="2186">
        <v>1</v>
      </c>
      <c r="H62" s="2186">
        <f>VLOOKUP(G62,Pesos!A:B,2,0)</f>
        <v>0.9</v>
      </c>
      <c r="J62" s="1" t="s">
        <v>308</v>
      </c>
      <c r="K62" s="1">
        <v>2</v>
      </c>
      <c r="L62" s="1">
        <v>4</v>
      </c>
      <c r="M62" s="1">
        <v>1</v>
      </c>
      <c r="N62" s="1" t="s">
        <v>24</v>
      </c>
      <c r="O62" s="1">
        <v>1</v>
      </c>
      <c r="S62" s="1">
        <v>1</v>
      </c>
      <c r="T62" s="9">
        <v>8980</v>
      </c>
      <c r="U62" s="29">
        <v>0.25</v>
      </c>
      <c r="V62" s="26">
        <f t="shared" si="11"/>
        <v>6735</v>
      </c>
      <c r="W62" s="26">
        <f t="shared" si="12"/>
        <v>6735</v>
      </c>
    </row>
    <row r="68" spans="1:8" x14ac:dyDescent="0.3">
      <c r="A68" s="47"/>
      <c r="E68" s="43" t="s">
        <v>1158</v>
      </c>
      <c r="F68" s="43" t="s">
        <v>1159</v>
      </c>
      <c r="G68" s="43" t="s">
        <v>1160</v>
      </c>
    </row>
    <row r="69" spans="1:8" x14ac:dyDescent="0.3">
      <c r="A69" s="47" t="s">
        <v>1161</v>
      </c>
      <c r="B69" s="2174"/>
      <c r="C69" s="2174"/>
      <c r="D69" s="2174"/>
      <c r="E69" s="2181">
        <f>F69*(1-10%)</f>
        <v>5770.2399100000011</v>
      </c>
      <c r="F69" s="427">
        <f>MANAUS!T54</f>
        <v>6411.3776777777784</v>
      </c>
      <c r="G69" s="427">
        <f>F69*(1+15%)</f>
        <v>7373.0843294444448</v>
      </c>
    </row>
    <row r="70" spans="1:8" x14ac:dyDescent="0.3">
      <c r="A70" s="47" t="s">
        <v>1162</v>
      </c>
      <c r="B70" s="2174"/>
      <c r="C70" s="2174"/>
      <c r="D70" s="2174"/>
      <c r="E70" s="2181">
        <f>F70*(1-25%)</f>
        <v>2576.608174107143</v>
      </c>
      <c r="F70" s="427">
        <f>MANAUS!T88</f>
        <v>3435.4775654761906</v>
      </c>
      <c r="G70" s="427">
        <f>F70*(1+5%)</f>
        <v>3607.2514437500004</v>
      </c>
    </row>
    <row r="71" spans="1:8" x14ac:dyDescent="0.3">
      <c r="A71" s="47" t="s">
        <v>550</v>
      </c>
      <c r="B71" s="2174"/>
      <c r="C71" s="2174"/>
      <c r="D71" s="2174"/>
      <c r="E71" s="2181">
        <f>F71*(1-15%)</f>
        <v>4182.0263594444441</v>
      </c>
      <c r="F71" s="427">
        <f>MANAUS!T128</f>
        <v>4920.0310111111112</v>
      </c>
      <c r="G71" s="427">
        <f>F71*(1+15%)</f>
        <v>5658.0356627777774</v>
      </c>
    </row>
    <row r="72" spans="1:8" x14ac:dyDescent="0.3">
      <c r="A72" s="47" t="s">
        <v>679</v>
      </c>
      <c r="B72" s="2174"/>
      <c r="C72" s="2174"/>
      <c r="D72" s="2174"/>
      <c r="E72" s="2181">
        <f>F72*(1-25%)</f>
        <v>2642.9451845238091</v>
      </c>
      <c r="F72" s="427">
        <f>MANAUS!T162</f>
        <v>3523.9269126984123</v>
      </c>
      <c r="G72" s="427">
        <f>F72*(1+5%)</f>
        <v>3700.1232583333331</v>
      </c>
    </row>
    <row r="73" spans="1:8" x14ac:dyDescent="0.3">
      <c r="A73" s="47" t="s">
        <v>568</v>
      </c>
      <c r="B73" s="2174"/>
      <c r="C73" s="2174"/>
      <c r="D73" s="2174"/>
      <c r="E73" s="2181">
        <f>F73*(1-25%)</f>
        <v>2735.3062499999996</v>
      </c>
      <c r="F73" s="427">
        <f>MANAUS!T198</f>
        <v>3647.0749999999998</v>
      </c>
      <c r="G73" s="427">
        <f>F73*(1+5%)</f>
        <v>3829.42875</v>
      </c>
    </row>
    <row r="74" spans="1:8" x14ac:dyDescent="0.3">
      <c r="A74" s="47"/>
      <c r="B74" s="47"/>
      <c r="C74" s="47"/>
      <c r="D74" s="47"/>
      <c r="E74" s="48"/>
    </row>
    <row r="75" spans="1:8" x14ac:dyDescent="0.3">
      <c r="A75" s="47"/>
      <c r="B75" s="46"/>
      <c r="C75" s="46"/>
      <c r="D75" s="46"/>
      <c r="E75" s="2314" t="s">
        <v>1163</v>
      </c>
      <c r="F75" s="2315"/>
      <c r="G75" s="2315"/>
      <c r="H75" s="2316"/>
    </row>
    <row r="76" spans="1:8" x14ac:dyDescent="0.3">
      <c r="A76" s="47" t="s">
        <v>1161</v>
      </c>
      <c r="B76" s="2175"/>
      <c r="C76" s="2175"/>
      <c r="D76" s="2175"/>
      <c r="E76" s="2175">
        <v>0.56000000000000005</v>
      </c>
      <c r="G76" s="304">
        <v>0.44</v>
      </c>
    </row>
    <row r="77" spans="1:8" x14ac:dyDescent="0.3">
      <c r="A77" s="47" t="s">
        <v>1162</v>
      </c>
      <c r="B77" s="2175"/>
      <c r="C77" s="2175"/>
      <c r="D77" s="2175"/>
      <c r="E77" s="2175">
        <v>0.57999999999999996</v>
      </c>
      <c r="F77" s="304">
        <v>0.06</v>
      </c>
      <c r="G77" s="304">
        <v>0.3</v>
      </c>
      <c r="H77" s="3">
        <v>0.06</v>
      </c>
    </row>
    <row r="78" spans="1:8" x14ac:dyDescent="0.3">
      <c r="A78" s="47" t="s">
        <v>550</v>
      </c>
      <c r="B78" s="2175"/>
      <c r="C78" s="2175"/>
      <c r="D78" s="2175"/>
      <c r="E78" s="2175">
        <v>0.56000000000000005</v>
      </c>
      <c r="F78" s="304"/>
      <c r="G78" s="3">
        <v>0.44</v>
      </c>
      <c r="H78" s="304"/>
    </row>
    <row r="79" spans="1:8" x14ac:dyDescent="0.3">
      <c r="A79" s="47" t="s">
        <v>679</v>
      </c>
      <c r="B79" s="2175"/>
      <c r="C79" s="2175"/>
      <c r="D79" s="2175"/>
      <c r="E79" s="2175">
        <v>0.59</v>
      </c>
      <c r="F79" s="304"/>
      <c r="G79" s="3">
        <v>0.41</v>
      </c>
      <c r="H79" s="304"/>
    </row>
    <row r="80" spans="1:8" x14ac:dyDescent="0.3">
      <c r="A80" s="47" t="s">
        <v>568</v>
      </c>
      <c r="B80" s="47"/>
      <c r="C80" s="47"/>
      <c r="D80" s="47"/>
      <c r="E80" s="2175">
        <v>0.59</v>
      </c>
      <c r="F80" s="3"/>
      <c r="G80" s="3">
        <v>0.41</v>
      </c>
    </row>
    <row r="81" spans="1:8" x14ac:dyDescent="0.3">
      <c r="A81" s="47"/>
      <c r="B81" s="47"/>
      <c r="C81" s="47"/>
      <c r="D81" s="47"/>
      <c r="E81" s="48"/>
    </row>
    <row r="82" spans="1:8" x14ac:dyDescent="0.3">
      <c r="A82" s="47"/>
      <c r="B82" s="47"/>
      <c r="C82" s="47"/>
      <c r="D82" s="47"/>
      <c r="E82" s="48"/>
    </row>
    <row r="83" spans="1:8" x14ac:dyDescent="0.3">
      <c r="A83" s="47"/>
      <c r="B83" s="47"/>
      <c r="C83" s="47"/>
      <c r="D83" s="47"/>
      <c r="E83" s="48"/>
    </row>
    <row r="84" spans="1:8" x14ac:dyDescent="0.3">
      <c r="A84" s="47"/>
      <c r="B84" s="46"/>
      <c r="C84" s="46"/>
      <c r="D84" s="46"/>
      <c r="E84" s="2314" t="s">
        <v>1164</v>
      </c>
      <c r="F84" s="2315"/>
      <c r="G84" s="2315"/>
      <c r="H84" s="2316"/>
    </row>
    <row r="85" spans="1:8" x14ac:dyDescent="0.3">
      <c r="A85" s="47" t="s">
        <v>1161</v>
      </c>
      <c r="B85" s="2175"/>
      <c r="C85" s="2175"/>
      <c r="D85" s="2175"/>
      <c r="E85" s="2175">
        <v>0.25</v>
      </c>
      <c r="F85" s="2175">
        <v>0.25</v>
      </c>
      <c r="G85" s="2175">
        <v>0.25</v>
      </c>
      <c r="H85" s="2175">
        <v>0.25</v>
      </c>
    </row>
    <row r="86" spans="1:8" x14ac:dyDescent="0.3">
      <c r="A86" s="47" t="s">
        <v>1162</v>
      </c>
      <c r="B86" s="6"/>
      <c r="C86" s="6"/>
      <c r="D86" s="6"/>
      <c r="E86" s="2175">
        <v>0.25</v>
      </c>
      <c r="F86" s="2175">
        <v>0.25</v>
      </c>
      <c r="G86" s="2175">
        <v>0.25</v>
      </c>
      <c r="H86" s="2175">
        <v>0.25</v>
      </c>
    </row>
    <row r="87" spans="1:8" x14ac:dyDescent="0.3">
      <c r="A87" s="47" t="s">
        <v>550</v>
      </c>
      <c r="B87" s="2175"/>
      <c r="C87" s="2175"/>
      <c r="D87" s="2175"/>
      <c r="E87" s="2175">
        <v>0.35</v>
      </c>
      <c r="F87" s="2175">
        <v>0.3</v>
      </c>
      <c r="G87" s="2175">
        <v>0.35</v>
      </c>
      <c r="H87" s="2175"/>
    </row>
    <row r="88" spans="1:8" x14ac:dyDescent="0.3">
      <c r="A88" s="47" t="s">
        <v>679</v>
      </c>
      <c r="B88" s="2175"/>
      <c r="C88" s="2175"/>
      <c r="D88" s="2175"/>
      <c r="E88" s="2175">
        <v>0.35</v>
      </c>
      <c r="F88" s="2175">
        <v>0.3</v>
      </c>
      <c r="G88" s="2175">
        <v>0.35</v>
      </c>
      <c r="H88" s="2175"/>
    </row>
    <row r="89" spans="1:8" x14ac:dyDescent="0.3">
      <c r="A89" s="47" t="s">
        <v>568</v>
      </c>
      <c r="B89" s="47"/>
      <c r="C89" s="47"/>
      <c r="D89" s="47"/>
      <c r="E89" s="2175">
        <v>0.35</v>
      </c>
      <c r="F89" s="3">
        <v>0.3</v>
      </c>
      <c r="G89" s="3">
        <v>0.35</v>
      </c>
      <c r="H89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76"/>
  <sheetViews>
    <sheetView workbookViewId="0"/>
  </sheetViews>
  <sheetFormatPr defaultRowHeight="14.4" x14ac:dyDescent="0.3"/>
  <sheetData>
    <row r="1" spans="1:9" ht="21" x14ac:dyDescent="0.4">
      <c r="A1" s="92" t="s">
        <v>1174</v>
      </c>
    </row>
    <row r="2" spans="1:9" x14ac:dyDescent="0.3">
      <c r="A2" t="s">
        <v>452</v>
      </c>
    </row>
    <row r="4" spans="1:9" x14ac:dyDescent="0.3">
      <c r="B4" s="95"/>
    </row>
    <row r="5" spans="1:9" x14ac:dyDescent="0.3">
      <c r="B5" s="95"/>
    </row>
    <row r="6" spans="1:9" x14ac:dyDescent="0.3">
      <c r="B6" s="96"/>
      <c r="C6" s="97"/>
      <c r="F6" s="98"/>
      <c r="G6" s="98"/>
      <c r="H6" s="98"/>
      <c r="I6" s="99"/>
    </row>
    <row r="7" spans="1:9" x14ac:dyDescent="0.3">
      <c r="A7" s="100" t="s">
        <v>1175</v>
      </c>
      <c r="B7" s="101">
        <v>262287.96999999997</v>
      </c>
      <c r="C7" s="102"/>
      <c r="F7" s="98"/>
      <c r="G7" s="98"/>
      <c r="H7" s="98"/>
      <c r="I7" s="99"/>
    </row>
    <row r="8" spans="1:9" x14ac:dyDescent="0.3">
      <c r="A8" s="100" t="s">
        <v>1176</v>
      </c>
      <c r="B8" s="101">
        <v>265487.96999999997</v>
      </c>
      <c r="C8" s="97"/>
      <c r="F8" s="98"/>
      <c r="G8" s="98"/>
      <c r="H8" s="98"/>
      <c r="I8" s="99"/>
    </row>
    <row r="9" spans="1:9" x14ac:dyDescent="0.3">
      <c r="C9" s="97"/>
      <c r="F9" s="98"/>
      <c r="G9" s="98"/>
      <c r="H9" s="98"/>
      <c r="I9" s="99"/>
    </row>
    <row r="10" spans="1:9" x14ac:dyDescent="0.3">
      <c r="A10" s="103" t="s">
        <v>1177</v>
      </c>
      <c r="B10" s="104">
        <v>1001300</v>
      </c>
      <c r="C10" s="105"/>
      <c r="F10" s="98"/>
      <c r="G10" s="98"/>
      <c r="H10" s="98"/>
      <c r="I10" s="99"/>
    </row>
    <row r="11" spans="1:9" x14ac:dyDescent="0.3">
      <c r="A11" s="100" t="s">
        <v>1178</v>
      </c>
      <c r="B11" s="101">
        <v>1001300</v>
      </c>
      <c r="C11" s="3"/>
      <c r="F11" s="98"/>
      <c r="G11" s="98"/>
      <c r="H11" s="98"/>
      <c r="I11" s="99"/>
    </row>
    <row r="12" spans="1:9" x14ac:dyDescent="0.3">
      <c r="D12" s="449"/>
      <c r="E12" s="450"/>
      <c r="F12" s="98"/>
      <c r="G12" s="98"/>
      <c r="H12" s="98"/>
      <c r="I12" s="99"/>
    </row>
    <row r="13" spans="1:9" x14ac:dyDescent="0.3">
      <c r="F13" s="98"/>
      <c r="G13" s="98"/>
      <c r="H13" s="98"/>
      <c r="I13" s="99"/>
    </row>
    <row r="14" spans="1:9" x14ac:dyDescent="0.3">
      <c r="A14" s="4" t="s">
        <v>457</v>
      </c>
      <c r="F14" s="98"/>
      <c r="G14" s="98"/>
      <c r="H14" s="98"/>
      <c r="I14" s="99"/>
    </row>
    <row r="15" spans="1:9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  <c r="F15" s="98"/>
      <c r="G15" s="98"/>
      <c r="H15" s="98"/>
      <c r="I15" s="99"/>
    </row>
    <row r="16" spans="1:9" x14ac:dyDescent="0.3">
      <c r="A16" s="107" t="s">
        <v>462</v>
      </c>
      <c r="B16" s="108" t="s">
        <v>463</v>
      </c>
      <c r="C16" s="109">
        <v>0.37</v>
      </c>
      <c r="D16" s="110">
        <f>B10*C16</f>
        <v>370481</v>
      </c>
      <c r="E16" s="110">
        <f>D16/3</f>
        <v>123493.66666666667</v>
      </c>
      <c r="F16" s="98"/>
      <c r="G16" s="98"/>
      <c r="H16" s="98"/>
      <c r="I16" s="99"/>
    </row>
    <row r="17" spans="1:34" x14ac:dyDescent="0.3">
      <c r="A17" s="107" t="s">
        <v>464</v>
      </c>
      <c r="B17" s="108" t="s">
        <v>465</v>
      </c>
      <c r="C17" s="109">
        <v>0.49</v>
      </c>
      <c r="D17" s="110">
        <f>B10*C17</f>
        <v>490637</v>
      </c>
      <c r="E17" s="110">
        <f>D17/5</f>
        <v>98127.4</v>
      </c>
      <c r="F17" s="98"/>
      <c r="G17" s="98"/>
      <c r="H17" s="98"/>
      <c r="I17" s="99"/>
    </row>
    <row r="18" spans="1:34" x14ac:dyDescent="0.3">
      <c r="A18" s="107" t="s">
        <v>466</v>
      </c>
      <c r="B18" s="108">
        <v>2</v>
      </c>
      <c r="C18" s="109">
        <v>0.14000000000000001</v>
      </c>
      <c r="D18" s="110">
        <f>B10*C18</f>
        <v>140182</v>
      </c>
      <c r="E18" s="110">
        <f>D18/2</f>
        <v>70091</v>
      </c>
      <c r="F18" s="98"/>
      <c r="G18" s="98"/>
      <c r="H18" s="98"/>
      <c r="I18" s="99"/>
    </row>
    <row r="19" spans="1:34" x14ac:dyDescent="0.3">
      <c r="B19" s="1" t="s">
        <v>577</v>
      </c>
      <c r="C19" s="3">
        <f>SUM(C16:C18)</f>
        <v>1</v>
      </c>
      <c r="D19" s="112">
        <f>SUM(D16:D18)</f>
        <v>1001300</v>
      </c>
      <c r="F19" s="98"/>
      <c r="G19" s="98"/>
      <c r="H19" s="98"/>
      <c r="I19" s="99"/>
    </row>
    <row r="20" spans="1:34" x14ac:dyDescent="0.3">
      <c r="F20" s="98"/>
      <c r="G20" s="98"/>
      <c r="H20" s="98"/>
      <c r="I20" s="99"/>
    </row>
    <row r="21" spans="1:34" x14ac:dyDescent="0.3">
      <c r="F21" s="98"/>
      <c r="G21" s="98"/>
      <c r="H21" s="98"/>
      <c r="I21" s="99"/>
    </row>
    <row r="22" spans="1:34" x14ac:dyDescent="0.3">
      <c r="A22" s="627" t="s">
        <v>646</v>
      </c>
      <c r="B22" s="628">
        <v>302692</v>
      </c>
      <c r="Q22" s="115"/>
      <c r="R22" s="115"/>
    </row>
    <row r="23" spans="1:34" x14ac:dyDescent="0.3">
      <c r="A23" s="100" t="s">
        <v>579</v>
      </c>
      <c r="B23" s="628">
        <v>152438</v>
      </c>
      <c r="E23" s="1" t="s">
        <v>470</v>
      </c>
      <c r="F23" s="2" t="s">
        <v>620</v>
      </c>
      <c r="H23" s="1" t="s">
        <v>472</v>
      </c>
      <c r="J23" s="2305">
        <v>0.26</v>
      </c>
      <c r="K23" s="98"/>
      <c r="L23" s="98"/>
    </row>
    <row r="24" spans="1:34" x14ac:dyDescent="0.3">
      <c r="E24" s="1" t="s">
        <v>473</v>
      </c>
      <c r="F24" s="2" t="s">
        <v>581</v>
      </c>
      <c r="H24" s="1" t="s">
        <v>473</v>
      </c>
      <c r="J24" s="1">
        <v>29</v>
      </c>
      <c r="K24" s="1"/>
      <c r="L24" s="1"/>
    </row>
    <row r="25" spans="1:34" x14ac:dyDescent="0.3">
      <c r="E25" s="1" t="s">
        <v>475</v>
      </c>
      <c r="F25" s="2" t="s">
        <v>647</v>
      </c>
      <c r="H25" s="1" t="s">
        <v>475</v>
      </c>
      <c r="J25" s="95">
        <v>665</v>
      </c>
      <c r="K25" s="95"/>
      <c r="L25" s="95"/>
      <c r="P25" s="115"/>
    </row>
    <row r="26" spans="1:34" x14ac:dyDescent="0.3">
      <c r="E26" s="1" t="s">
        <v>477</v>
      </c>
      <c r="F26" s="2" t="s">
        <v>648</v>
      </c>
      <c r="H26" s="1" t="s">
        <v>477</v>
      </c>
      <c r="J26" s="95">
        <v>1054739</v>
      </c>
      <c r="K26" s="95"/>
      <c r="L26" s="95"/>
      <c r="O26" s="98"/>
      <c r="T26" s="116"/>
    </row>
    <row r="27" spans="1:34" ht="18" x14ac:dyDescent="0.35">
      <c r="A27" s="118" t="s">
        <v>479</v>
      </c>
      <c r="O27" s="98"/>
      <c r="P27" s="117"/>
    </row>
    <row r="28" spans="1:34" x14ac:dyDescent="0.3">
      <c r="O28" s="119"/>
      <c r="S28" s="98"/>
    </row>
    <row r="29" spans="1:34" x14ac:dyDescent="0.3">
      <c r="A29" s="2335" t="s">
        <v>480</v>
      </c>
      <c r="B29" s="2336"/>
      <c r="C29" s="2336"/>
      <c r="D29" s="2336"/>
      <c r="E29" s="2336"/>
      <c r="F29" s="2336"/>
      <c r="G29" s="2336"/>
      <c r="H29" s="2336"/>
      <c r="I29" s="2336"/>
      <c r="J29" s="2336"/>
      <c r="K29" s="2336"/>
      <c r="L29" s="2336"/>
      <c r="M29" s="2336"/>
      <c r="N29" s="2336"/>
      <c r="O29" s="2336"/>
      <c r="P29" s="2336"/>
      <c r="Q29" s="2336"/>
      <c r="R29" s="2336"/>
      <c r="S29" s="2337"/>
      <c r="T29" s="2338" t="s">
        <v>584</v>
      </c>
      <c r="U29" s="2339"/>
      <c r="V29" s="2339"/>
      <c r="W29" s="2339"/>
      <c r="X29" s="2339"/>
      <c r="Y29" s="2339"/>
      <c r="Z29" s="2339"/>
      <c r="AA29" s="2339"/>
      <c r="AB29" s="2339"/>
      <c r="AC29" s="2339"/>
      <c r="AD29" s="2339"/>
      <c r="AE29" s="2339"/>
      <c r="AF29" s="2339"/>
      <c r="AG29" s="2339"/>
      <c r="AH29" s="2340"/>
    </row>
    <row r="30" spans="1:34" ht="15.6" x14ac:dyDescent="0.3">
      <c r="A30" s="2284" t="s">
        <v>482</v>
      </c>
      <c r="B30" s="2286" t="s">
        <v>483</v>
      </c>
      <c r="C30" s="2286" t="s">
        <v>484</v>
      </c>
      <c r="D30" s="2286" t="s">
        <v>485</v>
      </c>
      <c r="E30" s="2286" t="s">
        <v>486</v>
      </c>
      <c r="F30" s="2288" t="s">
        <v>487</v>
      </c>
      <c r="G30" s="2286" t="s">
        <v>488</v>
      </c>
      <c r="H30" s="2286" t="s">
        <v>489</v>
      </c>
      <c r="I30" s="2266" t="s">
        <v>490</v>
      </c>
      <c r="J30" s="2266"/>
      <c r="K30" s="2266"/>
      <c r="L30" s="2266"/>
      <c r="M30" s="265" t="s">
        <v>491</v>
      </c>
      <c r="N30" s="266" t="s">
        <v>492</v>
      </c>
      <c r="O30" s="267" t="s">
        <v>493</v>
      </c>
      <c r="P30" s="266" t="s">
        <v>492</v>
      </c>
      <c r="Q30" s="266" t="s">
        <v>494</v>
      </c>
      <c r="R30" s="491" t="s">
        <v>585</v>
      </c>
      <c r="S30" s="2267" t="s">
        <v>495</v>
      </c>
      <c r="T30" s="124" t="s">
        <v>496</v>
      </c>
      <c r="U30" s="2364" t="s">
        <v>497</v>
      </c>
      <c r="V30" s="2365"/>
      <c r="W30" s="2365"/>
      <c r="X30" s="2365"/>
      <c r="Y30" s="2366"/>
      <c r="Z30" s="2361" t="s">
        <v>498</v>
      </c>
      <c r="AA30" s="2363"/>
      <c r="AB30" s="2362"/>
      <c r="AC30" s="2362"/>
      <c r="AD30" s="2362"/>
      <c r="AE30" s="2362"/>
      <c r="AF30" s="2362"/>
      <c r="AG30" s="2362"/>
      <c r="AH30" s="2363"/>
    </row>
    <row r="31" spans="1:34" ht="15.6" x14ac:dyDescent="0.3">
      <c r="A31" s="2285"/>
      <c r="B31" s="2287"/>
      <c r="C31" s="2287"/>
      <c r="D31" s="2287"/>
      <c r="E31" s="2287"/>
      <c r="F31" s="2289"/>
      <c r="G31" s="2287"/>
      <c r="H31" s="2287"/>
      <c r="I31" s="269" t="s">
        <v>500</v>
      </c>
      <c r="J31" s="269" t="s">
        <v>501</v>
      </c>
      <c r="K31" s="269" t="s">
        <v>502</v>
      </c>
      <c r="L31" s="269" t="s">
        <v>503</v>
      </c>
      <c r="M31" s="270" t="s">
        <v>504</v>
      </c>
      <c r="N31" s="271" t="s">
        <v>505</v>
      </c>
      <c r="O31" s="272" t="s">
        <v>506</v>
      </c>
      <c r="P31" s="271" t="s">
        <v>507</v>
      </c>
      <c r="Q31" s="271" t="s">
        <v>507</v>
      </c>
      <c r="R31" s="558"/>
      <c r="S31" s="2268"/>
      <c r="T31" s="130" t="s">
        <v>508</v>
      </c>
      <c r="U31" s="2298"/>
      <c r="V31" s="2299"/>
      <c r="W31" s="2299"/>
      <c r="X31" s="2299"/>
      <c r="Y31" s="2300"/>
      <c r="Z31" s="2303"/>
      <c r="AA31" s="2304"/>
      <c r="AB31" s="2307"/>
      <c r="AC31" s="2307"/>
      <c r="AD31" s="2307"/>
      <c r="AE31" s="2307"/>
      <c r="AF31" s="2307"/>
      <c r="AG31" s="2307"/>
      <c r="AH31" s="2304"/>
    </row>
    <row r="32" spans="1:34" ht="18" x14ac:dyDescent="0.35">
      <c r="A32" s="2262" t="s">
        <v>509</v>
      </c>
      <c r="B32" s="2263"/>
      <c r="C32" s="2263"/>
      <c r="D32" s="2263"/>
      <c r="E32" s="2263"/>
      <c r="F32" s="2263"/>
      <c r="G32" s="2263"/>
      <c r="H32" s="2263"/>
      <c r="I32" s="2263"/>
      <c r="J32" s="2263"/>
      <c r="K32" s="2263"/>
      <c r="L32" s="2263"/>
      <c r="M32" s="2263"/>
      <c r="N32" s="2263"/>
      <c r="O32" s="2263"/>
      <c r="P32" s="2263"/>
      <c r="Q32" s="2263"/>
      <c r="R32" s="2263"/>
      <c r="S32" s="2264"/>
      <c r="T32" s="559"/>
      <c r="U32" s="596" t="s">
        <v>510</v>
      </c>
      <c r="V32" s="561" t="s">
        <v>11</v>
      </c>
      <c r="W32" s="561" t="s">
        <v>511</v>
      </c>
      <c r="X32" s="561" t="s">
        <v>512</v>
      </c>
      <c r="Y32" s="561" t="s">
        <v>513</v>
      </c>
      <c r="Z32" s="563" t="s">
        <v>514</v>
      </c>
      <c r="AA32" s="562" t="s">
        <v>515</v>
      </c>
      <c r="AB32" s="563" t="s">
        <v>69</v>
      </c>
      <c r="AC32" s="561" t="s">
        <v>70</v>
      </c>
      <c r="AD32" s="561" t="s">
        <v>19</v>
      </c>
      <c r="AE32" s="561" t="s">
        <v>71</v>
      </c>
      <c r="AF32" s="561" t="s">
        <v>72</v>
      </c>
      <c r="AG32" s="561" t="s">
        <v>5</v>
      </c>
      <c r="AH32" s="562"/>
    </row>
    <row r="33" spans="1:34" x14ac:dyDescent="0.3">
      <c r="A33" s="153"/>
      <c r="B33" s="462"/>
      <c r="C33" s="462"/>
      <c r="D33" s="462"/>
      <c r="E33" s="462"/>
      <c r="F33" s="463"/>
      <c r="G33" s="462"/>
      <c r="H33" s="462"/>
      <c r="I33" s="464"/>
      <c r="J33" s="465"/>
      <c r="K33" s="465"/>
      <c r="L33" s="466"/>
      <c r="M33" s="467"/>
      <c r="N33" s="468"/>
      <c r="O33" s="469"/>
      <c r="P33" s="468"/>
      <c r="Q33" s="468"/>
      <c r="R33" s="470"/>
      <c r="S33" s="471"/>
      <c r="T33" s="149"/>
      <c r="U33" s="7"/>
      <c r="Z33" s="280"/>
      <c r="AA33" s="152"/>
      <c r="AB33" s="280"/>
      <c r="AH33" s="152"/>
    </row>
    <row r="34" spans="1:34" x14ac:dyDescent="0.3">
      <c r="A34" s="156" t="s">
        <v>649</v>
      </c>
      <c r="B34" s="157" t="s">
        <v>73</v>
      </c>
      <c r="C34" s="157" t="s">
        <v>517</v>
      </c>
      <c r="D34" s="157" t="s">
        <v>21</v>
      </c>
      <c r="E34" s="157" t="s">
        <v>518</v>
      </c>
      <c r="F34" s="158" t="s">
        <v>541</v>
      </c>
      <c r="G34" s="157">
        <v>2</v>
      </c>
      <c r="H34" s="157" t="s">
        <v>24</v>
      </c>
      <c r="I34" s="159">
        <v>2</v>
      </c>
      <c r="J34" s="161"/>
      <c r="K34" s="161"/>
      <c r="L34" s="2209"/>
      <c r="M34" s="163">
        <v>1</v>
      </c>
      <c r="N34" s="164">
        <f>15*48*30</f>
        <v>21600</v>
      </c>
      <c r="O34" s="165">
        <v>0.25</v>
      </c>
      <c r="P34" s="166">
        <f>N34*(1-O34)</f>
        <v>16200</v>
      </c>
      <c r="Q34" s="166">
        <f t="shared" ref="Q34:Q38" si="0">P34*M34*G34</f>
        <v>32400</v>
      </c>
      <c r="R34" s="206" t="e">
        <f>(Q34+Q35+Q37+#REF!)/E11*1000</f>
        <v>#REF!</v>
      </c>
      <c r="S34" s="318">
        <f>Q34/$Q$43</f>
        <v>0.37791418198784027</v>
      </c>
      <c r="T34" s="168">
        <f t="shared" ref="T34:T36" si="1">Q34*2</f>
        <v>64800</v>
      </c>
      <c r="U34" s="7">
        <f t="shared" ref="U34:U38" si="2">T34</f>
        <v>64800</v>
      </c>
      <c r="V34" s="169"/>
      <c r="W34" s="169"/>
      <c r="X34" s="169"/>
      <c r="Y34" s="169"/>
      <c r="Z34" s="282"/>
      <c r="AA34" s="171">
        <f>T34</f>
        <v>64800</v>
      </c>
      <c r="AB34" s="282">
        <f>T34</f>
        <v>64800</v>
      </c>
      <c r="AH34" s="152"/>
    </row>
    <row r="35" spans="1:34" x14ac:dyDescent="0.3">
      <c r="A35" s="156" t="s">
        <v>649</v>
      </c>
      <c r="B35" s="157" t="s">
        <v>74</v>
      </c>
      <c r="C35" s="157" t="s">
        <v>517</v>
      </c>
      <c r="D35" s="157" t="s">
        <v>21</v>
      </c>
      <c r="E35" s="157" t="s">
        <v>518</v>
      </c>
      <c r="F35" s="158" t="s">
        <v>541</v>
      </c>
      <c r="G35" s="157">
        <v>3</v>
      </c>
      <c r="H35" s="157" t="s">
        <v>24</v>
      </c>
      <c r="I35" s="159">
        <v>3</v>
      </c>
      <c r="J35" s="161"/>
      <c r="K35" s="161"/>
      <c r="L35" s="2209"/>
      <c r="M35" s="163">
        <v>1</v>
      </c>
      <c r="N35" s="166">
        <f>3750*(1+45%)</f>
        <v>5437.5</v>
      </c>
      <c r="O35" s="173">
        <v>0.3</v>
      </c>
      <c r="P35" s="166">
        <f>N35*(1-O35)</f>
        <v>3806.2499999999995</v>
      </c>
      <c r="Q35" s="166">
        <f t="shared" si="0"/>
        <v>11418.749999999998</v>
      </c>
      <c r="R35" s="206" t="e">
        <f>(Q35+Q36+#REF!+#REF!)/E12*1000</f>
        <v>#REF!</v>
      </c>
      <c r="S35" s="318">
        <f>Q35/$Q$43</f>
        <v>0.13318850511029784</v>
      </c>
      <c r="T35" s="168">
        <f t="shared" si="1"/>
        <v>22837.499999999996</v>
      </c>
      <c r="U35" s="7">
        <f t="shared" si="2"/>
        <v>22837.499999999996</v>
      </c>
      <c r="V35" s="169"/>
      <c r="Z35" s="282"/>
      <c r="AA35" s="171">
        <f>T35</f>
        <v>22837.499999999996</v>
      </c>
      <c r="AB35" s="280"/>
      <c r="AC35" s="169">
        <f>T35</f>
        <v>22837.499999999996</v>
      </c>
      <c r="AH35" s="152"/>
    </row>
    <row r="36" spans="1:34" x14ac:dyDescent="0.3">
      <c r="A36" s="156" t="s">
        <v>649</v>
      </c>
      <c r="B36" s="157" t="s">
        <v>75</v>
      </c>
      <c r="C36" s="157" t="s">
        <v>517</v>
      </c>
      <c r="D36" s="157" t="s">
        <v>21</v>
      </c>
      <c r="E36" s="157" t="s">
        <v>518</v>
      </c>
      <c r="F36" s="158" t="s">
        <v>541</v>
      </c>
      <c r="G36" s="157">
        <v>2</v>
      </c>
      <c r="H36" s="157" t="s">
        <v>24</v>
      </c>
      <c r="I36" s="159">
        <v>2</v>
      </c>
      <c r="J36" s="161"/>
      <c r="K36" s="161"/>
      <c r="L36" s="2209"/>
      <c r="M36" s="163">
        <v>1</v>
      </c>
      <c r="N36" s="166">
        <f>(6600+7200)/2</f>
        <v>6900</v>
      </c>
      <c r="O36" s="173">
        <v>0.2</v>
      </c>
      <c r="P36" s="166">
        <f t="shared" ref="P36:P38" si="3">N36*(1-O36)</f>
        <v>5520</v>
      </c>
      <c r="Q36" s="166">
        <f t="shared" si="0"/>
        <v>11040</v>
      </c>
      <c r="R36" s="206"/>
      <c r="S36" s="318">
        <f>Q36/$Q$43</f>
        <v>0.1287707583069678</v>
      </c>
      <c r="T36" s="168">
        <f t="shared" si="1"/>
        <v>22080</v>
      </c>
      <c r="U36" s="7">
        <f t="shared" si="2"/>
        <v>22080</v>
      </c>
      <c r="V36" s="169"/>
      <c r="Z36" s="282"/>
      <c r="AA36" s="171">
        <f>T36</f>
        <v>22080</v>
      </c>
      <c r="AB36" s="280"/>
      <c r="AD36" s="169">
        <f>T36</f>
        <v>22080</v>
      </c>
      <c r="AH36" s="152"/>
    </row>
    <row r="37" spans="1:34" x14ac:dyDescent="0.3">
      <c r="A37" s="156" t="s">
        <v>649</v>
      </c>
      <c r="B37" s="157" t="s">
        <v>76</v>
      </c>
      <c r="C37" s="157" t="s">
        <v>517</v>
      </c>
      <c r="D37" s="157" t="s">
        <v>27</v>
      </c>
      <c r="E37" s="157" t="s">
        <v>520</v>
      </c>
      <c r="F37" s="158" t="s">
        <v>552</v>
      </c>
      <c r="G37" s="157">
        <v>15</v>
      </c>
      <c r="H37" s="157" t="s">
        <v>24</v>
      </c>
      <c r="I37" s="175">
        <v>15</v>
      </c>
      <c r="J37" s="176"/>
      <c r="K37" s="179"/>
      <c r="L37" s="180"/>
      <c r="M37" s="163">
        <v>1</v>
      </c>
      <c r="N37" s="166">
        <f>750*2</f>
        <v>1500</v>
      </c>
      <c r="O37" s="173">
        <v>0.4</v>
      </c>
      <c r="P37" s="166">
        <f t="shared" si="3"/>
        <v>900</v>
      </c>
      <c r="Q37" s="166">
        <f t="shared" si="0"/>
        <v>13500</v>
      </c>
      <c r="R37" s="206" t="e">
        <f>(Q37+#REF!)/E12*1000</f>
        <v>#REF!</v>
      </c>
      <c r="S37" s="320">
        <f>Q37/$Q$43</f>
        <v>0.15746424249493343</v>
      </c>
      <c r="T37" s="168">
        <f>Q37*2</f>
        <v>27000</v>
      </c>
      <c r="U37" s="7">
        <f t="shared" si="2"/>
        <v>27000</v>
      </c>
      <c r="W37" s="169"/>
      <c r="Z37" s="283">
        <f>T37</f>
        <v>27000</v>
      </c>
      <c r="AA37" s="171"/>
      <c r="AB37" s="282">
        <f>T37</f>
        <v>27000</v>
      </c>
      <c r="AH37" s="152"/>
    </row>
    <row r="38" spans="1:34" x14ac:dyDescent="0.3">
      <c r="A38" s="156" t="s">
        <v>649</v>
      </c>
      <c r="B38" s="157" t="s">
        <v>77</v>
      </c>
      <c r="C38" s="157" t="s">
        <v>517</v>
      </c>
      <c r="D38" s="157" t="s">
        <v>27</v>
      </c>
      <c r="E38" s="157" t="s">
        <v>520</v>
      </c>
      <c r="F38" s="158" t="s">
        <v>552</v>
      </c>
      <c r="G38" s="157">
        <v>15</v>
      </c>
      <c r="H38" s="157" t="s">
        <v>24</v>
      </c>
      <c r="I38" s="474"/>
      <c r="J38" s="1"/>
      <c r="K38" s="176">
        <v>15</v>
      </c>
      <c r="L38" s="177"/>
      <c r="M38" s="163">
        <v>1</v>
      </c>
      <c r="N38" s="166">
        <f>750*2</f>
        <v>1500</v>
      </c>
      <c r="O38" s="173">
        <v>0.45</v>
      </c>
      <c r="P38" s="166">
        <f t="shared" si="3"/>
        <v>825.00000000000011</v>
      </c>
      <c r="Q38" s="166">
        <f t="shared" si="0"/>
        <v>12375.000000000002</v>
      </c>
      <c r="R38" s="206" t="e">
        <f>(Q38+#REF!)/E14*1000</f>
        <v>#REF!</v>
      </c>
      <c r="S38" s="320">
        <f>Q38/$Q$43</f>
        <v>0.14434222228702234</v>
      </c>
      <c r="T38" s="168">
        <f>Q38*2</f>
        <v>24750.000000000004</v>
      </c>
      <c r="U38" s="7">
        <f t="shared" si="2"/>
        <v>24750.000000000004</v>
      </c>
      <c r="W38" s="169"/>
      <c r="Z38" s="283">
        <f>T38</f>
        <v>24750.000000000004</v>
      </c>
      <c r="AA38" s="171"/>
      <c r="AB38" s="280"/>
      <c r="AE38" s="169">
        <f>T38</f>
        <v>24750.000000000004</v>
      </c>
      <c r="AH38" s="152"/>
    </row>
    <row r="39" spans="1:34" x14ac:dyDescent="0.3">
      <c r="A39" s="156"/>
      <c r="B39" s="157"/>
      <c r="C39" s="157"/>
      <c r="D39" s="157"/>
      <c r="E39" s="157"/>
      <c r="F39" s="158"/>
      <c r="G39" s="157"/>
      <c r="H39" s="157"/>
      <c r="I39" s="474"/>
      <c r="J39" s="1"/>
      <c r="K39" s="1"/>
      <c r="L39" s="163"/>
      <c r="M39" s="163"/>
      <c r="N39" s="473"/>
      <c r="O39" s="165"/>
      <c r="P39" s="476"/>
      <c r="Q39" s="473"/>
      <c r="R39" s="9"/>
      <c r="S39" s="477"/>
      <c r="T39" s="478"/>
      <c r="U39" s="15"/>
      <c r="Z39" s="282"/>
      <c r="AA39" s="171"/>
      <c r="AB39" s="280"/>
      <c r="AH39" s="152"/>
    </row>
    <row r="40" spans="1:34" x14ac:dyDescent="0.3">
      <c r="A40" s="189" t="s">
        <v>649</v>
      </c>
      <c r="B40" s="190" t="s">
        <v>528</v>
      </c>
      <c r="C40" s="190"/>
      <c r="D40" s="190"/>
      <c r="E40" s="190"/>
      <c r="F40" s="191"/>
      <c r="G40" s="190"/>
      <c r="H40" s="190"/>
      <c r="I40" s="192"/>
      <c r="J40" s="193"/>
      <c r="K40" s="193"/>
      <c r="L40" s="193"/>
      <c r="M40" s="190"/>
      <c r="N40" s="194"/>
      <c r="O40" s="195"/>
      <c r="P40" s="186"/>
      <c r="Q40" s="166"/>
      <c r="R40" s="288"/>
      <c r="S40" s="323"/>
      <c r="T40" s="168">
        <f t="shared" ref="T40:T41" si="4">Q40*2</f>
        <v>0</v>
      </c>
      <c r="U40" s="7"/>
      <c r="X40" s="169">
        <f>T40</f>
        <v>0</v>
      </c>
      <c r="Z40" s="280"/>
      <c r="AA40" s="171"/>
      <c r="AB40" s="280"/>
      <c r="AH40" s="152"/>
    </row>
    <row r="41" spans="1:34" x14ac:dyDescent="0.3">
      <c r="A41" s="365" t="s">
        <v>649</v>
      </c>
      <c r="B41" s="108" t="s">
        <v>529</v>
      </c>
      <c r="C41" s="108"/>
      <c r="D41" s="108" t="s">
        <v>530</v>
      </c>
      <c r="E41" s="108"/>
      <c r="F41" s="479"/>
      <c r="G41" s="108"/>
      <c r="H41" s="108"/>
      <c r="I41" s="254"/>
      <c r="J41" s="254"/>
      <c r="K41" s="254"/>
      <c r="L41" s="254"/>
      <c r="M41" s="108"/>
      <c r="N41" s="257"/>
      <c r="O41" s="109"/>
      <c r="P41" s="290"/>
      <c r="Q41" s="257">
        <v>5000</v>
      </c>
      <c r="R41" s="480"/>
      <c r="S41" s="367">
        <f>Q41/Q43</f>
        <v>5.8320089812938312E-2</v>
      </c>
      <c r="T41" s="168">
        <f t="shared" si="4"/>
        <v>10000</v>
      </c>
      <c r="U41" s="7"/>
      <c r="Y41" s="169">
        <f>T41</f>
        <v>10000</v>
      </c>
      <c r="Z41" s="280"/>
      <c r="AA41" s="152"/>
      <c r="AB41" s="280"/>
      <c r="AH41" s="152"/>
    </row>
    <row r="42" spans="1:34" x14ac:dyDescent="0.3">
      <c r="A42" s="280"/>
      <c r="I42" s="115">
        <f>I43/M43</f>
        <v>0.59459459459459463</v>
      </c>
      <c r="J42" s="115"/>
      <c r="K42" s="115">
        <f>K43/M43</f>
        <v>0.40540540540540543</v>
      </c>
      <c r="N42" s="5"/>
      <c r="O42" s="6"/>
      <c r="P42" s="5"/>
      <c r="Q42" s="5"/>
      <c r="R42" s="5"/>
      <c r="S42" s="322"/>
      <c r="T42" s="325"/>
      <c r="U42" s="7"/>
      <c r="Z42" s="280"/>
      <c r="AA42" s="152"/>
      <c r="AB42" s="368"/>
      <c r="AC42" s="208"/>
      <c r="AD42" s="208"/>
      <c r="AE42" s="208"/>
      <c r="AF42" s="208"/>
      <c r="AG42" s="208"/>
      <c r="AH42" s="210"/>
    </row>
    <row r="43" spans="1:34" x14ac:dyDescent="0.3">
      <c r="A43" s="212" t="s">
        <v>531</v>
      </c>
      <c r="B43" s="213"/>
      <c r="C43" s="213"/>
      <c r="D43" s="213"/>
      <c r="E43" s="213"/>
      <c r="F43" s="214"/>
      <c r="G43" s="213"/>
      <c r="H43" s="213"/>
      <c r="I43" s="213">
        <f>I37+I36+I35+I34</f>
        <v>22</v>
      </c>
      <c r="J43" s="213"/>
      <c r="K43" s="213">
        <f>K38</f>
        <v>15</v>
      </c>
      <c r="L43" s="213"/>
      <c r="M43" s="213">
        <f>SUM(I43:L43)</f>
        <v>37</v>
      </c>
      <c r="N43" s="215"/>
      <c r="O43" s="216"/>
      <c r="P43" s="215"/>
      <c r="Q43" s="481">
        <f>SUM(Q34:Q42)</f>
        <v>85733.75</v>
      </c>
      <c r="R43" s="481"/>
      <c r="S43" s="218">
        <f>SUM(S34:S41)</f>
        <v>1</v>
      </c>
      <c r="T43" s="292">
        <f>SUM(T34:T42)</f>
        <v>171467.5</v>
      </c>
      <c r="U43" s="294">
        <f t="shared" ref="U43:AA43" si="5">SUM(U34:U41)</f>
        <v>161467.5</v>
      </c>
      <c r="V43" s="294">
        <f t="shared" si="5"/>
        <v>0</v>
      </c>
      <c r="W43" s="294">
        <f t="shared" si="5"/>
        <v>0</v>
      </c>
      <c r="X43" s="294">
        <f t="shared" si="5"/>
        <v>0</v>
      </c>
      <c r="Y43" s="294">
        <f t="shared" si="5"/>
        <v>10000</v>
      </c>
      <c r="Z43" s="296">
        <f t="shared" si="5"/>
        <v>51750</v>
      </c>
      <c r="AA43" s="295">
        <f t="shared" si="5"/>
        <v>109717.5</v>
      </c>
      <c r="AB43" s="616">
        <f>SUM(AB33:AB42)</f>
        <v>91800</v>
      </c>
      <c r="AC43" s="616">
        <f>SUM(AC33:AC42)</f>
        <v>22837.499999999996</v>
      </c>
      <c r="AD43" s="616">
        <f>SUM(AD33:AD42)</f>
        <v>22080</v>
      </c>
      <c r="AE43" s="616">
        <f>SUM(AE33:AE42)</f>
        <v>24750.000000000004</v>
      </c>
      <c r="AF43" s="616"/>
      <c r="AG43" s="616"/>
      <c r="AH43" s="227"/>
    </row>
    <row r="44" spans="1:34" x14ac:dyDescent="0.3">
      <c r="A44" s="228" t="s">
        <v>532</v>
      </c>
      <c r="B44" s="229"/>
      <c r="C44" s="229"/>
      <c r="D44" s="229"/>
      <c r="E44" s="229"/>
      <c r="F44" s="230"/>
      <c r="G44" s="229"/>
      <c r="H44" s="229"/>
      <c r="I44" s="229">
        <f>I37+I36+I35+I34</f>
        <v>22</v>
      </c>
      <c r="J44" s="229">
        <f>I37+I36+I35+I34</f>
        <v>22</v>
      </c>
      <c r="K44" s="229">
        <f>K38+I36+I35+I34</f>
        <v>22</v>
      </c>
      <c r="L44" s="229">
        <f>K38+I36+I35+I34</f>
        <v>22</v>
      </c>
      <c r="M44" s="229">
        <f>SUM(I44:L44)</f>
        <v>88</v>
      </c>
      <c r="N44" s="231"/>
      <c r="O44" s="232"/>
      <c r="P44" s="231"/>
      <c r="Q44" s="231"/>
      <c r="R44" s="231"/>
      <c r="S44" s="233"/>
      <c r="T44" s="234"/>
      <c r="U44" s="484">
        <f>U43/T43</f>
        <v>0.94167991018706165</v>
      </c>
      <c r="V44" s="236">
        <f>V43/T43</f>
        <v>0</v>
      </c>
      <c r="W44" s="236">
        <f>W43/T43</f>
        <v>0</v>
      </c>
      <c r="X44" s="236">
        <f>X43/T43</f>
        <v>0</v>
      </c>
      <c r="Y44" s="236">
        <f>Y43/T43</f>
        <v>5.8320089812938312E-2</v>
      </c>
      <c r="Z44" s="298">
        <f>Z43/T43</f>
        <v>0.30180646478195577</v>
      </c>
      <c r="AA44" s="297">
        <f>AA43/T43</f>
        <v>0.63987344540510593</v>
      </c>
      <c r="AB44" s="486"/>
      <c r="AC44" s="487"/>
      <c r="AD44" s="487"/>
      <c r="AE44" s="487"/>
      <c r="AF44" s="487"/>
      <c r="AG44" s="487"/>
      <c r="AH44" s="242"/>
    </row>
    <row r="45" spans="1:34" x14ac:dyDescent="0.3">
      <c r="A45" s="243" t="s">
        <v>533</v>
      </c>
      <c r="B45" s="193"/>
      <c r="C45" s="193"/>
      <c r="D45" s="193"/>
      <c r="E45" s="193"/>
      <c r="F45" s="244"/>
      <c r="G45" s="193"/>
      <c r="H45" s="193"/>
      <c r="I45" s="2187">
        <v>0.25</v>
      </c>
      <c r="J45" s="245"/>
      <c r="K45" s="245"/>
      <c r="L45" s="245"/>
      <c r="M45" s="193"/>
      <c r="N45" s="246"/>
      <c r="O45" s="196"/>
      <c r="P45" s="246"/>
      <c r="Q45" s="194">
        <f>U43/2</f>
        <v>80733.75</v>
      </c>
      <c r="R45" s="288"/>
      <c r="S45" s="247">
        <f>Q45/Q50</f>
        <v>0.94167991018706165</v>
      </c>
      <c r="Y45" s="248"/>
      <c r="Z45" s="357">
        <f>I37+K38</f>
        <v>30</v>
      </c>
      <c r="AA45" s="358">
        <f>I34+I35+I36</f>
        <v>7</v>
      </c>
    </row>
    <row r="46" spans="1:34" x14ac:dyDescent="0.3">
      <c r="A46" s="251" t="s">
        <v>11</v>
      </c>
      <c r="B46" s="252"/>
      <c r="C46" s="252"/>
      <c r="D46" s="252"/>
      <c r="E46" s="252"/>
      <c r="F46" s="253"/>
      <c r="G46" s="252"/>
      <c r="H46" s="252"/>
      <c r="I46" s="254"/>
      <c r="J46" s="254"/>
      <c r="K46" s="254"/>
      <c r="L46" s="254"/>
      <c r="M46" s="252"/>
      <c r="N46" s="255"/>
      <c r="O46" s="256"/>
      <c r="P46" s="255"/>
      <c r="Q46" s="257">
        <f>V43/2</f>
        <v>0</v>
      </c>
      <c r="R46" s="290"/>
      <c r="S46" s="256">
        <f>Q46/Q50</f>
        <v>0</v>
      </c>
      <c r="T46" s="574">
        <f>Q43/M43</f>
        <v>2317.1283783783783</v>
      </c>
      <c r="U46" s="489" t="s">
        <v>535</v>
      </c>
      <c r="Z46" s="195">
        <f>Z45/M43</f>
        <v>0.81081081081081086</v>
      </c>
      <c r="AA46" s="247">
        <f>AA45/M43</f>
        <v>0.1891891891891892</v>
      </c>
    </row>
    <row r="47" spans="1:34" x14ac:dyDescent="0.3">
      <c r="A47" s="251" t="s">
        <v>536</v>
      </c>
      <c r="B47" s="252"/>
      <c r="C47" s="252"/>
      <c r="D47" s="252"/>
      <c r="E47" s="252"/>
      <c r="F47" s="253"/>
      <c r="G47" s="252"/>
      <c r="H47" s="252"/>
      <c r="I47" s="254"/>
      <c r="J47" s="254"/>
      <c r="K47" s="254"/>
      <c r="L47" s="254"/>
      <c r="M47" s="252"/>
      <c r="N47" s="255"/>
      <c r="O47" s="256"/>
      <c r="P47" s="255"/>
      <c r="Q47" s="257">
        <f>W43/2</f>
        <v>0</v>
      </c>
      <c r="R47" s="290"/>
      <c r="S47" s="262">
        <f>Q47/Q50</f>
        <v>0</v>
      </c>
      <c r="V47" s="263"/>
      <c r="X47" s="99"/>
      <c r="Z47" s="2265" t="s">
        <v>537</v>
      </c>
      <c r="AA47" s="2265"/>
    </row>
    <row r="48" spans="1:34" x14ac:dyDescent="0.3">
      <c r="A48" s="251" t="s">
        <v>529</v>
      </c>
      <c r="B48" s="252"/>
      <c r="C48" s="252"/>
      <c r="D48" s="252"/>
      <c r="E48" s="252"/>
      <c r="F48" s="253"/>
      <c r="G48" s="252"/>
      <c r="H48" s="252"/>
      <c r="I48" s="254"/>
      <c r="J48" s="254"/>
      <c r="K48" s="254"/>
      <c r="L48" s="254"/>
      <c r="M48" s="252"/>
      <c r="N48" s="255"/>
      <c r="O48" s="256"/>
      <c r="P48" s="255"/>
      <c r="Q48" s="257">
        <f>Y43/2</f>
        <v>5000</v>
      </c>
      <c r="R48" s="290"/>
      <c r="S48" s="262">
        <f>Q48/Q50</f>
        <v>5.8320089812938312E-2</v>
      </c>
      <c r="V48" s="263"/>
    </row>
    <row r="49" spans="1:34" x14ac:dyDescent="0.3">
      <c r="A49" s="251" t="s">
        <v>528</v>
      </c>
      <c r="B49" s="252"/>
      <c r="C49" s="252"/>
      <c r="D49" s="252"/>
      <c r="E49" s="252"/>
      <c r="F49" s="253"/>
      <c r="G49" s="252"/>
      <c r="H49" s="252"/>
      <c r="I49" s="254"/>
      <c r="J49" s="254"/>
      <c r="K49" s="254"/>
      <c r="L49" s="254"/>
      <c r="M49" s="252"/>
      <c r="N49" s="255"/>
      <c r="O49" s="256"/>
      <c r="P49" s="255"/>
      <c r="Q49" s="257">
        <f>X43/2</f>
        <v>0</v>
      </c>
      <c r="R49" s="290"/>
      <c r="S49" s="262">
        <f>Q49/Q50</f>
        <v>0</v>
      </c>
    </row>
    <row r="50" spans="1:34" x14ac:dyDescent="0.3">
      <c r="A50" s="251"/>
      <c r="B50" s="252"/>
      <c r="C50" s="252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55"/>
      <c r="Q50" s="264">
        <f>SUM(Q45:Q49)</f>
        <v>85733.75</v>
      </c>
      <c r="R50" s="490"/>
      <c r="S50" s="262">
        <f>SUM(S45:S49)</f>
        <v>1</v>
      </c>
    </row>
    <row r="52" spans="1:34" ht="18" x14ac:dyDescent="0.35">
      <c r="A52" s="118" t="s">
        <v>538</v>
      </c>
      <c r="S52" s="98"/>
    </row>
    <row r="54" spans="1:34" x14ac:dyDescent="0.3">
      <c r="A54" s="2335" t="s">
        <v>480</v>
      </c>
      <c r="B54" s="2336"/>
      <c r="C54" s="2336"/>
      <c r="D54" s="2336"/>
      <c r="E54" s="2336"/>
      <c r="F54" s="2336"/>
      <c r="G54" s="2336"/>
      <c r="H54" s="2336"/>
      <c r="I54" s="2336"/>
      <c r="J54" s="2336"/>
      <c r="K54" s="2336"/>
      <c r="L54" s="2336"/>
      <c r="M54" s="2336"/>
      <c r="N54" s="2336"/>
      <c r="O54" s="2336"/>
      <c r="P54" s="2336"/>
      <c r="Q54" s="2336"/>
      <c r="R54" s="2336"/>
      <c r="S54" s="2337"/>
      <c r="T54" s="2338" t="s">
        <v>584</v>
      </c>
      <c r="U54" s="2339"/>
      <c r="V54" s="2339"/>
      <c r="W54" s="2339"/>
      <c r="X54" s="2339"/>
      <c r="Y54" s="2339"/>
      <c r="Z54" s="2339"/>
      <c r="AA54" s="2339"/>
      <c r="AB54" s="2339"/>
      <c r="AC54" s="2339"/>
      <c r="AD54" s="2339"/>
      <c r="AE54" s="2339"/>
      <c r="AF54" s="2339"/>
      <c r="AG54" s="2339"/>
      <c r="AH54" s="2340"/>
    </row>
    <row r="55" spans="1:34" ht="15.6" x14ac:dyDescent="0.3">
      <c r="A55" s="2284" t="s">
        <v>482</v>
      </c>
      <c r="B55" s="2286" t="s">
        <v>483</v>
      </c>
      <c r="C55" s="2286" t="s">
        <v>484</v>
      </c>
      <c r="D55" s="2286" t="s">
        <v>485</v>
      </c>
      <c r="E55" s="2286" t="s">
        <v>486</v>
      </c>
      <c r="F55" s="2288" t="s">
        <v>487</v>
      </c>
      <c r="G55" s="2286" t="s">
        <v>488</v>
      </c>
      <c r="H55" s="2286" t="s">
        <v>489</v>
      </c>
      <c r="I55" s="2266" t="s">
        <v>490</v>
      </c>
      <c r="J55" s="2266"/>
      <c r="K55" s="2266"/>
      <c r="L55" s="2266"/>
      <c r="M55" s="265" t="s">
        <v>491</v>
      </c>
      <c r="N55" s="266" t="s">
        <v>492</v>
      </c>
      <c r="O55" s="267" t="s">
        <v>493</v>
      </c>
      <c r="P55" s="266" t="s">
        <v>492</v>
      </c>
      <c r="Q55" s="266" t="s">
        <v>494</v>
      </c>
      <c r="R55" s="491" t="s">
        <v>585</v>
      </c>
      <c r="S55" s="2267" t="s">
        <v>495</v>
      </c>
      <c r="T55" s="124" t="s">
        <v>496</v>
      </c>
      <c r="U55" s="2364" t="s">
        <v>497</v>
      </c>
      <c r="V55" s="2365"/>
      <c r="W55" s="2365"/>
      <c r="X55" s="2365"/>
      <c r="Y55" s="2366"/>
      <c r="Z55" s="2361" t="s">
        <v>498</v>
      </c>
      <c r="AA55" s="2363"/>
      <c r="AB55" s="2362"/>
      <c r="AC55" s="2362"/>
      <c r="AD55" s="2362"/>
      <c r="AE55" s="2362"/>
      <c r="AF55" s="2362"/>
      <c r="AG55" s="2362"/>
      <c r="AH55" s="2363"/>
    </row>
    <row r="56" spans="1:34" ht="15.6" x14ac:dyDescent="0.3">
      <c r="A56" s="2285"/>
      <c r="B56" s="2287"/>
      <c r="C56" s="2287"/>
      <c r="D56" s="2287"/>
      <c r="E56" s="2287"/>
      <c r="F56" s="2289"/>
      <c r="G56" s="2287"/>
      <c r="H56" s="2287"/>
      <c r="I56" s="269" t="s">
        <v>500</v>
      </c>
      <c r="J56" s="269" t="s">
        <v>501</v>
      </c>
      <c r="K56" s="269" t="s">
        <v>502</v>
      </c>
      <c r="L56" s="269" t="s">
        <v>503</v>
      </c>
      <c r="M56" s="270" t="s">
        <v>504</v>
      </c>
      <c r="N56" s="271" t="s">
        <v>505</v>
      </c>
      <c r="O56" s="272" t="s">
        <v>506</v>
      </c>
      <c r="P56" s="271" t="s">
        <v>507</v>
      </c>
      <c r="Q56" s="271" t="s">
        <v>507</v>
      </c>
      <c r="R56" s="271"/>
      <c r="S56" s="2268"/>
      <c r="T56" s="130" t="s">
        <v>508</v>
      </c>
      <c r="U56" s="2298"/>
      <c r="V56" s="2299"/>
      <c r="W56" s="2299"/>
      <c r="X56" s="2299"/>
      <c r="Y56" s="2300"/>
      <c r="Z56" s="2303"/>
      <c r="AA56" s="2304"/>
      <c r="AB56" s="2307"/>
      <c r="AC56" s="2307"/>
      <c r="AD56" s="2307"/>
      <c r="AE56" s="2307"/>
      <c r="AF56" s="2307"/>
      <c r="AG56" s="2307"/>
      <c r="AH56" s="2304"/>
    </row>
    <row r="57" spans="1:34" ht="18" x14ac:dyDescent="0.35">
      <c r="A57" s="2262" t="s">
        <v>540</v>
      </c>
      <c r="B57" s="2263"/>
      <c r="C57" s="2263"/>
      <c r="D57" s="2263"/>
      <c r="E57" s="2263"/>
      <c r="F57" s="2263"/>
      <c r="G57" s="2263"/>
      <c r="H57" s="2263"/>
      <c r="I57" s="2263"/>
      <c r="J57" s="2263"/>
      <c r="K57" s="2263"/>
      <c r="L57" s="2263"/>
      <c r="M57" s="2263"/>
      <c r="N57" s="2263"/>
      <c r="O57" s="2263"/>
      <c r="P57" s="2263"/>
      <c r="Q57" s="2263"/>
      <c r="R57" s="2263"/>
      <c r="S57" s="2264"/>
      <c r="T57" s="559"/>
      <c r="U57" s="560" t="s">
        <v>510</v>
      </c>
      <c r="V57" s="561" t="s">
        <v>11</v>
      </c>
      <c r="W57" s="561" t="s">
        <v>511</v>
      </c>
      <c r="X57" s="561" t="s">
        <v>512</v>
      </c>
      <c r="Y57" s="562" t="s">
        <v>513</v>
      </c>
      <c r="Z57" s="563" t="s">
        <v>514</v>
      </c>
      <c r="AA57" s="562" t="s">
        <v>515</v>
      </c>
      <c r="AB57" s="563" t="s">
        <v>69</v>
      </c>
      <c r="AC57" s="561" t="s">
        <v>70</v>
      </c>
      <c r="AD57" s="561" t="s">
        <v>19</v>
      </c>
      <c r="AE57" s="561" t="s">
        <v>71</v>
      </c>
      <c r="AF57" s="561" t="s">
        <v>72</v>
      </c>
      <c r="AG57" s="561" t="s">
        <v>5</v>
      </c>
      <c r="AH57" s="562"/>
    </row>
    <row r="58" spans="1:34" x14ac:dyDescent="0.3">
      <c r="A58" s="153"/>
      <c r="B58" s="462"/>
      <c r="C58" s="462"/>
      <c r="D58" s="462"/>
      <c r="E58" s="462"/>
      <c r="F58" s="463"/>
      <c r="G58" s="462"/>
      <c r="H58" s="462"/>
      <c r="I58" s="465"/>
      <c r="J58" s="465"/>
      <c r="K58" s="465"/>
      <c r="L58" s="465"/>
      <c r="M58" s="462"/>
      <c r="N58" s="468"/>
      <c r="O58" s="469"/>
      <c r="P58" s="468"/>
      <c r="Q58" s="468"/>
      <c r="R58" s="470"/>
      <c r="S58" s="471"/>
      <c r="T58" s="149"/>
      <c r="U58" s="150"/>
      <c r="Y58" s="152"/>
      <c r="Z58" s="280"/>
      <c r="AA58" s="152"/>
      <c r="AB58" s="280"/>
      <c r="AH58" s="152"/>
    </row>
    <row r="59" spans="1:34" x14ac:dyDescent="0.3">
      <c r="A59" s="156" t="s">
        <v>649</v>
      </c>
      <c r="B59" s="157" t="s">
        <v>73</v>
      </c>
      <c r="C59" s="157" t="s">
        <v>517</v>
      </c>
      <c r="D59" s="157" t="s">
        <v>21</v>
      </c>
      <c r="E59" s="157" t="s">
        <v>518</v>
      </c>
      <c r="F59" s="158" t="s">
        <v>541</v>
      </c>
      <c r="G59" s="157">
        <v>1</v>
      </c>
      <c r="H59" s="157" t="s">
        <v>24</v>
      </c>
      <c r="I59" s="159">
        <v>1</v>
      </c>
      <c r="J59" s="161"/>
      <c r="K59" s="161"/>
      <c r="L59" s="2209"/>
      <c r="M59" s="163">
        <v>1</v>
      </c>
      <c r="N59" s="164">
        <f>15*48*30</f>
        <v>21600</v>
      </c>
      <c r="O59" s="165">
        <v>0.25</v>
      </c>
      <c r="P59" s="166">
        <f>N59*(1-O59)</f>
        <v>16200</v>
      </c>
      <c r="Q59" s="166">
        <f t="shared" ref="Q59:Q63" si="6">P59*M59*G59</f>
        <v>16200</v>
      </c>
      <c r="R59" s="206" t="e">
        <f>(Q59+Q60+Q62+#REF!)/E35*1000</f>
        <v>#REF!</v>
      </c>
      <c r="S59" s="318">
        <f>Q59/$Q$71</f>
        <v>0.2018352052925676</v>
      </c>
      <c r="T59" s="168">
        <f>Q59</f>
        <v>16200</v>
      </c>
      <c r="U59" s="150">
        <f t="shared" ref="U59:U64" si="7">T59</f>
        <v>16200</v>
      </c>
      <c r="V59" s="169"/>
      <c r="W59" s="169"/>
      <c r="X59" s="169"/>
      <c r="Y59" s="171"/>
      <c r="Z59" s="282"/>
      <c r="AA59" s="171">
        <f>T59</f>
        <v>16200</v>
      </c>
      <c r="AB59" s="282">
        <f>T59</f>
        <v>16200</v>
      </c>
      <c r="AH59" s="152"/>
    </row>
    <row r="60" spans="1:34" x14ac:dyDescent="0.3">
      <c r="A60" s="156" t="s">
        <v>649</v>
      </c>
      <c r="B60" s="157" t="s">
        <v>74</v>
      </c>
      <c r="C60" s="157" t="s">
        <v>517</v>
      </c>
      <c r="D60" s="157" t="s">
        <v>21</v>
      </c>
      <c r="E60" s="157" t="s">
        <v>518</v>
      </c>
      <c r="F60" s="158" t="s">
        <v>541</v>
      </c>
      <c r="G60" s="157">
        <v>2</v>
      </c>
      <c r="H60" s="157" t="s">
        <v>24</v>
      </c>
      <c r="I60" s="159">
        <v>2</v>
      </c>
      <c r="J60" s="161"/>
      <c r="K60" s="161"/>
      <c r="L60" s="2209"/>
      <c r="M60" s="163">
        <v>1</v>
      </c>
      <c r="N60" s="166">
        <f>3750*(1+45%)</f>
        <v>5437.5</v>
      </c>
      <c r="O60" s="173">
        <v>0.3</v>
      </c>
      <c r="P60" s="166">
        <f>N60*(1-O60)</f>
        <v>3806.2499999999995</v>
      </c>
      <c r="Q60" s="166">
        <f t="shared" si="6"/>
        <v>7612.4999999999991</v>
      </c>
      <c r="R60" s="206" t="e">
        <f>(Q60+Q61+#REF!+#REF!)/E36*1000</f>
        <v>#REF!</v>
      </c>
      <c r="S60" s="318">
        <f t="shared" ref="S60:S61" si="8">Q60/$Q$71</f>
        <v>9.4843858042572268E-2</v>
      </c>
      <c r="T60" s="168">
        <f t="shared" ref="T60:T65" si="9">Q60</f>
        <v>7612.4999999999991</v>
      </c>
      <c r="U60" s="150">
        <f t="shared" si="7"/>
        <v>7612.4999999999991</v>
      </c>
      <c r="V60" s="169"/>
      <c r="Y60" s="152"/>
      <c r="Z60" s="282"/>
      <c r="AA60" s="171">
        <f>T60</f>
        <v>7612.4999999999991</v>
      </c>
      <c r="AB60" s="280"/>
      <c r="AC60" s="169">
        <f>T60</f>
        <v>7612.4999999999991</v>
      </c>
      <c r="AH60" s="152"/>
    </row>
    <row r="61" spans="1:34" x14ac:dyDescent="0.3">
      <c r="A61" s="156" t="s">
        <v>649</v>
      </c>
      <c r="B61" s="157" t="s">
        <v>75</v>
      </c>
      <c r="C61" s="157" t="s">
        <v>517</v>
      </c>
      <c r="D61" s="157" t="s">
        <v>21</v>
      </c>
      <c r="E61" s="157" t="s">
        <v>518</v>
      </c>
      <c r="F61" s="158" t="s">
        <v>541</v>
      </c>
      <c r="G61" s="157">
        <v>2</v>
      </c>
      <c r="H61" s="157" t="s">
        <v>24</v>
      </c>
      <c r="I61" s="159">
        <v>2</v>
      </c>
      <c r="J61" s="161"/>
      <c r="K61" s="161"/>
      <c r="L61" s="2209"/>
      <c r="M61" s="163">
        <v>1</v>
      </c>
      <c r="N61" s="166">
        <f>(6600+7200)/2</f>
        <v>6900</v>
      </c>
      <c r="O61" s="173">
        <v>0.2</v>
      </c>
      <c r="P61" s="166">
        <f t="shared" ref="P61:P63" si="10">N61*(1-O61)</f>
        <v>5520</v>
      </c>
      <c r="Q61" s="166">
        <f t="shared" si="6"/>
        <v>11040</v>
      </c>
      <c r="R61" s="206"/>
      <c r="S61" s="318">
        <f t="shared" si="8"/>
        <v>0.13754695471789793</v>
      </c>
      <c r="T61" s="168">
        <f t="shared" si="9"/>
        <v>11040</v>
      </c>
      <c r="U61" s="150">
        <f t="shared" si="7"/>
        <v>11040</v>
      </c>
      <c r="V61" s="169"/>
      <c r="Y61" s="152"/>
      <c r="Z61" s="282"/>
      <c r="AA61" s="171">
        <f>T61</f>
        <v>11040</v>
      </c>
      <c r="AB61" s="280"/>
      <c r="AD61" s="169">
        <f>T61</f>
        <v>11040</v>
      </c>
      <c r="AH61" s="152"/>
    </row>
    <row r="62" spans="1:34" x14ac:dyDescent="0.3">
      <c r="A62" s="156" t="s">
        <v>649</v>
      </c>
      <c r="B62" s="157" t="s">
        <v>76</v>
      </c>
      <c r="C62" s="157" t="s">
        <v>517</v>
      </c>
      <c r="D62" s="157" t="s">
        <v>27</v>
      </c>
      <c r="E62" s="157" t="s">
        <v>520</v>
      </c>
      <c r="F62" s="158" t="s">
        <v>552</v>
      </c>
      <c r="G62" s="157">
        <v>15</v>
      </c>
      <c r="H62" s="157" t="s">
        <v>24</v>
      </c>
      <c r="I62" s="175">
        <v>15</v>
      </c>
      <c r="J62" s="176"/>
      <c r="K62" s="179"/>
      <c r="L62" s="180"/>
      <c r="M62" s="163">
        <v>1</v>
      </c>
      <c r="N62" s="166">
        <f>750*2</f>
        <v>1500</v>
      </c>
      <c r="O62" s="173">
        <v>0.4</v>
      </c>
      <c r="P62" s="166">
        <f t="shared" si="10"/>
        <v>900</v>
      </c>
      <c r="Q62" s="166">
        <f t="shared" si="6"/>
        <v>13500</v>
      </c>
      <c r="R62" s="206" t="e">
        <f>(Q62+#REF!)/E36*1000</f>
        <v>#REF!</v>
      </c>
      <c r="S62" s="320">
        <f>Q62/$Q$71</f>
        <v>0.168196004410473</v>
      </c>
      <c r="T62" s="168">
        <f t="shared" si="9"/>
        <v>13500</v>
      </c>
      <c r="U62" s="150">
        <f t="shared" si="7"/>
        <v>13500</v>
      </c>
      <c r="W62" s="169"/>
      <c r="Y62" s="152"/>
      <c r="Z62" s="283">
        <f>T62</f>
        <v>13500</v>
      </c>
      <c r="AA62" s="171"/>
      <c r="AB62" s="282">
        <f>T62</f>
        <v>13500</v>
      </c>
      <c r="AH62" s="152"/>
    </row>
    <row r="63" spans="1:34" x14ac:dyDescent="0.3">
      <c r="A63" s="156" t="s">
        <v>649</v>
      </c>
      <c r="B63" s="157" t="s">
        <v>77</v>
      </c>
      <c r="C63" s="157" t="s">
        <v>517</v>
      </c>
      <c r="D63" s="157" t="s">
        <v>27</v>
      </c>
      <c r="E63" s="157" t="s">
        <v>520</v>
      </c>
      <c r="F63" s="158" t="s">
        <v>552</v>
      </c>
      <c r="G63" s="157">
        <v>15</v>
      </c>
      <c r="H63" s="157" t="s">
        <v>24</v>
      </c>
      <c r="I63" s="474"/>
      <c r="J63" s="1"/>
      <c r="K63" s="176">
        <v>15</v>
      </c>
      <c r="L63" s="177"/>
      <c r="M63" s="163">
        <v>1</v>
      </c>
      <c r="N63" s="166">
        <f>750*2</f>
        <v>1500</v>
      </c>
      <c r="O63" s="173">
        <v>0.45</v>
      </c>
      <c r="P63" s="166">
        <f t="shared" si="10"/>
        <v>825.00000000000011</v>
      </c>
      <c r="Q63" s="166">
        <f t="shared" si="6"/>
        <v>12375.000000000002</v>
      </c>
      <c r="R63" s="206" t="e">
        <f>(Q63+#REF!)/E38*1000</f>
        <v>#REF!</v>
      </c>
      <c r="S63" s="320">
        <f>Q63/$Q$71</f>
        <v>0.15417967070960029</v>
      </c>
      <c r="T63" s="168">
        <f t="shared" si="9"/>
        <v>12375.000000000002</v>
      </c>
      <c r="U63" s="150">
        <f t="shared" si="7"/>
        <v>12375.000000000002</v>
      </c>
      <c r="W63" s="169"/>
      <c r="Y63" s="152"/>
      <c r="Z63" s="283">
        <f>T63</f>
        <v>12375.000000000002</v>
      </c>
      <c r="AA63" s="171"/>
      <c r="AB63" s="280"/>
      <c r="AE63" s="169">
        <f>T63</f>
        <v>12375.000000000002</v>
      </c>
      <c r="AH63" s="152"/>
    </row>
    <row r="64" spans="1:34" x14ac:dyDescent="0.3">
      <c r="A64" s="156" t="s">
        <v>649</v>
      </c>
      <c r="B64" s="157" t="s">
        <v>78</v>
      </c>
      <c r="C64" s="157"/>
      <c r="D64" s="157" t="s">
        <v>32</v>
      </c>
      <c r="E64" s="157" t="s">
        <v>650</v>
      </c>
      <c r="F64" s="158"/>
      <c r="G64" s="157">
        <v>4</v>
      </c>
      <c r="H64" s="157" t="s">
        <v>58</v>
      </c>
      <c r="I64" s="175">
        <v>4</v>
      </c>
      <c r="J64" s="1"/>
      <c r="K64" s="183">
        <v>4</v>
      </c>
      <c r="L64" s="163"/>
      <c r="M64" s="163">
        <v>2</v>
      </c>
      <c r="N64" s="473">
        <f>265*8</f>
        <v>2120</v>
      </c>
      <c r="O64" s="165">
        <v>0.4</v>
      </c>
      <c r="P64" s="476">
        <f>N64*(1-O64)</f>
        <v>1272</v>
      </c>
      <c r="Q64" s="473">
        <f>P64*G64*M64</f>
        <v>10176</v>
      </c>
      <c r="R64" s="9"/>
      <c r="S64" s="629">
        <f>Q64/$Q$71</f>
        <v>0.12678241043562766</v>
      </c>
      <c r="T64" s="168">
        <f t="shared" si="9"/>
        <v>10176</v>
      </c>
      <c r="U64" s="565">
        <f t="shared" si="7"/>
        <v>10176</v>
      </c>
      <c r="Y64" s="152"/>
      <c r="Z64" s="282"/>
      <c r="AA64" s="171"/>
      <c r="AB64" s="280"/>
      <c r="AF64" s="169">
        <f>T64</f>
        <v>10176</v>
      </c>
      <c r="AH64" s="152"/>
    </row>
    <row r="65" spans="1:34" x14ac:dyDescent="0.3">
      <c r="A65" s="156" t="s">
        <v>649</v>
      </c>
      <c r="B65" s="157" t="s">
        <v>41</v>
      </c>
      <c r="C65" s="157" t="s">
        <v>592</v>
      </c>
      <c r="D65" s="157" t="s">
        <v>79</v>
      </c>
      <c r="E65" s="157" t="s">
        <v>520</v>
      </c>
      <c r="F65" s="158" t="s">
        <v>519</v>
      </c>
      <c r="G65" s="157">
        <v>7</v>
      </c>
      <c r="H65" s="157" t="s">
        <v>24</v>
      </c>
      <c r="I65" s="182">
        <v>7</v>
      </c>
      <c r="J65" s="183"/>
      <c r="K65" s="183"/>
      <c r="L65" s="2239"/>
      <c r="M65" s="163">
        <v>1</v>
      </c>
      <c r="N65" s="473">
        <v>1600</v>
      </c>
      <c r="O65" s="165">
        <v>0.7</v>
      </c>
      <c r="P65" s="476">
        <f>N65*(1-O65)</f>
        <v>480.00000000000006</v>
      </c>
      <c r="Q65" s="473">
        <f>P65*G65*M65</f>
        <v>3360.0000000000005</v>
      </c>
      <c r="R65" s="9"/>
      <c r="S65" s="320">
        <f>Q65/$Q$71</f>
        <v>4.1862116653273287E-2</v>
      </c>
      <c r="T65" s="168">
        <f t="shared" si="9"/>
        <v>3360.0000000000005</v>
      </c>
      <c r="U65" s="565"/>
      <c r="W65" s="169">
        <f>T65</f>
        <v>3360.0000000000005</v>
      </c>
      <c r="Y65" s="152"/>
      <c r="Z65" s="283">
        <f>T65</f>
        <v>3360.0000000000005</v>
      </c>
      <c r="AA65" s="171"/>
      <c r="AB65" s="280"/>
      <c r="AG65" s="169">
        <f>T65</f>
        <v>3360.0000000000005</v>
      </c>
      <c r="AH65" s="152"/>
    </row>
    <row r="66" spans="1:34" x14ac:dyDescent="0.3">
      <c r="A66" s="156"/>
      <c r="B66" s="157"/>
      <c r="C66" s="157"/>
      <c r="D66" s="157"/>
      <c r="E66" s="157"/>
      <c r="F66" s="158"/>
      <c r="G66" s="157"/>
      <c r="H66" s="157"/>
      <c r="I66" s="474"/>
      <c r="J66" s="1"/>
      <c r="K66" s="1"/>
      <c r="L66" s="163"/>
      <c r="M66" s="163"/>
      <c r="N66" s="473"/>
      <c r="O66" s="165"/>
      <c r="P66" s="476"/>
      <c r="Q66" s="473"/>
      <c r="R66" s="9"/>
      <c r="S66" s="477"/>
      <c r="T66" s="478"/>
      <c r="U66" s="565"/>
      <c r="Y66" s="152"/>
      <c r="Z66" s="282"/>
      <c r="AA66" s="171"/>
      <c r="AB66" s="280"/>
      <c r="AH66" s="152"/>
    </row>
    <row r="67" spans="1:34" x14ac:dyDescent="0.3">
      <c r="A67" s="156"/>
      <c r="B67" s="157"/>
      <c r="C67" s="157"/>
      <c r="D67" s="157"/>
      <c r="E67" s="157"/>
      <c r="F67" s="158"/>
      <c r="G67" s="157"/>
      <c r="H67" s="157"/>
      <c r="I67" s="474"/>
      <c r="J67" s="1"/>
      <c r="K67" s="1"/>
      <c r="L67" s="163"/>
      <c r="M67" s="163"/>
      <c r="N67" s="473"/>
      <c r="O67" s="165"/>
      <c r="P67" s="476"/>
      <c r="Q67" s="473"/>
      <c r="R67" s="9"/>
      <c r="S67" s="477"/>
      <c r="T67" s="478"/>
      <c r="U67" s="565"/>
      <c r="Y67" s="152"/>
      <c r="Z67" s="282"/>
      <c r="AA67" s="171"/>
      <c r="AB67" s="280"/>
      <c r="AH67" s="152"/>
    </row>
    <row r="68" spans="1:34" x14ac:dyDescent="0.3">
      <c r="A68" s="189" t="s">
        <v>649</v>
      </c>
      <c r="B68" s="190" t="s">
        <v>528</v>
      </c>
      <c r="C68" s="190"/>
      <c r="D68" s="190"/>
      <c r="E68" s="190"/>
      <c r="F68" s="191"/>
      <c r="G68" s="190"/>
      <c r="H68" s="190"/>
      <c r="I68" s="192"/>
      <c r="J68" s="193"/>
      <c r="K68" s="193"/>
      <c r="L68" s="630"/>
      <c r="M68" s="630"/>
      <c r="N68" s="194"/>
      <c r="O68" s="195"/>
      <c r="P68" s="186"/>
      <c r="Q68" s="166"/>
      <c r="R68" s="288"/>
      <c r="S68" s="323"/>
      <c r="T68" s="168">
        <f>Q68</f>
        <v>0</v>
      </c>
      <c r="U68" s="150"/>
      <c r="X68" s="169">
        <f>T68</f>
        <v>0</v>
      </c>
      <c r="Y68" s="152"/>
      <c r="Z68" s="280"/>
      <c r="AA68" s="171"/>
      <c r="AB68" s="280"/>
      <c r="AH68" s="152"/>
    </row>
    <row r="69" spans="1:34" x14ac:dyDescent="0.3">
      <c r="A69" s="365" t="s">
        <v>649</v>
      </c>
      <c r="B69" s="108" t="s">
        <v>529</v>
      </c>
      <c r="C69" s="108"/>
      <c r="D69" s="108" t="s">
        <v>530</v>
      </c>
      <c r="E69" s="108"/>
      <c r="F69" s="479"/>
      <c r="G69" s="108"/>
      <c r="H69" s="108"/>
      <c r="I69" s="254"/>
      <c r="J69" s="254"/>
      <c r="K69" s="254"/>
      <c r="L69" s="254"/>
      <c r="M69" s="108"/>
      <c r="N69" s="257"/>
      <c r="O69" s="109"/>
      <c r="P69" s="290"/>
      <c r="Q69" s="257">
        <v>6000</v>
      </c>
      <c r="R69" s="480"/>
      <c r="S69" s="367">
        <f>Q69/Q71</f>
        <v>7.4753779737987996E-2</v>
      </c>
      <c r="T69" s="168">
        <f>Q69</f>
        <v>6000</v>
      </c>
      <c r="U69" s="150"/>
      <c r="Y69" s="171">
        <f>T69</f>
        <v>6000</v>
      </c>
      <c r="Z69" s="280"/>
      <c r="AA69" s="152"/>
      <c r="AB69" s="280"/>
      <c r="AH69" s="152"/>
    </row>
    <row r="70" spans="1:34" x14ac:dyDescent="0.3">
      <c r="A70" s="368"/>
      <c r="B70" s="369"/>
      <c r="C70" s="369"/>
      <c r="D70" s="369"/>
      <c r="E70" s="369"/>
      <c r="F70" s="370"/>
      <c r="G70" s="369"/>
      <c r="H70" s="369"/>
      <c r="I70" s="2184">
        <f>I71/M71</f>
        <v>0.62</v>
      </c>
      <c r="J70" s="2184"/>
      <c r="K70" s="2184">
        <f>K71/M71</f>
        <v>0.38</v>
      </c>
      <c r="L70" s="208"/>
      <c r="M70" s="369"/>
      <c r="N70" s="371"/>
      <c r="O70" s="372"/>
      <c r="P70" s="371"/>
      <c r="Q70" s="371"/>
      <c r="R70" s="371"/>
      <c r="S70" s="261"/>
      <c r="T70" s="149"/>
      <c r="U70" s="150"/>
      <c r="Y70" s="152"/>
      <c r="Z70" s="280"/>
      <c r="AA70" s="152"/>
      <c r="AB70" s="280"/>
      <c r="AH70" s="152"/>
    </row>
    <row r="71" spans="1:34" x14ac:dyDescent="0.3">
      <c r="A71" s="212" t="s">
        <v>531</v>
      </c>
      <c r="B71" s="213"/>
      <c r="C71" s="213"/>
      <c r="D71" s="213"/>
      <c r="E71" s="213"/>
      <c r="F71" s="214"/>
      <c r="G71" s="213"/>
      <c r="H71" s="213"/>
      <c r="I71" s="213">
        <f>I65+I64+I62+I61+I60+I59</f>
        <v>31</v>
      </c>
      <c r="J71" s="213"/>
      <c r="K71" s="213">
        <f>K64+K63</f>
        <v>19</v>
      </c>
      <c r="L71" s="213"/>
      <c r="M71" s="213">
        <f>SUM(I71:L71)</f>
        <v>50</v>
      </c>
      <c r="N71" s="215"/>
      <c r="O71" s="216"/>
      <c r="P71" s="215"/>
      <c r="Q71" s="481">
        <f>SUM(Q59:Q70)</f>
        <v>80263.5</v>
      </c>
      <c r="R71" s="481"/>
      <c r="S71" s="218">
        <f>SUM(S59:S69)</f>
        <v>1</v>
      </c>
      <c r="T71" s="292">
        <f>SUM(T59:T70)</f>
        <v>80263.5</v>
      </c>
      <c r="U71" s="293">
        <f t="shared" ref="U71:AA71" si="11">SUM(U59:U69)</f>
        <v>70903.5</v>
      </c>
      <c r="V71" s="294">
        <f t="shared" si="11"/>
        <v>0</v>
      </c>
      <c r="W71" s="294">
        <f t="shared" si="11"/>
        <v>3360.0000000000005</v>
      </c>
      <c r="X71" s="294">
        <f t="shared" si="11"/>
        <v>0</v>
      </c>
      <c r="Y71" s="295">
        <f t="shared" si="11"/>
        <v>6000</v>
      </c>
      <c r="Z71" s="296">
        <f t="shared" si="11"/>
        <v>29235</v>
      </c>
      <c r="AA71" s="295">
        <f t="shared" si="11"/>
        <v>34852.5</v>
      </c>
      <c r="AB71" s="293">
        <f>SUM(AB58:AB70)</f>
        <v>29700</v>
      </c>
      <c r="AC71" s="294">
        <f>SUM(AC58:AC70)</f>
        <v>7612.4999999999991</v>
      </c>
      <c r="AD71" s="294">
        <f t="shared" ref="AD71:AG71" si="12">SUM(AD58:AD70)</f>
        <v>11040</v>
      </c>
      <c r="AE71" s="294">
        <f t="shared" si="12"/>
        <v>12375.000000000002</v>
      </c>
      <c r="AF71" s="294">
        <f t="shared" si="12"/>
        <v>10176</v>
      </c>
      <c r="AG71" s="294">
        <f t="shared" si="12"/>
        <v>3360.0000000000005</v>
      </c>
      <c r="AH71" s="631"/>
    </row>
    <row r="72" spans="1:34" x14ac:dyDescent="0.3">
      <c r="A72" s="228" t="s">
        <v>532</v>
      </c>
      <c r="B72" s="229"/>
      <c r="C72" s="229"/>
      <c r="D72" s="229"/>
      <c r="E72" s="229"/>
      <c r="F72" s="230"/>
      <c r="G72" s="229"/>
      <c r="H72" s="229"/>
      <c r="I72" s="229">
        <f>I65+I64+I62+I61+I60+I59</f>
        <v>31</v>
      </c>
      <c r="J72" s="229">
        <f>I65+I62+I61+I60+I59</f>
        <v>27</v>
      </c>
      <c r="K72" s="229">
        <f>I65+K64+K63+I61+I60+I59</f>
        <v>31</v>
      </c>
      <c r="L72" s="229">
        <f>I65+K63+I61+I60+I59</f>
        <v>27</v>
      </c>
      <c r="M72" s="229">
        <f>SUM(I72:L72)</f>
        <v>116</v>
      </c>
      <c r="N72" s="231"/>
      <c r="O72" s="232"/>
      <c r="P72" s="231"/>
      <c r="Q72" s="231"/>
      <c r="R72" s="231"/>
      <c r="S72" s="233"/>
      <c r="T72" s="234"/>
      <c r="U72" s="580">
        <f>U71/T71</f>
        <v>0.88338410360873876</v>
      </c>
      <c r="V72" s="236">
        <f>V71/T71</f>
        <v>0</v>
      </c>
      <c r="W72" s="236">
        <f>W71/T71</f>
        <v>4.1862116653273287E-2</v>
      </c>
      <c r="X72" s="236">
        <f>X71/T71</f>
        <v>0</v>
      </c>
      <c r="Y72" s="297">
        <f>Y71/T71</f>
        <v>7.4753779737987996E-2</v>
      </c>
      <c r="Z72" s="298">
        <f>Z71/T71</f>
        <v>0.36423779177334653</v>
      </c>
      <c r="AA72" s="297">
        <f>AA71/T71</f>
        <v>0.43422601805303779</v>
      </c>
      <c r="AB72" s="573"/>
      <c r="AC72" s="487"/>
      <c r="AD72" s="487"/>
      <c r="AE72" s="487"/>
      <c r="AF72" s="487"/>
      <c r="AG72" s="487"/>
      <c r="AH72" s="242"/>
    </row>
    <row r="73" spans="1:34" x14ac:dyDescent="0.3">
      <c r="A73" s="243" t="s">
        <v>533</v>
      </c>
      <c r="B73" s="193"/>
      <c r="C73" s="193"/>
      <c r="D73" s="193"/>
      <c r="E73" s="193"/>
      <c r="F73" s="244"/>
      <c r="G73" s="193"/>
      <c r="H73" s="193"/>
      <c r="I73" s="2182">
        <f>I72/M72</f>
        <v>0.26724137931034481</v>
      </c>
      <c r="J73" s="2182">
        <f>J72/M72</f>
        <v>0.23275862068965517</v>
      </c>
      <c r="K73" s="245"/>
      <c r="L73" s="245"/>
      <c r="M73" s="193"/>
      <c r="N73" s="246"/>
      <c r="O73" s="196"/>
      <c r="P73" s="246"/>
      <c r="Q73" s="194">
        <f>U71</f>
        <v>70903.5</v>
      </c>
      <c r="R73" s="288"/>
      <c r="S73" s="247">
        <f>Q73/Q78</f>
        <v>0.88338410360873876</v>
      </c>
      <c r="Y73" s="248"/>
      <c r="Z73" s="357">
        <f>I62+K63+I65</f>
        <v>37</v>
      </c>
      <c r="AA73" s="358">
        <f>I59+I60+I61</f>
        <v>5</v>
      </c>
    </row>
    <row r="74" spans="1:34" x14ac:dyDescent="0.3">
      <c r="A74" s="251" t="s">
        <v>11</v>
      </c>
      <c r="B74" s="252"/>
      <c r="C74" s="252"/>
      <c r="D74" s="252"/>
      <c r="E74" s="252"/>
      <c r="F74" s="253"/>
      <c r="G74" s="252"/>
      <c r="H74" s="252"/>
      <c r="I74" s="254"/>
      <c r="J74" s="254"/>
      <c r="K74" s="254"/>
      <c r="L74" s="254"/>
      <c r="M74" s="252"/>
      <c r="N74" s="255"/>
      <c r="O74" s="256"/>
      <c r="P74" s="255"/>
      <c r="Q74" s="257">
        <f>V71</f>
        <v>0</v>
      </c>
      <c r="R74" s="290"/>
      <c r="S74" s="256">
        <f>Q74/Q78</f>
        <v>0</v>
      </c>
      <c r="T74" s="574">
        <f>Q71/M71</f>
        <v>1605.27</v>
      </c>
      <c r="U74" s="489" t="s">
        <v>535</v>
      </c>
      <c r="Z74" s="195">
        <f>Z73/M71</f>
        <v>0.74</v>
      </c>
      <c r="AA74" s="247">
        <f>AA73/M71</f>
        <v>0.1</v>
      </c>
    </row>
    <row r="75" spans="1:34" x14ac:dyDescent="0.3">
      <c r="A75" s="251" t="s">
        <v>536</v>
      </c>
      <c r="B75" s="252"/>
      <c r="C75" s="252"/>
      <c r="D75" s="252"/>
      <c r="E75" s="252"/>
      <c r="F75" s="253"/>
      <c r="G75" s="252"/>
      <c r="H75" s="252"/>
      <c r="I75" s="254"/>
      <c r="J75" s="254"/>
      <c r="K75" s="254"/>
      <c r="L75" s="254"/>
      <c r="M75" s="252"/>
      <c r="N75" s="255"/>
      <c r="O75" s="256"/>
      <c r="P75" s="255"/>
      <c r="Q75" s="257">
        <f>W71</f>
        <v>3360.0000000000005</v>
      </c>
      <c r="R75" s="290"/>
      <c r="S75" s="262">
        <f>Q75/Q78</f>
        <v>4.1862116653273287E-2</v>
      </c>
      <c r="V75" s="263"/>
      <c r="X75" s="99"/>
      <c r="Z75" s="2265" t="s">
        <v>537</v>
      </c>
      <c r="AA75" s="2265"/>
    </row>
    <row r="76" spans="1:34" x14ac:dyDescent="0.3">
      <c r="A76" s="251" t="s">
        <v>529</v>
      </c>
      <c r="B76" s="252"/>
      <c r="C76" s="252"/>
      <c r="D76" s="252"/>
      <c r="E76" s="252"/>
      <c r="F76" s="253"/>
      <c r="G76" s="252"/>
      <c r="H76" s="252"/>
      <c r="I76" s="254"/>
      <c r="J76" s="254"/>
      <c r="K76" s="254"/>
      <c r="L76" s="254"/>
      <c r="M76" s="252"/>
      <c r="N76" s="255"/>
      <c r="O76" s="256"/>
      <c r="P76" s="255"/>
      <c r="Q76" s="257">
        <f>Y71</f>
        <v>6000</v>
      </c>
      <c r="R76" s="290"/>
      <c r="S76" s="262">
        <f>Q76/Q78</f>
        <v>7.4753779737987996E-2</v>
      </c>
      <c r="V76" s="263"/>
    </row>
    <row r="77" spans="1:34" x14ac:dyDescent="0.3">
      <c r="A77" s="251" t="s">
        <v>528</v>
      </c>
      <c r="B77" s="252"/>
      <c r="C77" s="252"/>
      <c r="D77" s="252"/>
      <c r="E77" s="252"/>
      <c r="F77" s="253"/>
      <c r="G77" s="252"/>
      <c r="H77" s="252"/>
      <c r="I77" s="254"/>
      <c r="J77" s="254"/>
      <c r="K77" s="254"/>
      <c r="L77" s="254"/>
      <c r="M77" s="252"/>
      <c r="N77" s="255"/>
      <c r="O77" s="256"/>
      <c r="P77" s="255"/>
      <c r="Q77" s="257">
        <f>X71</f>
        <v>0</v>
      </c>
      <c r="R77" s="290"/>
      <c r="S77" s="262">
        <f>Q77/Q78</f>
        <v>0</v>
      </c>
    </row>
    <row r="78" spans="1:34" x14ac:dyDescent="0.3">
      <c r="A78" s="251"/>
      <c r="B78" s="252"/>
      <c r="C78" s="252"/>
      <c r="D78" s="252"/>
      <c r="E78" s="252"/>
      <c r="F78" s="253"/>
      <c r="G78" s="252"/>
      <c r="H78" s="252"/>
      <c r="I78" s="254"/>
      <c r="J78" s="254"/>
      <c r="K78" s="254"/>
      <c r="L78" s="254"/>
      <c r="M78" s="252"/>
      <c r="N78" s="255"/>
      <c r="O78" s="256"/>
      <c r="P78" s="255"/>
      <c r="Q78" s="264">
        <f>SUM(Q73:Q77)</f>
        <v>80263.5</v>
      </c>
      <c r="R78" s="490"/>
      <c r="S78" s="262">
        <f>SUM(S73:S77)</f>
        <v>1</v>
      </c>
    </row>
    <row r="79" spans="1:34" x14ac:dyDescent="0.3">
      <c r="B79" s="2"/>
    </row>
    <row r="81" spans="1:34" x14ac:dyDescent="0.3">
      <c r="B81" s="2"/>
    </row>
    <row r="82" spans="1:34" x14ac:dyDescent="0.3">
      <c r="B82" s="2"/>
      <c r="E82" s="1" t="s">
        <v>543</v>
      </c>
      <c r="F82" s="2" t="s">
        <v>651</v>
      </c>
      <c r="G82" s="1" t="s">
        <v>545</v>
      </c>
      <c r="H82" s="1"/>
      <c r="I82" s="304">
        <v>0.25</v>
      </c>
      <c r="J82" s="304"/>
    </row>
    <row r="83" spans="1:34" x14ac:dyDescent="0.3">
      <c r="B83" s="2"/>
      <c r="E83" s="1" t="s">
        <v>473</v>
      </c>
      <c r="F83" s="2" t="s">
        <v>80</v>
      </c>
      <c r="G83" s="1" t="s">
        <v>473</v>
      </c>
      <c r="H83" s="1"/>
      <c r="I83" s="1">
        <v>24</v>
      </c>
      <c r="J83" s="1"/>
    </row>
    <row r="84" spans="1:34" x14ac:dyDescent="0.3">
      <c r="B84" s="2"/>
      <c r="E84" s="1" t="s">
        <v>475</v>
      </c>
      <c r="F84" s="2" t="s">
        <v>652</v>
      </c>
      <c r="G84" s="1" t="s">
        <v>475</v>
      </c>
      <c r="H84" s="1"/>
      <c r="I84" s="95">
        <v>636</v>
      </c>
      <c r="J84" s="95"/>
    </row>
    <row r="85" spans="1:34" x14ac:dyDescent="0.3">
      <c r="B85" s="2"/>
      <c r="E85" s="1" t="s">
        <v>477</v>
      </c>
      <c r="F85" s="2" t="s">
        <v>653</v>
      </c>
      <c r="G85" s="1" t="s">
        <v>477</v>
      </c>
      <c r="H85" s="1"/>
      <c r="I85" s="95">
        <v>969324</v>
      </c>
      <c r="J85" s="95"/>
    </row>
    <row r="86" spans="1:34" x14ac:dyDescent="0.3">
      <c r="B86" s="2"/>
    </row>
    <row r="87" spans="1:34" ht="18" x14ac:dyDescent="0.35">
      <c r="A87" s="118" t="s">
        <v>549</v>
      </c>
      <c r="S87" s="98"/>
    </row>
    <row r="89" spans="1:34" x14ac:dyDescent="0.3">
      <c r="A89" s="2335" t="s">
        <v>480</v>
      </c>
      <c r="B89" s="2336"/>
      <c r="C89" s="2336"/>
      <c r="D89" s="2336"/>
      <c r="E89" s="2336"/>
      <c r="F89" s="2336"/>
      <c r="G89" s="2336"/>
      <c r="H89" s="2336"/>
      <c r="I89" s="2336"/>
      <c r="J89" s="2336"/>
      <c r="K89" s="2336"/>
      <c r="L89" s="2336"/>
      <c r="M89" s="2336"/>
      <c r="N89" s="2336"/>
      <c r="O89" s="2336"/>
      <c r="P89" s="2336"/>
      <c r="Q89" s="2336"/>
      <c r="R89" s="2336"/>
      <c r="S89" s="2337"/>
      <c r="T89" s="2338" t="s">
        <v>584</v>
      </c>
      <c r="U89" s="2339"/>
      <c r="V89" s="2339"/>
      <c r="W89" s="2339"/>
      <c r="X89" s="2339"/>
      <c r="Y89" s="2339"/>
      <c r="Z89" s="2339"/>
      <c r="AA89" s="2339"/>
      <c r="AB89" s="2339"/>
      <c r="AC89" s="2339"/>
      <c r="AD89" s="2339"/>
      <c r="AE89" s="2339"/>
      <c r="AF89" s="2339"/>
      <c r="AG89" s="2339"/>
      <c r="AH89" s="2340"/>
    </row>
    <row r="90" spans="1:34" ht="15.6" x14ac:dyDescent="0.3">
      <c r="A90" s="2256" t="s">
        <v>482</v>
      </c>
      <c r="B90" s="2258" t="s">
        <v>483</v>
      </c>
      <c r="C90" s="2258" t="s">
        <v>484</v>
      </c>
      <c r="D90" s="2258" t="s">
        <v>485</v>
      </c>
      <c r="E90" s="2258" t="s">
        <v>486</v>
      </c>
      <c r="F90" s="2260" t="s">
        <v>487</v>
      </c>
      <c r="G90" s="2258" t="s">
        <v>488</v>
      </c>
      <c r="H90" s="2258" t="s">
        <v>489</v>
      </c>
      <c r="I90" s="2240" t="s">
        <v>490</v>
      </c>
      <c r="J90" s="2240"/>
      <c r="K90" s="2240"/>
      <c r="L90" s="2240"/>
      <c r="M90" s="305" t="s">
        <v>491</v>
      </c>
      <c r="N90" s="306" t="s">
        <v>492</v>
      </c>
      <c r="O90" s="307" t="s">
        <v>493</v>
      </c>
      <c r="P90" s="306" t="s">
        <v>492</v>
      </c>
      <c r="Q90" s="306" t="s">
        <v>494</v>
      </c>
      <c r="R90" s="512" t="s">
        <v>585</v>
      </c>
      <c r="S90" s="2343" t="s">
        <v>495</v>
      </c>
      <c r="T90" s="513" t="s">
        <v>496</v>
      </c>
      <c r="U90" s="2345" t="s">
        <v>497</v>
      </c>
      <c r="V90" s="2346"/>
      <c r="W90" s="2346"/>
      <c r="X90" s="2346"/>
      <c r="Y90" s="2347"/>
      <c r="Z90" s="2351" t="s">
        <v>498</v>
      </c>
      <c r="AA90" s="2352"/>
      <c r="AB90" s="2355"/>
      <c r="AC90" s="2355"/>
      <c r="AD90" s="2355"/>
      <c r="AE90" s="2355"/>
      <c r="AF90" s="2355"/>
      <c r="AG90" s="2355"/>
      <c r="AH90" s="2352"/>
    </row>
    <row r="91" spans="1:34" ht="15.6" x14ac:dyDescent="0.3">
      <c r="A91" s="2257"/>
      <c r="B91" s="2259"/>
      <c r="C91" s="2259"/>
      <c r="D91" s="2259"/>
      <c r="E91" s="2259"/>
      <c r="F91" s="2261"/>
      <c r="G91" s="2259"/>
      <c r="H91" s="2259"/>
      <c r="I91" s="310" t="s">
        <v>500</v>
      </c>
      <c r="J91" s="310" t="s">
        <v>501</v>
      </c>
      <c r="K91" s="310" t="s">
        <v>502</v>
      </c>
      <c r="L91" s="310" t="s">
        <v>503</v>
      </c>
      <c r="M91" s="311" t="s">
        <v>504</v>
      </c>
      <c r="N91" s="312" t="s">
        <v>505</v>
      </c>
      <c r="O91" s="313" t="s">
        <v>506</v>
      </c>
      <c r="P91" s="312" t="s">
        <v>507</v>
      </c>
      <c r="Q91" s="312" t="s">
        <v>507</v>
      </c>
      <c r="R91" s="514"/>
      <c r="S91" s="2344"/>
      <c r="T91" s="515" t="s">
        <v>508</v>
      </c>
      <c r="U91" s="2348"/>
      <c r="V91" s="2349"/>
      <c r="W91" s="2349"/>
      <c r="X91" s="2349"/>
      <c r="Y91" s="2350"/>
      <c r="Z91" s="2353"/>
      <c r="AA91" s="2354"/>
      <c r="AB91" s="2356"/>
      <c r="AC91" s="2356"/>
      <c r="AD91" s="2356"/>
      <c r="AE91" s="2356"/>
      <c r="AF91" s="2356"/>
      <c r="AG91" s="2356"/>
      <c r="AH91" s="2354"/>
    </row>
    <row r="92" spans="1:34" ht="18" x14ac:dyDescent="0.35">
      <c r="A92" s="2262" t="s">
        <v>550</v>
      </c>
      <c r="B92" s="2263"/>
      <c r="C92" s="2263"/>
      <c r="D92" s="2263"/>
      <c r="E92" s="2263"/>
      <c r="F92" s="2263"/>
      <c r="G92" s="2263"/>
      <c r="H92" s="2263"/>
      <c r="I92" s="2263"/>
      <c r="J92" s="2263"/>
      <c r="K92" s="2263"/>
      <c r="L92" s="2263"/>
      <c r="M92" s="2263"/>
      <c r="N92" s="2263"/>
      <c r="O92" s="2263"/>
      <c r="P92" s="2263"/>
      <c r="Q92" s="2263"/>
      <c r="R92" s="2263"/>
      <c r="S92" s="2264"/>
      <c r="T92" s="559"/>
      <c r="U92" s="596" t="s">
        <v>510</v>
      </c>
      <c r="V92" s="561" t="s">
        <v>11</v>
      </c>
      <c r="W92" s="561" t="s">
        <v>511</v>
      </c>
      <c r="X92" s="561" t="s">
        <v>512</v>
      </c>
      <c r="Y92" s="561" t="s">
        <v>513</v>
      </c>
      <c r="Z92" s="563" t="s">
        <v>514</v>
      </c>
      <c r="AA92" s="562" t="s">
        <v>515</v>
      </c>
      <c r="AB92" s="563" t="s">
        <v>69</v>
      </c>
      <c r="AC92" s="561" t="s">
        <v>70</v>
      </c>
      <c r="AD92" s="561" t="s">
        <v>19</v>
      </c>
      <c r="AE92" s="561" t="s">
        <v>71</v>
      </c>
      <c r="AF92" s="561" t="s">
        <v>72</v>
      </c>
      <c r="AG92" s="561" t="s">
        <v>5</v>
      </c>
      <c r="AH92" s="562"/>
    </row>
    <row r="93" spans="1:34" x14ac:dyDescent="0.3">
      <c r="A93" s="153"/>
      <c r="B93" s="462"/>
      <c r="C93" s="462"/>
      <c r="D93" s="462"/>
      <c r="E93" s="462"/>
      <c r="F93" s="463"/>
      <c r="G93" s="462"/>
      <c r="H93" s="462"/>
      <c r="I93" s="464"/>
      <c r="J93" s="465"/>
      <c r="K93" s="465"/>
      <c r="L93" s="466"/>
      <c r="M93" s="467"/>
      <c r="N93" s="468"/>
      <c r="O93" s="469"/>
      <c r="P93" s="468"/>
      <c r="Q93" s="468"/>
      <c r="R93" s="470"/>
      <c r="S93" s="471"/>
      <c r="T93" s="149"/>
      <c r="U93" s="7"/>
      <c r="Z93" s="280"/>
      <c r="AA93" s="152"/>
      <c r="AB93" s="280"/>
      <c r="AH93" s="152"/>
    </row>
    <row r="94" spans="1:34" x14ac:dyDescent="0.3">
      <c r="A94" s="156" t="s">
        <v>649</v>
      </c>
      <c r="B94" s="157" t="s">
        <v>73</v>
      </c>
      <c r="C94" s="157" t="s">
        <v>517</v>
      </c>
      <c r="D94" s="157" t="s">
        <v>21</v>
      </c>
      <c r="E94" s="157" t="s">
        <v>518</v>
      </c>
      <c r="F94" s="158" t="s">
        <v>654</v>
      </c>
      <c r="G94" s="157">
        <v>1</v>
      </c>
      <c r="H94" s="157" t="s">
        <v>24</v>
      </c>
      <c r="I94" s="159">
        <v>1</v>
      </c>
      <c r="J94" s="161"/>
      <c r="K94" s="161"/>
      <c r="L94" s="2209"/>
      <c r="M94" s="163">
        <v>1</v>
      </c>
      <c r="N94" s="164">
        <f>15*48*30</f>
        <v>21600</v>
      </c>
      <c r="O94" s="165">
        <v>0.25</v>
      </c>
      <c r="P94" s="166">
        <f>N94*(1-O94)</f>
        <v>16200</v>
      </c>
      <c r="Q94" s="166">
        <f t="shared" ref="Q94:Q98" si="13">P94*M94*G94</f>
        <v>16200</v>
      </c>
      <c r="R94" s="206" t="e">
        <f>(Q94+Q95+Q97+#REF!)/E73*1000</f>
        <v>#REF!</v>
      </c>
      <c r="S94" s="318">
        <f>Q94/$Q$103</f>
        <v>0.29591067881361738</v>
      </c>
      <c r="T94" s="168">
        <f>Q94*4</f>
        <v>64800</v>
      </c>
      <c r="U94" s="7">
        <f t="shared" ref="U94:U98" si="14">T94</f>
        <v>64800</v>
      </c>
      <c r="V94" s="169"/>
      <c r="W94" s="169"/>
      <c r="X94" s="169"/>
      <c r="Y94" s="169"/>
      <c r="Z94" s="282"/>
      <c r="AA94" s="171">
        <f>T94</f>
        <v>64800</v>
      </c>
      <c r="AB94" s="282">
        <f>T94</f>
        <v>64800</v>
      </c>
      <c r="AH94" s="152"/>
    </row>
    <row r="95" spans="1:34" x14ac:dyDescent="0.3">
      <c r="A95" s="156" t="s">
        <v>649</v>
      </c>
      <c r="B95" s="157" t="s">
        <v>74</v>
      </c>
      <c r="C95" s="157" t="s">
        <v>517</v>
      </c>
      <c r="D95" s="157" t="s">
        <v>21</v>
      </c>
      <c r="E95" s="157" t="s">
        <v>518</v>
      </c>
      <c r="F95" s="158" t="s">
        <v>654</v>
      </c>
      <c r="G95" s="157">
        <v>1</v>
      </c>
      <c r="H95" s="157" t="s">
        <v>24</v>
      </c>
      <c r="I95" s="159">
        <v>1</v>
      </c>
      <c r="J95" s="161"/>
      <c r="K95" s="161"/>
      <c r="L95" s="2209"/>
      <c r="M95" s="163">
        <v>1</v>
      </c>
      <c r="N95" s="166">
        <f>3750*(1+45%)</f>
        <v>5437.5</v>
      </c>
      <c r="O95" s="173">
        <v>0.3</v>
      </c>
      <c r="P95" s="166">
        <f>N95*(1-O95)</f>
        <v>3806.2499999999995</v>
      </c>
      <c r="Q95" s="166">
        <f t="shared" si="13"/>
        <v>3806.2499999999995</v>
      </c>
      <c r="R95" s="206" t="e">
        <f>(Q95+Q96+#REF!+#REF!)/E74*1000</f>
        <v>#REF!</v>
      </c>
      <c r="S95" s="318">
        <f t="shared" ref="S95:S96" si="15">Q95/$Q$103</f>
        <v>6.952530995273648E-2</v>
      </c>
      <c r="T95" s="168">
        <f t="shared" ref="T95:T98" si="16">Q95*4</f>
        <v>15224.999999999998</v>
      </c>
      <c r="U95" s="7">
        <f t="shared" si="14"/>
        <v>15224.999999999998</v>
      </c>
      <c r="V95" s="169"/>
      <c r="Z95" s="282"/>
      <c r="AA95" s="171">
        <f>T95</f>
        <v>15224.999999999998</v>
      </c>
      <c r="AB95" s="280"/>
      <c r="AC95" s="169">
        <f>T95</f>
        <v>15224.999999999998</v>
      </c>
      <c r="AH95" s="152"/>
    </row>
    <row r="96" spans="1:34" x14ac:dyDescent="0.3">
      <c r="A96" s="156" t="s">
        <v>649</v>
      </c>
      <c r="B96" s="157" t="s">
        <v>75</v>
      </c>
      <c r="C96" s="157" t="s">
        <v>517</v>
      </c>
      <c r="D96" s="157" t="s">
        <v>21</v>
      </c>
      <c r="E96" s="157" t="s">
        <v>518</v>
      </c>
      <c r="F96" s="158" t="s">
        <v>654</v>
      </c>
      <c r="G96" s="157">
        <v>2</v>
      </c>
      <c r="H96" s="157" t="s">
        <v>24</v>
      </c>
      <c r="I96" s="159">
        <v>2</v>
      </c>
      <c r="J96" s="161"/>
      <c r="K96" s="161"/>
      <c r="L96" s="2209"/>
      <c r="M96" s="163">
        <v>1</v>
      </c>
      <c r="N96" s="166">
        <f>(6600+7200)/2</f>
        <v>6900</v>
      </c>
      <c r="O96" s="173">
        <v>0.2</v>
      </c>
      <c r="P96" s="166">
        <f t="shared" ref="P96:P98" si="17">N96*(1-O96)</f>
        <v>5520</v>
      </c>
      <c r="Q96" s="166">
        <f t="shared" si="13"/>
        <v>11040</v>
      </c>
      <c r="R96" s="206"/>
      <c r="S96" s="318">
        <f t="shared" si="15"/>
        <v>0.20165764778409481</v>
      </c>
      <c r="T96" s="168">
        <f t="shared" si="16"/>
        <v>44160</v>
      </c>
      <c r="U96" s="7">
        <f t="shared" si="14"/>
        <v>44160</v>
      </c>
      <c r="V96" s="169"/>
      <c r="Z96" s="282"/>
      <c r="AA96" s="171">
        <f>T96</f>
        <v>44160</v>
      </c>
      <c r="AB96" s="280"/>
      <c r="AD96" s="169">
        <f>T96</f>
        <v>44160</v>
      </c>
      <c r="AH96" s="152"/>
    </row>
    <row r="97" spans="1:34" x14ac:dyDescent="0.3">
      <c r="A97" s="156" t="s">
        <v>649</v>
      </c>
      <c r="B97" s="157" t="s">
        <v>76</v>
      </c>
      <c r="C97" s="157" t="s">
        <v>517</v>
      </c>
      <c r="D97" s="157" t="s">
        <v>27</v>
      </c>
      <c r="E97" s="157" t="s">
        <v>520</v>
      </c>
      <c r="F97" s="158" t="s">
        <v>655</v>
      </c>
      <c r="G97" s="157">
        <v>12</v>
      </c>
      <c r="H97" s="157" t="s">
        <v>24</v>
      </c>
      <c r="I97" s="175">
        <v>12</v>
      </c>
      <c r="J97" s="176"/>
      <c r="K97" s="179"/>
      <c r="L97" s="180"/>
      <c r="M97" s="163">
        <v>1</v>
      </c>
      <c r="N97" s="166">
        <f>750*2</f>
        <v>1500</v>
      </c>
      <c r="O97" s="173">
        <v>0.4</v>
      </c>
      <c r="P97" s="166">
        <f t="shared" si="17"/>
        <v>900</v>
      </c>
      <c r="Q97" s="166">
        <f t="shared" si="13"/>
        <v>10800</v>
      </c>
      <c r="R97" s="206" t="e">
        <f>(Q97+#REF!)/E74*1000</f>
        <v>#REF!</v>
      </c>
      <c r="S97" s="320">
        <f>Q97/$Q$103</f>
        <v>0.1972737858757449</v>
      </c>
      <c r="T97" s="168">
        <f t="shared" si="16"/>
        <v>43200</v>
      </c>
      <c r="U97" s="7">
        <f t="shared" si="14"/>
        <v>43200</v>
      </c>
      <c r="W97" s="169"/>
      <c r="Z97" s="283">
        <f>T97</f>
        <v>43200</v>
      </c>
      <c r="AA97" s="171"/>
      <c r="AB97" s="282">
        <f>T97</f>
        <v>43200</v>
      </c>
      <c r="AH97" s="152"/>
    </row>
    <row r="98" spans="1:34" x14ac:dyDescent="0.3">
      <c r="A98" s="156" t="s">
        <v>649</v>
      </c>
      <c r="B98" s="157" t="s">
        <v>77</v>
      </c>
      <c r="C98" s="157" t="s">
        <v>517</v>
      </c>
      <c r="D98" s="157" t="s">
        <v>27</v>
      </c>
      <c r="E98" s="157" t="s">
        <v>520</v>
      </c>
      <c r="F98" s="158" t="s">
        <v>655</v>
      </c>
      <c r="G98" s="157">
        <v>12</v>
      </c>
      <c r="H98" s="157" t="s">
        <v>24</v>
      </c>
      <c r="I98" s="474"/>
      <c r="J98" s="1"/>
      <c r="K98" s="176">
        <v>12</v>
      </c>
      <c r="L98" s="177"/>
      <c r="M98" s="163">
        <v>1</v>
      </c>
      <c r="N98" s="166">
        <f>750*2</f>
        <v>1500</v>
      </c>
      <c r="O98" s="173">
        <v>0.45</v>
      </c>
      <c r="P98" s="166">
        <f t="shared" si="17"/>
        <v>825.00000000000011</v>
      </c>
      <c r="Q98" s="166">
        <f t="shared" si="13"/>
        <v>9900.0000000000018</v>
      </c>
      <c r="R98" s="206" t="e">
        <f>(Q98+#REF!)/E76*1000</f>
        <v>#REF!</v>
      </c>
      <c r="S98" s="320">
        <f>Q98/$Q$103</f>
        <v>0.18083430371943288</v>
      </c>
      <c r="T98" s="168">
        <f t="shared" si="16"/>
        <v>39600.000000000007</v>
      </c>
      <c r="U98" s="7">
        <f t="shared" si="14"/>
        <v>39600.000000000007</v>
      </c>
      <c r="W98" s="169"/>
      <c r="Z98" s="283">
        <f>T98</f>
        <v>39600.000000000007</v>
      </c>
      <c r="AA98" s="171"/>
      <c r="AB98" s="280"/>
      <c r="AE98" s="169">
        <f>T98</f>
        <v>39600.000000000007</v>
      </c>
      <c r="AH98" s="152"/>
    </row>
    <row r="99" spans="1:34" x14ac:dyDescent="0.3">
      <c r="A99" s="156"/>
      <c r="B99" s="157"/>
      <c r="C99" s="157"/>
      <c r="D99" s="157"/>
      <c r="E99" s="157"/>
      <c r="F99" s="158"/>
      <c r="G99" s="157"/>
      <c r="H99" s="157"/>
      <c r="I99" s="474"/>
      <c r="J99" s="1"/>
      <c r="K99" s="1"/>
      <c r="L99" s="163"/>
      <c r="M99" s="163"/>
      <c r="N99" s="473"/>
      <c r="O99" s="165"/>
      <c r="P99" s="476"/>
      <c r="Q99" s="473"/>
      <c r="R99" s="9"/>
      <c r="S99" s="477"/>
      <c r="T99" s="478"/>
      <c r="U99" s="15"/>
      <c r="Z99" s="282"/>
      <c r="AA99" s="171"/>
      <c r="AB99" s="280"/>
      <c r="AH99" s="152"/>
    </row>
    <row r="100" spans="1:34" x14ac:dyDescent="0.3">
      <c r="A100" s="189" t="s">
        <v>649</v>
      </c>
      <c r="B100" s="190" t="s">
        <v>528</v>
      </c>
      <c r="C100" s="190"/>
      <c r="D100" s="190"/>
      <c r="E100" s="190"/>
      <c r="F100" s="191"/>
      <c r="G100" s="190"/>
      <c r="H100" s="190"/>
      <c r="I100" s="192"/>
      <c r="J100" s="193"/>
      <c r="K100" s="193"/>
      <c r="L100" s="193"/>
      <c r="M100" s="190"/>
      <c r="N100" s="194"/>
      <c r="O100" s="195"/>
      <c r="P100" s="186"/>
      <c r="Q100" s="166"/>
      <c r="R100" s="288"/>
      <c r="S100" s="323"/>
      <c r="T100" s="168"/>
      <c r="U100" s="7"/>
      <c r="X100" s="169">
        <f>T100</f>
        <v>0</v>
      </c>
      <c r="Z100" s="280"/>
      <c r="AA100" s="171"/>
      <c r="AB100" s="280"/>
      <c r="AH100" s="152"/>
    </row>
    <row r="101" spans="1:34" x14ac:dyDescent="0.3">
      <c r="A101" s="365" t="s">
        <v>649</v>
      </c>
      <c r="B101" s="108" t="s">
        <v>529</v>
      </c>
      <c r="C101" s="108"/>
      <c r="D101" s="108" t="s">
        <v>530</v>
      </c>
      <c r="E101" s="108"/>
      <c r="F101" s="479"/>
      <c r="G101" s="108"/>
      <c r="H101" s="108"/>
      <c r="I101" s="254"/>
      <c r="J101" s="254"/>
      <c r="K101" s="254"/>
      <c r="L101" s="254"/>
      <c r="M101" s="108"/>
      <c r="N101" s="257"/>
      <c r="O101" s="109"/>
      <c r="P101" s="290"/>
      <c r="Q101" s="257">
        <v>3000</v>
      </c>
      <c r="R101" s="480"/>
      <c r="S101" s="367">
        <f>Q101/Q103</f>
        <v>5.4798273854373587E-2</v>
      </c>
      <c r="T101" s="168">
        <f>Q101*4</f>
        <v>12000</v>
      </c>
      <c r="U101" s="7"/>
      <c r="Y101" s="169">
        <f>T101</f>
        <v>12000</v>
      </c>
      <c r="Z101" s="280"/>
      <c r="AA101" s="152"/>
      <c r="AB101" s="280"/>
      <c r="AH101" s="152"/>
    </row>
    <row r="102" spans="1:34" x14ac:dyDescent="0.3">
      <c r="A102" s="368"/>
      <c r="B102" s="369"/>
      <c r="C102" s="369"/>
      <c r="D102" s="369"/>
      <c r="E102" s="369"/>
      <c r="F102" s="370"/>
      <c r="G102" s="369"/>
      <c r="H102" s="369"/>
      <c r="I102" s="2184">
        <f>I103/M103</f>
        <v>0.5714285714285714</v>
      </c>
      <c r="J102" s="2184"/>
      <c r="K102" s="2184">
        <f>K103/M103</f>
        <v>0.42857142857142855</v>
      </c>
      <c r="L102" s="208"/>
      <c r="M102" s="369"/>
      <c r="N102" s="371"/>
      <c r="O102" s="372"/>
      <c r="P102" s="371"/>
      <c r="Q102" s="371"/>
      <c r="R102" s="371"/>
      <c r="S102" s="261"/>
      <c r="T102" s="149"/>
      <c r="U102" s="7"/>
      <c r="Z102" s="368"/>
      <c r="AA102" s="210"/>
      <c r="AB102" s="368"/>
      <c r="AC102" s="208"/>
      <c r="AD102" s="208"/>
      <c r="AE102" s="208"/>
      <c r="AF102" s="208"/>
      <c r="AG102" s="208"/>
      <c r="AH102" s="210"/>
    </row>
    <row r="103" spans="1:34" x14ac:dyDescent="0.3">
      <c r="A103" s="326" t="s">
        <v>531</v>
      </c>
      <c r="B103" s="327"/>
      <c r="C103" s="327"/>
      <c r="D103" s="327"/>
      <c r="E103" s="327"/>
      <c r="F103" s="328"/>
      <c r="G103" s="327"/>
      <c r="H103" s="327"/>
      <c r="I103" s="327">
        <f>I97+I96+I95+I94</f>
        <v>16</v>
      </c>
      <c r="J103" s="327"/>
      <c r="K103" s="327">
        <f>K98</f>
        <v>12</v>
      </c>
      <c r="L103" s="327"/>
      <c r="M103" s="327">
        <f>SUM(I103:L103)</f>
        <v>28</v>
      </c>
      <c r="N103" s="329"/>
      <c r="O103" s="330"/>
      <c r="P103" s="329"/>
      <c r="Q103" s="331">
        <f>SUM(Q94:Q102)</f>
        <v>54746.25</v>
      </c>
      <c r="R103" s="331"/>
      <c r="S103" s="332">
        <f>SUM(S94:S101)</f>
        <v>1</v>
      </c>
      <c r="T103" s="333">
        <f>SUM(T94:T102)</f>
        <v>218985</v>
      </c>
      <c r="U103" s="335">
        <f t="shared" ref="U103:AA103" si="18">SUM(U94:U101)</f>
        <v>206985</v>
      </c>
      <c r="V103" s="335">
        <f t="shared" si="18"/>
        <v>0</v>
      </c>
      <c r="W103" s="335">
        <f t="shared" si="18"/>
        <v>0</v>
      </c>
      <c r="X103" s="335">
        <f t="shared" si="18"/>
        <v>0</v>
      </c>
      <c r="Y103" s="337">
        <f t="shared" si="18"/>
        <v>12000</v>
      </c>
      <c r="Z103" s="336">
        <f t="shared" si="18"/>
        <v>82800</v>
      </c>
      <c r="AA103" s="337">
        <f t="shared" si="18"/>
        <v>124185</v>
      </c>
      <c r="AB103" s="335">
        <f>SUM(AB93:AB102)</f>
        <v>108000</v>
      </c>
      <c r="AC103" s="335">
        <f>SUM(AC93:AC102)</f>
        <v>15224.999999999998</v>
      </c>
      <c r="AD103" s="335">
        <f t="shared" ref="AD103:AE103" si="19">SUM(AD93:AD102)</f>
        <v>44160</v>
      </c>
      <c r="AE103" s="335">
        <f t="shared" si="19"/>
        <v>39600.000000000007</v>
      </c>
      <c r="AF103" s="335"/>
      <c r="AG103" s="335"/>
      <c r="AH103" s="337"/>
    </row>
    <row r="104" spans="1:34" x14ac:dyDescent="0.3">
      <c r="A104" s="342" t="s">
        <v>532</v>
      </c>
      <c r="B104" s="343"/>
      <c r="C104" s="343"/>
      <c r="D104" s="343"/>
      <c r="E104" s="343"/>
      <c r="F104" s="344"/>
      <c r="G104" s="343"/>
      <c r="H104" s="343"/>
      <c r="I104" s="343">
        <f>I97+I96+I95+I94</f>
        <v>16</v>
      </c>
      <c r="J104" s="343">
        <f>I97+I96+I95+I94</f>
        <v>16</v>
      </c>
      <c r="K104" s="343">
        <f>K98+I96+I95+I94</f>
        <v>16</v>
      </c>
      <c r="L104" s="343">
        <f>K98+I96+I95+I94</f>
        <v>16</v>
      </c>
      <c r="M104" s="343">
        <f>SUM(I104:L104)</f>
        <v>64</v>
      </c>
      <c r="N104" s="345"/>
      <c r="O104" s="346"/>
      <c r="P104" s="345"/>
      <c r="Q104" s="345"/>
      <c r="R104" s="345"/>
      <c r="S104" s="347"/>
      <c r="T104" s="348"/>
      <c r="U104" s="350">
        <f>U103/T103</f>
        <v>0.94520172614562636</v>
      </c>
      <c r="V104" s="350">
        <f>V103/T103</f>
        <v>0</v>
      </c>
      <c r="W104" s="350">
        <f>W103/T103</f>
        <v>0</v>
      </c>
      <c r="X104" s="350">
        <f>X103/T103</f>
        <v>0</v>
      </c>
      <c r="Y104" s="352">
        <f>Y103/T103</f>
        <v>5.4798273854373587E-2</v>
      </c>
      <c r="Z104" s="351">
        <f>Z103/T103</f>
        <v>0.37810808959517778</v>
      </c>
      <c r="AA104" s="352">
        <f>AA103/T103</f>
        <v>0.56709363655044864</v>
      </c>
      <c r="AB104" s="523"/>
      <c r="AC104" s="524"/>
      <c r="AD104" s="524"/>
      <c r="AE104" s="524"/>
      <c r="AF104" s="524"/>
      <c r="AG104" s="524"/>
      <c r="AH104" s="356"/>
    </row>
    <row r="105" spans="1:34" x14ac:dyDescent="0.3">
      <c r="A105" s="243" t="s">
        <v>533</v>
      </c>
      <c r="B105" s="193"/>
      <c r="C105" s="193"/>
      <c r="D105" s="193"/>
      <c r="E105" s="193"/>
      <c r="F105" s="244"/>
      <c r="G105" s="193"/>
      <c r="H105" s="193"/>
      <c r="I105" s="2187">
        <v>0.25</v>
      </c>
      <c r="J105" s="245"/>
      <c r="K105" s="245"/>
      <c r="L105" s="245"/>
      <c r="M105" s="193"/>
      <c r="N105" s="246"/>
      <c r="O105" s="196"/>
      <c r="P105" s="246"/>
      <c r="Q105" s="194">
        <f>U103/4</f>
        <v>51746.25</v>
      </c>
      <c r="R105" s="288"/>
      <c r="S105" s="247">
        <f>Q105/Q110</f>
        <v>0.94520172614562636</v>
      </c>
      <c r="Y105" s="248"/>
      <c r="Z105" s="357">
        <f>I97+K98</f>
        <v>24</v>
      </c>
      <c r="AA105" s="358">
        <f>I94+I95+I96</f>
        <v>4</v>
      </c>
    </row>
    <row r="106" spans="1:34" x14ac:dyDescent="0.3">
      <c r="A106" s="251" t="s">
        <v>11</v>
      </c>
      <c r="B106" s="252"/>
      <c r="C106" s="252"/>
      <c r="D106" s="252"/>
      <c r="E106" s="252"/>
      <c r="F106" s="253"/>
      <c r="G106" s="252"/>
      <c r="H106" s="252"/>
      <c r="I106" s="254"/>
      <c r="J106" s="254"/>
      <c r="K106" s="254"/>
      <c r="L106" s="254"/>
      <c r="M106" s="252"/>
      <c r="N106" s="255"/>
      <c r="O106" s="256"/>
      <c r="P106" s="255"/>
      <c r="Q106" s="257">
        <f>V103/4</f>
        <v>0</v>
      </c>
      <c r="R106" s="290"/>
      <c r="S106" s="256">
        <f>Q106/Q110</f>
        <v>0</v>
      </c>
      <c r="T106" s="525">
        <f>Q103/M103</f>
        <v>1955.2232142857142</v>
      </c>
      <c r="U106" s="526" t="s">
        <v>535</v>
      </c>
      <c r="Z106" s="195">
        <f>Z105/M103</f>
        <v>0.8571428571428571</v>
      </c>
      <c r="AA106" s="247">
        <f>AA105/M103</f>
        <v>0.14285714285714285</v>
      </c>
    </row>
    <row r="107" spans="1:34" x14ac:dyDescent="0.3">
      <c r="A107" s="251" t="s">
        <v>536</v>
      </c>
      <c r="B107" s="252"/>
      <c r="C107" s="252"/>
      <c r="D107" s="252"/>
      <c r="E107" s="252"/>
      <c r="F107" s="253"/>
      <c r="G107" s="252"/>
      <c r="H107" s="252"/>
      <c r="I107" s="254"/>
      <c r="J107" s="254"/>
      <c r="K107" s="254"/>
      <c r="L107" s="254"/>
      <c r="M107" s="252"/>
      <c r="N107" s="255"/>
      <c r="O107" s="256"/>
      <c r="P107" s="255"/>
      <c r="Q107" s="257">
        <f>W103/4</f>
        <v>0</v>
      </c>
      <c r="R107" s="290"/>
      <c r="S107" s="262">
        <f>Q107/Q110</f>
        <v>0</v>
      </c>
      <c r="V107" s="263"/>
      <c r="X107" s="99"/>
      <c r="Z107" s="2265" t="s">
        <v>537</v>
      </c>
      <c r="AA107" s="2265"/>
    </row>
    <row r="108" spans="1:34" x14ac:dyDescent="0.3">
      <c r="A108" s="251" t="s">
        <v>529</v>
      </c>
      <c r="B108" s="252"/>
      <c r="C108" s="252"/>
      <c r="D108" s="252"/>
      <c r="E108" s="252"/>
      <c r="F108" s="253"/>
      <c r="G108" s="252"/>
      <c r="H108" s="252"/>
      <c r="I108" s="254"/>
      <c r="J108" s="254"/>
      <c r="K108" s="254"/>
      <c r="L108" s="254"/>
      <c r="M108" s="252"/>
      <c r="N108" s="255"/>
      <c r="O108" s="256"/>
      <c r="P108" s="255"/>
      <c r="Q108" s="257">
        <f>Y103/4</f>
        <v>3000</v>
      </c>
      <c r="R108" s="290"/>
      <c r="S108" s="262">
        <f>Q108/Q110</f>
        <v>5.4798273854373587E-2</v>
      </c>
      <c r="V108" s="263"/>
    </row>
    <row r="109" spans="1:34" x14ac:dyDescent="0.3">
      <c r="A109" s="251" t="s">
        <v>528</v>
      </c>
      <c r="B109" s="252"/>
      <c r="C109" s="252"/>
      <c r="D109" s="252"/>
      <c r="E109" s="252"/>
      <c r="F109" s="253"/>
      <c r="G109" s="252"/>
      <c r="H109" s="252"/>
      <c r="I109" s="254"/>
      <c r="J109" s="254"/>
      <c r="K109" s="254"/>
      <c r="L109" s="254"/>
      <c r="M109" s="252"/>
      <c r="N109" s="255"/>
      <c r="O109" s="256"/>
      <c r="P109" s="255"/>
      <c r="Q109" s="257">
        <f>X103/4</f>
        <v>0</v>
      </c>
      <c r="R109" s="290"/>
      <c r="S109" s="262">
        <f>Q109/Q110</f>
        <v>0</v>
      </c>
    </row>
    <row r="110" spans="1:34" x14ac:dyDescent="0.3">
      <c r="A110" s="251"/>
      <c r="B110" s="252"/>
      <c r="C110" s="252"/>
      <c r="D110" s="252"/>
      <c r="E110" s="252"/>
      <c r="F110" s="253"/>
      <c r="G110" s="252"/>
      <c r="H110" s="252"/>
      <c r="I110" s="254"/>
      <c r="J110" s="254"/>
      <c r="K110" s="254"/>
      <c r="L110" s="254"/>
      <c r="M110" s="252"/>
      <c r="N110" s="255"/>
      <c r="O110" s="256"/>
      <c r="P110" s="255"/>
      <c r="Q110" s="264">
        <f>SUM(Q105:Q109)</f>
        <v>54746.25</v>
      </c>
      <c r="R110" s="490"/>
      <c r="S110" s="262">
        <f>SUM(S105:S109)</f>
        <v>1</v>
      </c>
    </row>
    <row r="111" spans="1:34" x14ac:dyDescent="0.3">
      <c r="A111" s="465"/>
      <c r="B111" s="527"/>
      <c r="C111" s="527"/>
      <c r="D111" s="527"/>
      <c r="E111" s="527"/>
      <c r="F111" s="528"/>
      <c r="G111" s="527"/>
      <c r="H111" s="527"/>
      <c r="I111" s="465"/>
      <c r="J111" s="465"/>
      <c r="K111" s="465"/>
      <c r="L111" s="465"/>
      <c r="M111" s="527"/>
      <c r="N111" s="529"/>
      <c r="O111" s="530"/>
      <c r="P111" s="529"/>
      <c r="Q111" s="531"/>
      <c r="R111" s="531"/>
      <c r="S111" s="530"/>
      <c r="T111" s="5"/>
      <c r="U111" s="7"/>
    </row>
    <row r="112" spans="1:34" ht="18" x14ac:dyDescent="0.35">
      <c r="A112" s="118" t="s">
        <v>554</v>
      </c>
      <c r="N112" s="5"/>
      <c r="O112" s="6"/>
      <c r="P112" s="5"/>
      <c r="Q112" s="7"/>
      <c r="R112" s="7"/>
      <c r="S112" s="8"/>
      <c r="T112" s="5"/>
    </row>
    <row r="113" spans="1:34" x14ac:dyDescent="0.3">
      <c r="A113" s="188"/>
      <c r="I113" s="245"/>
      <c r="J113" s="245"/>
      <c r="K113" s="245"/>
      <c r="L113" s="245"/>
      <c r="N113" s="5"/>
      <c r="O113" s="6"/>
      <c r="P113" s="5"/>
      <c r="Q113" s="7"/>
      <c r="R113" s="7"/>
      <c r="S113" s="6"/>
      <c r="T113" s="5"/>
    </row>
    <row r="114" spans="1:34" x14ac:dyDescent="0.3">
      <c r="A114" s="2335" t="s">
        <v>480</v>
      </c>
      <c r="B114" s="2336"/>
      <c r="C114" s="2336"/>
      <c r="D114" s="2336"/>
      <c r="E114" s="2336"/>
      <c r="F114" s="2336"/>
      <c r="G114" s="2336"/>
      <c r="H114" s="2336"/>
      <c r="I114" s="2336"/>
      <c r="J114" s="2336"/>
      <c r="K114" s="2336"/>
      <c r="L114" s="2336"/>
      <c r="M114" s="2336"/>
      <c r="N114" s="2336"/>
      <c r="O114" s="2336"/>
      <c r="P114" s="2336"/>
      <c r="Q114" s="2336"/>
      <c r="R114" s="2336"/>
      <c r="S114" s="2337"/>
      <c r="T114" s="2338" t="s">
        <v>584</v>
      </c>
      <c r="U114" s="2339"/>
      <c r="V114" s="2339"/>
      <c r="W114" s="2339"/>
      <c r="X114" s="2339"/>
      <c r="Y114" s="2339"/>
      <c r="Z114" s="2339"/>
      <c r="AA114" s="2339"/>
      <c r="AB114" s="2339"/>
      <c r="AC114" s="2339"/>
      <c r="AD114" s="2339"/>
      <c r="AE114" s="2339"/>
      <c r="AF114" s="2339"/>
      <c r="AG114" s="2339"/>
      <c r="AH114" s="2340"/>
    </row>
    <row r="115" spans="1:34" ht="15.6" x14ac:dyDescent="0.3">
      <c r="A115" s="2256" t="s">
        <v>482</v>
      </c>
      <c r="B115" s="2258" t="s">
        <v>483</v>
      </c>
      <c r="C115" s="2258" t="s">
        <v>484</v>
      </c>
      <c r="D115" s="2258" t="s">
        <v>485</v>
      </c>
      <c r="E115" s="2258" t="s">
        <v>486</v>
      </c>
      <c r="F115" s="2260" t="s">
        <v>487</v>
      </c>
      <c r="G115" s="2258" t="s">
        <v>488</v>
      </c>
      <c r="H115" s="2258" t="s">
        <v>489</v>
      </c>
      <c r="I115" s="2240" t="s">
        <v>490</v>
      </c>
      <c r="J115" s="2240"/>
      <c r="K115" s="2240"/>
      <c r="L115" s="2240"/>
      <c r="M115" s="305" t="s">
        <v>491</v>
      </c>
      <c r="N115" s="306" t="s">
        <v>492</v>
      </c>
      <c r="O115" s="307" t="s">
        <v>493</v>
      </c>
      <c r="P115" s="306" t="s">
        <v>492</v>
      </c>
      <c r="Q115" s="306" t="s">
        <v>494</v>
      </c>
      <c r="R115" s="512" t="s">
        <v>585</v>
      </c>
      <c r="S115" s="2343" t="s">
        <v>495</v>
      </c>
      <c r="T115" s="513" t="s">
        <v>496</v>
      </c>
      <c r="U115" s="2345" t="s">
        <v>497</v>
      </c>
      <c r="V115" s="2346"/>
      <c r="W115" s="2346"/>
      <c r="X115" s="2346"/>
      <c r="Y115" s="2347"/>
      <c r="Z115" s="2351" t="s">
        <v>498</v>
      </c>
      <c r="AA115" s="2352"/>
      <c r="AB115" s="2355"/>
      <c r="AC115" s="2355"/>
      <c r="AD115" s="2355"/>
      <c r="AE115" s="2355"/>
      <c r="AF115" s="2355"/>
      <c r="AG115" s="2355"/>
      <c r="AH115" s="2352"/>
    </row>
    <row r="116" spans="1:34" ht="15.6" x14ac:dyDescent="0.3">
      <c r="A116" s="2257"/>
      <c r="B116" s="2259"/>
      <c r="C116" s="2259"/>
      <c r="D116" s="2259"/>
      <c r="E116" s="2259"/>
      <c r="F116" s="2261"/>
      <c r="G116" s="2259"/>
      <c r="H116" s="2259"/>
      <c r="I116" s="310" t="s">
        <v>500</v>
      </c>
      <c r="J116" s="310" t="s">
        <v>501</v>
      </c>
      <c r="K116" s="310" t="s">
        <v>502</v>
      </c>
      <c r="L116" s="310" t="s">
        <v>503</v>
      </c>
      <c r="M116" s="311" t="s">
        <v>504</v>
      </c>
      <c r="N116" s="312" t="s">
        <v>505</v>
      </c>
      <c r="O116" s="313" t="s">
        <v>506</v>
      </c>
      <c r="P116" s="312" t="s">
        <v>507</v>
      </c>
      <c r="Q116" s="312" t="s">
        <v>507</v>
      </c>
      <c r="R116" s="514"/>
      <c r="S116" s="2344"/>
      <c r="T116" s="515" t="s">
        <v>508</v>
      </c>
      <c r="U116" s="2348"/>
      <c r="V116" s="2349"/>
      <c r="W116" s="2349"/>
      <c r="X116" s="2349"/>
      <c r="Y116" s="2350"/>
      <c r="Z116" s="2353"/>
      <c r="AA116" s="2354"/>
      <c r="AB116" s="2356"/>
      <c r="AC116" s="2356"/>
      <c r="AD116" s="2356"/>
      <c r="AE116" s="2356"/>
      <c r="AF116" s="2356"/>
      <c r="AG116" s="2356"/>
      <c r="AH116" s="2354"/>
    </row>
    <row r="117" spans="1:34" ht="18" x14ac:dyDescent="0.35">
      <c r="A117" s="2262" t="s">
        <v>550</v>
      </c>
      <c r="B117" s="2263"/>
      <c r="C117" s="2263"/>
      <c r="D117" s="2263"/>
      <c r="E117" s="2263"/>
      <c r="F117" s="2263"/>
      <c r="G117" s="2263"/>
      <c r="H117" s="2263"/>
      <c r="I117" s="2263"/>
      <c r="J117" s="2263"/>
      <c r="K117" s="2263"/>
      <c r="L117" s="2263"/>
      <c r="M117" s="2263"/>
      <c r="N117" s="2263"/>
      <c r="O117" s="2263"/>
      <c r="P117" s="2263"/>
      <c r="Q117" s="2263"/>
      <c r="R117" s="2263"/>
      <c r="S117" s="2263"/>
      <c r="T117" s="559"/>
      <c r="U117" s="560" t="s">
        <v>510</v>
      </c>
      <c r="V117" s="561" t="s">
        <v>11</v>
      </c>
      <c r="W117" s="561" t="s">
        <v>511</v>
      </c>
      <c r="X117" s="561" t="s">
        <v>512</v>
      </c>
      <c r="Y117" s="562" t="s">
        <v>513</v>
      </c>
      <c r="Z117" s="561" t="s">
        <v>514</v>
      </c>
      <c r="AA117" s="562" t="s">
        <v>515</v>
      </c>
      <c r="AB117" s="563" t="s">
        <v>69</v>
      </c>
      <c r="AC117" s="561" t="s">
        <v>70</v>
      </c>
      <c r="AD117" s="561" t="s">
        <v>19</v>
      </c>
      <c r="AE117" s="561" t="s">
        <v>71</v>
      </c>
      <c r="AF117" s="561" t="s">
        <v>72</v>
      </c>
      <c r="AG117" s="561" t="s">
        <v>5</v>
      </c>
      <c r="AH117" s="562"/>
    </row>
    <row r="118" spans="1:34" x14ac:dyDescent="0.3">
      <c r="A118" s="154"/>
      <c r="B118" s="462"/>
      <c r="C118" s="462"/>
      <c r="D118" s="462"/>
      <c r="E118" s="462"/>
      <c r="F118" s="463"/>
      <c r="G118" s="462"/>
      <c r="H118" s="462"/>
      <c r="I118" s="465"/>
      <c r="J118" s="465"/>
      <c r="K118" s="465"/>
      <c r="L118" s="465"/>
      <c r="M118" s="462"/>
      <c r="N118" s="468"/>
      <c r="O118" s="469"/>
      <c r="P118" s="468"/>
      <c r="Q118" s="468"/>
      <c r="R118" s="470"/>
      <c r="S118" s="532"/>
      <c r="T118" s="149"/>
      <c r="U118" s="150"/>
      <c r="Y118" s="152"/>
      <c r="AA118" s="286"/>
      <c r="AB118" s="280"/>
      <c r="AH118" s="152"/>
    </row>
    <row r="119" spans="1:34" x14ac:dyDescent="0.3">
      <c r="A119" s="157" t="s">
        <v>649</v>
      </c>
      <c r="B119" s="157" t="s">
        <v>73</v>
      </c>
      <c r="C119" s="157" t="s">
        <v>517</v>
      </c>
      <c r="D119" s="157" t="s">
        <v>21</v>
      </c>
      <c r="E119" s="157" t="s">
        <v>518</v>
      </c>
      <c r="F119" s="158" t="s">
        <v>654</v>
      </c>
      <c r="G119" s="157">
        <v>1</v>
      </c>
      <c r="H119" s="157" t="s">
        <v>24</v>
      </c>
      <c r="I119" s="159">
        <v>1</v>
      </c>
      <c r="J119" s="161"/>
      <c r="K119" s="161"/>
      <c r="L119" s="2209"/>
      <c r="M119" s="163">
        <v>1</v>
      </c>
      <c r="N119" s="164">
        <f>15*48*30</f>
        <v>21600</v>
      </c>
      <c r="O119" s="165">
        <v>0.25</v>
      </c>
      <c r="P119" s="166">
        <f>N119*(1-O119)</f>
        <v>16200</v>
      </c>
      <c r="Q119" s="166">
        <f t="shared" ref="Q119:Q123" si="20">P119*M119*G119</f>
        <v>16200</v>
      </c>
      <c r="R119" s="206" t="e">
        <f>(Q119+Q120+Q122+#REF!)/E99*1000</f>
        <v>#REF!</v>
      </c>
      <c r="S119" s="167">
        <f>Q119/$Q$131</f>
        <v>0.28564249725598062</v>
      </c>
      <c r="T119" s="168">
        <f>Q119</f>
        <v>16200</v>
      </c>
      <c r="U119" s="150">
        <f t="shared" ref="U119:U124" si="21">T119</f>
        <v>16200</v>
      </c>
      <c r="V119" s="169"/>
      <c r="W119" s="169"/>
      <c r="X119" s="169"/>
      <c r="Y119" s="171"/>
      <c r="Z119" s="169"/>
      <c r="AA119" s="395">
        <f>T119</f>
        <v>16200</v>
      </c>
      <c r="AB119" s="282">
        <f>T119</f>
        <v>16200</v>
      </c>
      <c r="AH119" s="152"/>
    </row>
    <row r="120" spans="1:34" x14ac:dyDescent="0.3">
      <c r="A120" s="157" t="s">
        <v>649</v>
      </c>
      <c r="B120" s="157" t="s">
        <v>74</v>
      </c>
      <c r="C120" s="157" t="s">
        <v>517</v>
      </c>
      <c r="D120" s="157" t="s">
        <v>21</v>
      </c>
      <c r="E120" s="157" t="s">
        <v>518</v>
      </c>
      <c r="F120" s="158" t="s">
        <v>654</v>
      </c>
      <c r="G120" s="157">
        <v>1</v>
      </c>
      <c r="H120" s="157" t="s">
        <v>24</v>
      </c>
      <c r="I120" s="159">
        <v>1</v>
      </c>
      <c r="J120" s="161"/>
      <c r="K120" s="161"/>
      <c r="L120" s="2209"/>
      <c r="M120" s="163">
        <v>1</v>
      </c>
      <c r="N120" s="166">
        <f>3750*(1+45%)</f>
        <v>5437.5</v>
      </c>
      <c r="O120" s="173">
        <v>0.3</v>
      </c>
      <c r="P120" s="166">
        <f>N120*(1-O120)</f>
        <v>3806.2499999999995</v>
      </c>
      <c r="Q120" s="166">
        <f t="shared" si="20"/>
        <v>3806.2499999999995</v>
      </c>
      <c r="R120" s="206" t="e">
        <f>(Q120+Q121+#REF!+#REF!)/E100*1000</f>
        <v>#REF!</v>
      </c>
      <c r="S120" s="167">
        <f t="shared" ref="S120:S121" si="22">Q120/$Q$131</f>
        <v>6.711276266546766E-2</v>
      </c>
      <c r="T120" s="168">
        <f t="shared" ref="T120:T125" si="23">Q120</f>
        <v>3806.2499999999995</v>
      </c>
      <c r="U120" s="150">
        <f t="shared" si="21"/>
        <v>3806.2499999999995</v>
      </c>
      <c r="V120" s="169"/>
      <c r="Y120" s="152"/>
      <c r="Z120" s="169"/>
      <c r="AA120" s="395">
        <f>T120</f>
        <v>3806.2499999999995</v>
      </c>
      <c r="AB120" s="280"/>
      <c r="AC120" s="169">
        <f>T120</f>
        <v>3806.2499999999995</v>
      </c>
      <c r="AH120" s="152"/>
    </row>
    <row r="121" spans="1:34" x14ac:dyDescent="0.3">
      <c r="A121" s="157" t="s">
        <v>649</v>
      </c>
      <c r="B121" s="157" t="s">
        <v>75</v>
      </c>
      <c r="C121" s="157" t="s">
        <v>517</v>
      </c>
      <c r="D121" s="157" t="s">
        <v>21</v>
      </c>
      <c r="E121" s="157" t="s">
        <v>518</v>
      </c>
      <c r="F121" s="158" t="s">
        <v>654</v>
      </c>
      <c r="G121" s="157">
        <v>1</v>
      </c>
      <c r="H121" s="157" t="s">
        <v>24</v>
      </c>
      <c r="I121" s="159">
        <v>1</v>
      </c>
      <c r="J121" s="161"/>
      <c r="K121" s="161"/>
      <c r="L121" s="2209"/>
      <c r="M121" s="163">
        <v>1</v>
      </c>
      <c r="N121" s="166">
        <f>(6600+7200)/2</f>
        <v>6900</v>
      </c>
      <c r="O121" s="173">
        <v>0.2</v>
      </c>
      <c r="P121" s="166">
        <f t="shared" ref="P121:P123" si="24">N121*(1-O121)</f>
        <v>5520</v>
      </c>
      <c r="Q121" s="166">
        <f t="shared" si="20"/>
        <v>5520</v>
      </c>
      <c r="R121" s="206"/>
      <c r="S121" s="167">
        <f t="shared" si="22"/>
        <v>9.7330036102037845E-2</v>
      </c>
      <c r="T121" s="168">
        <f t="shared" si="23"/>
        <v>5520</v>
      </c>
      <c r="U121" s="150">
        <f t="shared" si="21"/>
        <v>5520</v>
      </c>
      <c r="V121" s="169"/>
      <c r="Y121" s="152"/>
      <c r="Z121" s="169"/>
      <c r="AA121" s="395">
        <f>T121</f>
        <v>5520</v>
      </c>
      <c r="AB121" s="280"/>
      <c r="AD121" s="169">
        <f>T121</f>
        <v>5520</v>
      </c>
      <c r="AH121" s="152"/>
    </row>
    <row r="122" spans="1:34" x14ac:dyDescent="0.3">
      <c r="A122" s="157" t="s">
        <v>649</v>
      </c>
      <c r="B122" s="157" t="s">
        <v>76</v>
      </c>
      <c r="C122" s="157" t="s">
        <v>517</v>
      </c>
      <c r="D122" s="157" t="s">
        <v>27</v>
      </c>
      <c r="E122" s="157" t="s">
        <v>520</v>
      </c>
      <c r="F122" s="158" t="s">
        <v>655</v>
      </c>
      <c r="G122" s="157">
        <v>12</v>
      </c>
      <c r="H122" s="157" t="s">
        <v>24</v>
      </c>
      <c r="I122" s="175">
        <v>12</v>
      </c>
      <c r="J122" s="176"/>
      <c r="K122" s="179"/>
      <c r="L122" s="180"/>
      <c r="M122" s="163">
        <v>1</v>
      </c>
      <c r="N122" s="166">
        <f>750*2</f>
        <v>1500</v>
      </c>
      <c r="O122" s="173">
        <v>0.4</v>
      </c>
      <c r="P122" s="166">
        <f t="shared" si="24"/>
        <v>900</v>
      </c>
      <c r="Q122" s="166">
        <f t="shared" si="20"/>
        <v>10800</v>
      </c>
      <c r="R122" s="206" t="e">
        <f>(Q122+#REF!)/E100*1000</f>
        <v>#REF!</v>
      </c>
      <c r="S122" s="178">
        <f>Q122/$Q$131</f>
        <v>0.19042833150398708</v>
      </c>
      <c r="T122" s="168">
        <f t="shared" si="23"/>
        <v>10800</v>
      </c>
      <c r="U122" s="150">
        <f t="shared" si="21"/>
        <v>10800</v>
      </c>
      <c r="W122" s="169"/>
      <c r="Y122" s="152"/>
      <c r="Z122" s="5">
        <f>T122</f>
        <v>10800</v>
      </c>
      <c r="AA122" s="395"/>
      <c r="AB122" s="282">
        <f>T122</f>
        <v>10800</v>
      </c>
      <c r="AH122" s="152"/>
    </row>
    <row r="123" spans="1:34" x14ac:dyDescent="0.3">
      <c r="A123" s="157" t="s">
        <v>649</v>
      </c>
      <c r="B123" s="157" t="s">
        <v>77</v>
      </c>
      <c r="C123" s="157" t="s">
        <v>517</v>
      </c>
      <c r="D123" s="157" t="s">
        <v>27</v>
      </c>
      <c r="E123" s="157" t="s">
        <v>520</v>
      </c>
      <c r="F123" s="158" t="s">
        <v>655</v>
      </c>
      <c r="G123" s="157">
        <v>12</v>
      </c>
      <c r="H123" s="157" t="s">
        <v>24</v>
      </c>
      <c r="I123" s="474"/>
      <c r="J123" s="1"/>
      <c r="K123" s="176">
        <v>12</v>
      </c>
      <c r="L123" s="177"/>
      <c r="M123" s="163">
        <v>1</v>
      </c>
      <c r="N123" s="166">
        <f>750*2</f>
        <v>1500</v>
      </c>
      <c r="O123" s="173">
        <v>0.45</v>
      </c>
      <c r="P123" s="166">
        <f t="shared" si="24"/>
        <v>825.00000000000011</v>
      </c>
      <c r="Q123" s="166">
        <f t="shared" si="20"/>
        <v>9900.0000000000018</v>
      </c>
      <c r="R123" s="206" t="e">
        <f>(Q123+#REF!)/E102*1000</f>
        <v>#REF!</v>
      </c>
      <c r="S123" s="178">
        <f>Q123/$Q$131</f>
        <v>0.17455930387865487</v>
      </c>
      <c r="T123" s="168">
        <f t="shared" si="23"/>
        <v>9900.0000000000018</v>
      </c>
      <c r="U123" s="150">
        <f t="shared" si="21"/>
        <v>9900.0000000000018</v>
      </c>
      <c r="W123" s="169"/>
      <c r="Y123" s="152"/>
      <c r="Z123" s="5">
        <f>T123</f>
        <v>9900.0000000000018</v>
      </c>
      <c r="AA123" s="395"/>
      <c r="AB123" s="280"/>
      <c r="AE123" s="169">
        <f>T123</f>
        <v>9900.0000000000018</v>
      </c>
      <c r="AH123" s="152"/>
    </row>
    <row r="124" spans="1:34" x14ac:dyDescent="0.3">
      <c r="A124" s="157" t="s">
        <v>649</v>
      </c>
      <c r="B124" s="157" t="s">
        <v>78</v>
      </c>
      <c r="C124" s="157"/>
      <c r="D124" s="157" t="s">
        <v>32</v>
      </c>
      <c r="E124" s="157" t="s">
        <v>650</v>
      </c>
      <c r="F124" s="158"/>
      <c r="G124" s="157">
        <v>2</v>
      </c>
      <c r="H124" s="157" t="s">
        <v>58</v>
      </c>
      <c r="I124" s="175">
        <v>2</v>
      </c>
      <c r="J124" s="1"/>
      <c r="K124" s="183">
        <v>2</v>
      </c>
      <c r="L124" s="163"/>
      <c r="M124" s="163">
        <v>2</v>
      </c>
      <c r="N124" s="473">
        <f>265*8</f>
        <v>2120</v>
      </c>
      <c r="O124" s="165">
        <v>0.4</v>
      </c>
      <c r="P124" s="476">
        <f>N124*(1-O124)</f>
        <v>1272</v>
      </c>
      <c r="Q124" s="473">
        <f>P124*G124*M124</f>
        <v>5088</v>
      </c>
      <c r="R124" s="9"/>
      <c r="S124" s="632">
        <f>Q124/$Q$131</f>
        <v>8.971290284187837E-2</v>
      </c>
      <c r="T124" s="168">
        <f t="shared" si="23"/>
        <v>5088</v>
      </c>
      <c r="U124" s="565">
        <f t="shared" si="21"/>
        <v>5088</v>
      </c>
      <c r="Y124" s="152"/>
      <c r="Z124" s="169"/>
      <c r="AA124" s="395"/>
      <c r="AB124" s="280"/>
      <c r="AF124" s="169">
        <f>T124</f>
        <v>5088</v>
      </c>
      <c r="AH124" s="152"/>
    </row>
    <row r="125" spans="1:34" x14ac:dyDescent="0.3">
      <c r="A125" s="157" t="s">
        <v>649</v>
      </c>
      <c r="B125" s="157" t="s">
        <v>41</v>
      </c>
      <c r="C125" s="157" t="s">
        <v>525</v>
      </c>
      <c r="D125" s="157" t="s">
        <v>79</v>
      </c>
      <c r="E125" s="157" t="s">
        <v>520</v>
      </c>
      <c r="F125" s="158" t="s">
        <v>541</v>
      </c>
      <c r="G125" s="157">
        <v>5</v>
      </c>
      <c r="H125" s="157" t="s">
        <v>24</v>
      </c>
      <c r="I125" s="182">
        <v>5</v>
      </c>
      <c r="J125" s="183"/>
      <c r="K125" s="183"/>
      <c r="L125" s="2239"/>
      <c r="M125" s="163">
        <v>1</v>
      </c>
      <c r="N125" s="473">
        <v>1600</v>
      </c>
      <c r="O125" s="165">
        <v>0.7</v>
      </c>
      <c r="P125" s="476">
        <f>N125*(1-O125)</f>
        <v>480.00000000000006</v>
      </c>
      <c r="Q125" s="473">
        <f>P125*G125*M125</f>
        <v>2400.0000000000005</v>
      </c>
      <c r="R125" s="9"/>
      <c r="S125" s="178">
        <f>Q125/$Q$131</f>
        <v>4.2317407000886029E-2</v>
      </c>
      <c r="T125" s="168">
        <f t="shared" si="23"/>
        <v>2400.0000000000005</v>
      </c>
      <c r="U125" s="565"/>
      <c r="W125" s="169">
        <f>T125</f>
        <v>2400.0000000000005</v>
      </c>
      <c r="Y125" s="152"/>
      <c r="Z125" s="5">
        <f>T125</f>
        <v>2400.0000000000005</v>
      </c>
      <c r="AA125" s="395"/>
      <c r="AB125" s="280"/>
      <c r="AG125" s="169">
        <f>T125</f>
        <v>2400.0000000000005</v>
      </c>
      <c r="AH125" s="152"/>
    </row>
    <row r="126" spans="1:34" x14ac:dyDescent="0.3">
      <c r="A126" s="157"/>
      <c r="B126" s="157"/>
      <c r="C126" s="157"/>
      <c r="D126" s="157"/>
      <c r="E126" s="157"/>
      <c r="F126" s="158"/>
      <c r="G126" s="157"/>
      <c r="H126" s="157"/>
      <c r="I126" s="474"/>
      <c r="J126" s="1"/>
      <c r="K126" s="1"/>
      <c r="L126" s="163"/>
      <c r="M126" s="163"/>
      <c r="N126" s="473"/>
      <c r="O126" s="165"/>
      <c r="P126" s="476"/>
      <c r="Q126" s="473"/>
      <c r="R126" s="9"/>
      <c r="S126" s="506"/>
      <c r="T126" s="478"/>
      <c r="U126" s="565"/>
      <c r="Y126" s="152"/>
      <c r="Z126" s="169"/>
      <c r="AA126" s="395"/>
      <c r="AB126" s="280"/>
      <c r="AH126" s="152"/>
    </row>
    <row r="127" spans="1:34" x14ac:dyDescent="0.3">
      <c r="A127" s="157"/>
      <c r="B127" s="157"/>
      <c r="C127" s="157"/>
      <c r="D127" s="157"/>
      <c r="E127" s="157"/>
      <c r="F127" s="158"/>
      <c r="G127" s="157"/>
      <c r="H127" s="157"/>
      <c r="I127" s="474"/>
      <c r="J127" s="1"/>
      <c r="K127" s="1"/>
      <c r="L127" s="163"/>
      <c r="M127" s="163"/>
      <c r="N127" s="473"/>
      <c r="O127" s="165"/>
      <c r="P127" s="476"/>
      <c r="Q127" s="473"/>
      <c r="R127" s="9"/>
      <c r="S127" s="506"/>
      <c r="T127" s="478"/>
      <c r="U127" s="565"/>
      <c r="Y127" s="152"/>
      <c r="Z127" s="169"/>
      <c r="AA127" s="395"/>
      <c r="AB127" s="280"/>
      <c r="AH127" s="152"/>
    </row>
    <row r="128" spans="1:34" x14ac:dyDescent="0.3">
      <c r="A128" s="190" t="s">
        <v>649</v>
      </c>
      <c r="B128" s="190" t="s">
        <v>528</v>
      </c>
      <c r="C128" s="190"/>
      <c r="D128" s="190"/>
      <c r="E128" s="190"/>
      <c r="F128" s="191"/>
      <c r="G128" s="190"/>
      <c r="H128" s="190"/>
      <c r="I128" s="192"/>
      <c r="J128" s="193"/>
      <c r="K128" s="193"/>
      <c r="L128" s="630"/>
      <c r="M128" s="630"/>
      <c r="N128" s="194"/>
      <c r="O128" s="195"/>
      <c r="P128" s="186"/>
      <c r="Q128" s="166"/>
      <c r="R128" s="288"/>
      <c r="S128" s="196"/>
      <c r="T128" s="168">
        <f>Q128</f>
        <v>0</v>
      </c>
      <c r="U128" s="150"/>
      <c r="X128" s="169">
        <f>T128</f>
        <v>0</v>
      </c>
      <c r="Y128" s="152"/>
      <c r="AA128" s="395"/>
      <c r="AB128" s="280"/>
      <c r="AH128" s="152"/>
    </row>
    <row r="129" spans="1:34" x14ac:dyDescent="0.3">
      <c r="A129" s="108" t="s">
        <v>649</v>
      </c>
      <c r="B129" s="108" t="s">
        <v>529</v>
      </c>
      <c r="C129" s="108"/>
      <c r="D129" s="108" t="s">
        <v>530</v>
      </c>
      <c r="E129" s="108"/>
      <c r="F129" s="479"/>
      <c r="G129" s="108"/>
      <c r="H129" s="108"/>
      <c r="I129" s="254"/>
      <c r="J129" s="254"/>
      <c r="K129" s="254"/>
      <c r="L129" s="254"/>
      <c r="M129" s="108"/>
      <c r="N129" s="257"/>
      <c r="O129" s="109"/>
      <c r="P129" s="290"/>
      <c r="Q129" s="257">
        <v>3000</v>
      </c>
      <c r="R129" s="480"/>
      <c r="S129" s="291">
        <f>Q129/Q131</f>
        <v>5.2896758751107525E-2</v>
      </c>
      <c r="T129" s="168">
        <f>Q129</f>
        <v>3000</v>
      </c>
      <c r="U129" s="150"/>
      <c r="Y129" s="171">
        <f>T129</f>
        <v>3000</v>
      </c>
      <c r="AA129" s="286"/>
      <c r="AB129" s="280"/>
      <c r="AH129" s="152"/>
    </row>
    <row r="130" spans="1:34" x14ac:dyDescent="0.3">
      <c r="I130" s="115">
        <f>I131/M131</f>
        <v>0.61111111111111116</v>
      </c>
      <c r="J130" s="115"/>
      <c r="K130" s="115">
        <f>K131/M131</f>
        <v>0.3888888888888889</v>
      </c>
      <c r="T130" s="149"/>
      <c r="U130" s="150"/>
      <c r="Y130" s="152"/>
      <c r="AA130" s="286"/>
      <c r="AB130" s="280"/>
      <c r="AH130" s="152"/>
    </row>
    <row r="131" spans="1:34" x14ac:dyDescent="0.3">
      <c r="A131" s="326" t="s">
        <v>531</v>
      </c>
      <c r="B131" s="327"/>
      <c r="C131" s="327"/>
      <c r="D131" s="327"/>
      <c r="E131" s="327"/>
      <c r="F131" s="328"/>
      <c r="G131" s="327"/>
      <c r="H131" s="327"/>
      <c r="I131" s="327">
        <f>I125+I124+I122+I121+I120+I119</f>
        <v>22</v>
      </c>
      <c r="J131" s="327"/>
      <c r="K131" s="327">
        <f>K124+K123</f>
        <v>14</v>
      </c>
      <c r="L131" s="327"/>
      <c r="M131" s="327">
        <f>SUM(I131:L131)</f>
        <v>36</v>
      </c>
      <c r="N131" s="329"/>
      <c r="O131" s="330"/>
      <c r="P131" s="329"/>
      <c r="Q131" s="331">
        <f>SUM(Q119:Q130)</f>
        <v>56714.25</v>
      </c>
      <c r="R131" s="331"/>
      <c r="S131" s="332">
        <f>SUM(S119:S129)</f>
        <v>1</v>
      </c>
      <c r="T131" s="333">
        <f>SUM(T119:T130)</f>
        <v>56714.25</v>
      </c>
      <c r="U131" s="334">
        <f t="shared" ref="U131:AA131" si="25">SUM(U119:U129)</f>
        <v>51314.25</v>
      </c>
      <c r="V131" s="335">
        <f t="shared" si="25"/>
        <v>0</v>
      </c>
      <c r="W131" s="335">
        <f t="shared" si="25"/>
        <v>2400.0000000000005</v>
      </c>
      <c r="X131" s="335">
        <f t="shared" si="25"/>
        <v>0</v>
      </c>
      <c r="Y131" s="337">
        <f t="shared" si="25"/>
        <v>3000</v>
      </c>
      <c r="Z131" s="519">
        <f t="shared" si="25"/>
        <v>23100</v>
      </c>
      <c r="AA131" s="519">
        <f t="shared" si="25"/>
        <v>25526.25</v>
      </c>
      <c r="AB131" s="633">
        <f>SUM(AB119:AB129)</f>
        <v>27000</v>
      </c>
      <c r="AC131" s="335">
        <f>SUM(AC119:AC129)</f>
        <v>3806.2499999999995</v>
      </c>
      <c r="AD131" s="335">
        <f t="shared" ref="AD131:AG131" si="26">SUM(AD119:AD129)</f>
        <v>5520</v>
      </c>
      <c r="AE131" s="335">
        <f t="shared" si="26"/>
        <v>9900.0000000000018</v>
      </c>
      <c r="AF131" s="335">
        <f t="shared" si="26"/>
        <v>5088</v>
      </c>
      <c r="AG131" s="335">
        <f t="shared" si="26"/>
        <v>2400.0000000000005</v>
      </c>
      <c r="AH131" s="593"/>
    </row>
    <row r="132" spans="1:34" x14ac:dyDescent="0.3">
      <c r="A132" s="342" t="s">
        <v>532</v>
      </c>
      <c r="B132" s="343"/>
      <c r="C132" s="343"/>
      <c r="D132" s="343"/>
      <c r="E132" s="343"/>
      <c r="F132" s="344"/>
      <c r="G132" s="343"/>
      <c r="H132" s="343"/>
      <c r="I132" s="343">
        <f>I125+I124+I122+I121+I120+I119</f>
        <v>22</v>
      </c>
      <c r="J132" s="343">
        <f>I125+I122+I121+I120+I119</f>
        <v>20</v>
      </c>
      <c r="K132" s="343">
        <f>I125+K124+K123+I121+I120+I119</f>
        <v>22</v>
      </c>
      <c r="L132" s="343">
        <f>I125+K123+I121+I120+I119</f>
        <v>20</v>
      </c>
      <c r="M132" s="343">
        <f>SUM(I132:L132)</f>
        <v>84</v>
      </c>
      <c r="N132" s="345"/>
      <c r="O132" s="346"/>
      <c r="P132" s="345"/>
      <c r="Q132" s="345"/>
      <c r="R132" s="345"/>
      <c r="S132" s="347"/>
      <c r="T132" s="348"/>
      <c r="U132" s="349">
        <f>U131/T131</f>
        <v>0.9047858342480064</v>
      </c>
      <c r="V132" s="350">
        <f>V131/T131</f>
        <v>0</v>
      </c>
      <c r="W132" s="350">
        <f>W131/T131</f>
        <v>4.2317407000886029E-2</v>
      </c>
      <c r="X132" s="350">
        <f>X131/T131</f>
        <v>0</v>
      </c>
      <c r="Y132" s="352">
        <f>Y131/T131</f>
        <v>5.2896758751107525E-2</v>
      </c>
      <c r="Z132" s="522">
        <f>Z131/T131</f>
        <v>0.40730504238352794</v>
      </c>
      <c r="AA132" s="522">
        <f>AA131/T131</f>
        <v>0.45008529602348618</v>
      </c>
      <c r="AB132" s="591"/>
      <c r="AC132" s="524"/>
      <c r="AD132" s="524"/>
      <c r="AE132" s="524"/>
      <c r="AF132" s="524"/>
      <c r="AG132" s="524"/>
      <c r="AH132" s="356"/>
    </row>
    <row r="133" spans="1:34" x14ac:dyDescent="0.3">
      <c r="A133" s="243" t="s">
        <v>533</v>
      </c>
      <c r="B133" s="193"/>
      <c r="C133" s="193"/>
      <c r="D133" s="193"/>
      <c r="E133" s="193"/>
      <c r="F133" s="244"/>
      <c r="G133" s="193"/>
      <c r="H133" s="193"/>
      <c r="I133" s="2187">
        <v>0.25</v>
      </c>
      <c r="J133" s="245"/>
      <c r="K133" s="245"/>
      <c r="L133" s="245"/>
      <c r="M133" s="193"/>
      <c r="N133" s="246"/>
      <c r="O133" s="196"/>
      <c r="P133" s="246"/>
      <c r="Q133" s="194">
        <f>U131</f>
        <v>51314.25</v>
      </c>
      <c r="R133" s="288"/>
      <c r="S133" s="247">
        <f>Q133/Q138</f>
        <v>0.9047858342480064</v>
      </c>
      <c r="Y133" s="248"/>
      <c r="Z133" s="357">
        <f>I122+K123+I125</f>
        <v>29</v>
      </c>
      <c r="AA133" s="358">
        <f>I119+I120+I121</f>
        <v>3</v>
      </c>
    </row>
    <row r="134" spans="1:34" x14ac:dyDescent="0.3">
      <c r="A134" s="251" t="s">
        <v>11</v>
      </c>
      <c r="B134" s="252"/>
      <c r="C134" s="252"/>
      <c r="D134" s="252"/>
      <c r="E134" s="252"/>
      <c r="F134" s="253"/>
      <c r="G134" s="252"/>
      <c r="H134" s="252"/>
      <c r="I134" s="254"/>
      <c r="J134" s="254"/>
      <c r="K134" s="254"/>
      <c r="L134" s="254"/>
      <c r="M134" s="252"/>
      <c r="N134" s="255"/>
      <c r="O134" s="256"/>
      <c r="P134" s="255"/>
      <c r="Q134" s="257">
        <f>V131</f>
        <v>0</v>
      </c>
      <c r="R134" s="290"/>
      <c r="S134" s="256">
        <f>Q134/Q138</f>
        <v>0</v>
      </c>
      <c r="T134" s="525">
        <f>Q131/M131</f>
        <v>1575.3958333333333</v>
      </c>
      <c r="U134" s="526" t="s">
        <v>535</v>
      </c>
      <c r="Z134" s="195">
        <f>Z133/M131</f>
        <v>0.80555555555555558</v>
      </c>
      <c r="AA134" s="247">
        <f>AA133/M131</f>
        <v>8.3333333333333329E-2</v>
      </c>
    </row>
    <row r="135" spans="1:34" x14ac:dyDescent="0.3">
      <c r="A135" s="251" t="s">
        <v>536</v>
      </c>
      <c r="B135" s="252"/>
      <c r="C135" s="252"/>
      <c r="D135" s="252"/>
      <c r="E135" s="252"/>
      <c r="F135" s="253"/>
      <c r="G135" s="252"/>
      <c r="H135" s="252"/>
      <c r="I135" s="254"/>
      <c r="J135" s="254"/>
      <c r="K135" s="254"/>
      <c r="L135" s="254"/>
      <c r="M135" s="252"/>
      <c r="N135" s="255"/>
      <c r="O135" s="256"/>
      <c r="P135" s="255"/>
      <c r="Q135" s="257">
        <f>W131</f>
        <v>2400.0000000000005</v>
      </c>
      <c r="R135" s="290"/>
      <c r="S135" s="262">
        <f>Q135/Q138</f>
        <v>4.2317407000886029E-2</v>
      </c>
      <c r="V135" s="263"/>
      <c r="X135" s="99"/>
      <c r="Z135" s="2265" t="s">
        <v>537</v>
      </c>
      <c r="AA135" s="2265"/>
    </row>
    <row r="136" spans="1:34" x14ac:dyDescent="0.3">
      <c r="A136" s="251" t="s">
        <v>529</v>
      </c>
      <c r="B136" s="252"/>
      <c r="C136" s="252"/>
      <c r="D136" s="252"/>
      <c r="E136" s="252"/>
      <c r="F136" s="253"/>
      <c r="G136" s="252"/>
      <c r="H136" s="252"/>
      <c r="I136" s="254"/>
      <c r="J136" s="254"/>
      <c r="K136" s="254"/>
      <c r="L136" s="254"/>
      <c r="M136" s="252"/>
      <c r="N136" s="255"/>
      <c r="O136" s="256"/>
      <c r="P136" s="255"/>
      <c r="Q136" s="257">
        <f>Y131</f>
        <v>3000</v>
      </c>
      <c r="R136" s="290"/>
      <c r="S136" s="262">
        <f>Q136/Q138</f>
        <v>5.2896758751107525E-2</v>
      </c>
      <c r="V136" s="263"/>
    </row>
    <row r="137" spans="1:34" x14ac:dyDescent="0.3">
      <c r="A137" s="251" t="s">
        <v>528</v>
      </c>
      <c r="B137" s="252"/>
      <c r="C137" s="252"/>
      <c r="D137" s="252"/>
      <c r="E137" s="252"/>
      <c r="F137" s="253"/>
      <c r="G137" s="252"/>
      <c r="H137" s="252"/>
      <c r="I137" s="254"/>
      <c r="J137" s="254"/>
      <c r="K137" s="254"/>
      <c r="L137" s="254"/>
      <c r="M137" s="252"/>
      <c r="N137" s="255"/>
      <c r="O137" s="256"/>
      <c r="P137" s="255"/>
      <c r="Q137" s="257">
        <f>X131</f>
        <v>0</v>
      </c>
      <c r="R137" s="290"/>
      <c r="S137" s="262">
        <f>Q137/Q138</f>
        <v>0</v>
      </c>
    </row>
    <row r="138" spans="1:34" x14ac:dyDescent="0.3">
      <c r="A138" s="251"/>
      <c r="B138" s="252"/>
      <c r="C138" s="252"/>
      <c r="D138" s="252"/>
      <c r="E138" s="252"/>
      <c r="F138" s="253"/>
      <c r="G138" s="252"/>
      <c r="H138" s="252"/>
      <c r="I138" s="254"/>
      <c r="J138" s="254"/>
      <c r="K138" s="254"/>
      <c r="L138" s="254"/>
      <c r="M138" s="252"/>
      <c r="N138" s="255"/>
      <c r="O138" s="256"/>
      <c r="P138" s="255"/>
      <c r="Q138" s="264">
        <f>SUM(Q133:Q137)</f>
        <v>56714.25</v>
      </c>
      <c r="R138" s="490"/>
      <c r="S138" s="262">
        <f>SUM(S133:S137)</f>
        <v>1</v>
      </c>
    </row>
    <row r="142" spans="1:34" x14ac:dyDescent="0.3">
      <c r="E142" s="1" t="s">
        <v>562</v>
      </c>
      <c r="F142" s="2" t="s">
        <v>656</v>
      </c>
    </row>
    <row r="143" spans="1:34" x14ac:dyDescent="0.3">
      <c r="E143" s="1" t="s">
        <v>473</v>
      </c>
      <c r="F143" s="2" t="s">
        <v>51</v>
      </c>
    </row>
    <row r="144" spans="1:34" x14ac:dyDescent="0.3">
      <c r="E144" s="1" t="s">
        <v>475</v>
      </c>
      <c r="F144" s="2" t="s">
        <v>657</v>
      </c>
    </row>
    <row r="145" spans="1:34" x14ac:dyDescent="0.3">
      <c r="E145" s="1" t="s">
        <v>477</v>
      </c>
      <c r="F145" s="2" t="s">
        <v>658</v>
      </c>
    </row>
    <row r="147" spans="1:34" ht="18" x14ac:dyDescent="0.35">
      <c r="A147" s="118" t="s">
        <v>567</v>
      </c>
      <c r="S147" s="98"/>
    </row>
    <row r="148" spans="1:34" ht="18" x14ac:dyDescent="0.35">
      <c r="A148" s="118"/>
      <c r="S148" s="98"/>
    </row>
    <row r="149" spans="1:34" x14ac:dyDescent="0.3">
      <c r="A149" s="2335" t="s">
        <v>480</v>
      </c>
      <c r="B149" s="2336"/>
      <c r="C149" s="2336"/>
      <c r="D149" s="2336"/>
      <c r="E149" s="2336"/>
      <c r="F149" s="2336"/>
      <c r="G149" s="2336"/>
      <c r="H149" s="2336"/>
      <c r="I149" s="2336"/>
      <c r="J149" s="2336"/>
      <c r="K149" s="2336"/>
      <c r="L149" s="2336"/>
      <c r="M149" s="2336"/>
      <c r="N149" s="2336"/>
      <c r="O149" s="2336"/>
      <c r="P149" s="2336"/>
      <c r="Q149" s="2336"/>
      <c r="R149" s="2336"/>
      <c r="S149" s="2337"/>
      <c r="T149" s="2338" t="s">
        <v>584</v>
      </c>
      <c r="U149" s="2339"/>
      <c r="V149" s="2339"/>
      <c r="W149" s="2339"/>
      <c r="X149" s="2339"/>
      <c r="Y149" s="2339"/>
      <c r="Z149" s="2339"/>
      <c r="AA149" s="2339"/>
      <c r="AB149" s="2339"/>
      <c r="AC149" s="2339"/>
      <c r="AD149" s="2339"/>
      <c r="AE149" s="2339"/>
      <c r="AF149" s="2339"/>
      <c r="AG149" s="2339"/>
      <c r="AH149" s="2340"/>
    </row>
    <row r="150" spans="1:34" ht="15.6" x14ac:dyDescent="0.3">
      <c r="A150" s="2227" t="s">
        <v>482</v>
      </c>
      <c r="B150" s="2215" t="s">
        <v>483</v>
      </c>
      <c r="C150" s="2215" t="s">
        <v>484</v>
      </c>
      <c r="D150" s="2215" t="s">
        <v>555</v>
      </c>
      <c r="E150" s="2215" t="s">
        <v>556</v>
      </c>
      <c r="F150" s="2213" t="s">
        <v>487</v>
      </c>
      <c r="G150" s="2215" t="s">
        <v>557</v>
      </c>
      <c r="H150" s="2215" t="s">
        <v>489</v>
      </c>
      <c r="I150" s="2217" t="s">
        <v>490</v>
      </c>
      <c r="J150" s="373"/>
      <c r="K150" s="373"/>
      <c r="L150" s="2218"/>
      <c r="M150" s="374" t="s">
        <v>491</v>
      </c>
      <c r="N150" s="375" t="s">
        <v>558</v>
      </c>
      <c r="O150" s="376" t="s">
        <v>493</v>
      </c>
      <c r="P150" s="375" t="s">
        <v>558</v>
      </c>
      <c r="Q150" s="375" t="s">
        <v>559</v>
      </c>
      <c r="R150" s="534" t="s">
        <v>585</v>
      </c>
      <c r="S150" s="2327" t="s">
        <v>495</v>
      </c>
      <c r="T150" s="535" t="s">
        <v>496</v>
      </c>
      <c r="U150" s="2329" t="s">
        <v>497</v>
      </c>
      <c r="V150" s="2330"/>
      <c r="W150" s="2330"/>
      <c r="X150" s="2330"/>
      <c r="Y150" s="2331"/>
      <c r="Z150" s="2317" t="s">
        <v>498</v>
      </c>
      <c r="AA150" s="2319"/>
      <c r="AB150" s="2318"/>
      <c r="AC150" s="2318"/>
      <c r="AD150" s="2318"/>
      <c r="AE150" s="2318"/>
      <c r="AF150" s="2318"/>
      <c r="AG150" s="2318"/>
      <c r="AH150" s="2319"/>
    </row>
    <row r="151" spans="1:34" ht="15.6" x14ac:dyDescent="0.3">
      <c r="A151" s="2341"/>
      <c r="B151" s="2326"/>
      <c r="C151" s="2326"/>
      <c r="D151" s="2326"/>
      <c r="E151" s="2326"/>
      <c r="F151" s="2342"/>
      <c r="G151" s="2326"/>
      <c r="H151" s="2326"/>
      <c r="I151" s="536" t="s">
        <v>500</v>
      </c>
      <c r="J151" s="536" t="s">
        <v>501</v>
      </c>
      <c r="K151" s="536" t="s">
        <v>502</v>
      </c>
      <c r="L151" s="536" t="s">
        <v>503</v>
      </c>
      <c r="M151" s="537" t="s">
        <v>504</v>
      </c>
      <c r="N151" s="538" t="s">
        <v>505</v>
      </c>
      <c r="O151" s="539" t="s">
        <v>506</v>
      </c>
      <c r="P151" s="538" t="s">
        <v>507</v>
      </c>
      <c r="Q151" s="538" t="s">
        <v>560</v>
      </c>
      <c r="R151" s="538"/>
      <c r="S151" s="2328"/>
      <c r="T151" s="540" t="s">
        <v>508</v>
      </c>
      <c r="U151" s="2332"/>
      <c r="V151" s="2333"/>
      <c r="W151" s="2333"/>
      <c r="X151" s="2333"/>
      <c r="Y151" s="2334"/>
      <c r="Z151" s="2320"/>
      <c r="AA151" s="2322"/>
      <c r="AB151" s="2321"/>
      <c r="AC151" s="2321"/>
      <c r="AD151" s="2321"/>
      <c r="AE151" s="2321"/>
      <c r="AF151" s="2321"/>
      <c r="AG151" s="2321"/>
      <c r="AH151" s="2322"/>
    </row>
    <row r="152" spans="1:34" ht="18" x14ac:dyDescent="0.35">
      <c r="A152" s="2379" t="s">
        <v>568</v>
      </c>
      <c r="B152" s="2380"/>
      <c r="C152" s="2380"/>
      <c r="D152" s="2380"/>
      <c r="E152" s="2380"/>
      <c r="F152" s="2380"/>
      <c r="G152" s="2380"/>
      <c r="H152" s="2380"/>
      <c r="I152" s="2380"/>
      <c r="J152" s="2380"/>
      <c r="K152" s="2380"/>
      <c r="L152" s="2380"/>
      <c r="M152" s="2380"/>
      <c r="N152" s="2380"/>
      <c r="O152" s="2380"/>
      <c r="P152" s="2380"/>
      <c r="Q152" s="2380"/>
      <c r="R152" s="2380"/>
      <c r="S152" s="2381"/>
      <c r="T152" s="559"/>
      <c r="U152" s="560" t="s">
        <v>510</v>
      </c>
      <c r="V152" s="561" t="s">
        <v>11</v>
      </c>
      <c r="W152" s="561" t="s">
        <v>511</v>
      </c>
      <c r="X152" s="561" t="s">
        <v>512</v>
      </c>
      <c r="Y152" s="562" t="s">
        <v>513</v>
      </c>
      <c r="Z152" s="563" t="s">
        <v>514</v>
      </c>
      <c r="AA152" s="562" t="s">
        <v>515</v>
      </c>
      <c r="AB152" s="563" t="s">
        <v>69</v>
      </c>
      <c r="AC152" s="561" t="s">
        <v>70</v>
      </c>
      <c r="AD152" s="561" t="s">
        <v>19</v>
      </c>
      <c r="AE152" s="561" t="s">
        <v>71</v>
      </c>
      <c r="AF152" s="561" t="s">
        <v>72</v>
      </c>
      <c r="AG152" s="561" t="s">
        <v>5</v>
      </c>
      <c r="AH152" s="562"/>
    </row>
    <row r="153" spans="1:34" x14ac:dyDescent="0.3">
      <c r="A153" s="153"/>
      <c r="B153" s="462"/>
      <c r="C153" s="462"/>
      <c r="D153" s="462"/>
      <c r="E153" s="462"/>
      <c r="F153" s="463"/>
      <c r="G153" s="462"/>
      <c r="H153" s="462"/>
      <c r="I153" s="465"/>
      <c r="J153" s="465"/>
      <c r="K153" s="465"/>
      <c r="L153" s="465"/>
      <c r="M153" s="462"/>
      <c r="N153" s="468"/>
      <c r="O153" s="469"/>
      <c r="P153" s="468"/>
      <c r="Q153" s="468"/>
      <c r="R153" s="468"/>
      <c r="S153" s="634"/>
      <c r="T153" s="149"/>
      <c r="U153" s="150"/>
      <c r="Y153" s="152"/>
      <c r="Z153" s="280"/>
      <c r="AA153" s="152"/>
      <c r="AB153" s="280"/>
      <c r="AH153" s="152"/>
    </row>
    <row r="154" spans="1:34" x14ac:dyDescent="0.3">
      <c r="A154" s="156" t="s">
        <v>649</v>
      </c>
      <c r="B154" s="157" t="s">
        <v>74</v>
      </c>
      <c r="C154" s="157" t="s">
        <v>517</v>
      </c>
      <c r="D154" s="157" t="s">
        <v>21</v>
      </c>
      <c r="E154" s="157" t="s">
        <v>518</v>
      </c>
      <c r="F154" s="158" t="s">
        <v>523</v>
      </c>
      <c r="G154" s="157">
        <v>1</v>
      </c>
      <c r="H154" s="157" t="s">
        <v>24</v>
      </c>
      <c r="I154" s="159">
        <v>1</v>
      </c>
      <c r="J154" s="161"/>
      <c r="K154" s="161"/>
      <c r="L154" s="2209"/>
      <c r="M154" s="163">
        <v>1</v>
      </c>
      <c r="N154" s="166">
        <f>3750*(1+45%)</f>
        <v>5437.5</v>
      </c>
      <c r="O154" s="173">
        <v>0.3</v>
      </c>
      <c r="P154" s="166">
        <f>N154*(1-O154)</f>
        <v>3806.2499999999995</v>
      </c>
      <c r="Q154" s="166">
        <f t="shared" ref="Q154:Q157" si="27">P154*M154*G154</f>
        <v>3806.2499999999995</v>
      </c>
      <c r="R154" s="206" t="e">
        <f>(Q154+Q155+#REF!+#REF!)/E137*1000</f>
        <v>#REF!</v>
      </c>
      <c r="S154" s="318">
        <f t="shared" ref="S154:S159" si="28">Q154/$Q$165</f>
        <v>0.1264104416270207</v>
      </c>
      <c r="T154" s="168">
        <f>Q154*2</f>
        <v>7612.4999999999991</v>
      </c>
      <c r="U154" s="150">
        <f t="shared" ref="U154:U158" si="29">T154</f>
        <v>7612.4999999999991</v>
      </c>
      <c r="V154" s="169"/>
      <c r="Y154" s="152"/>
      <c r="Z154" s="282"/>
      <c r="AA154" s="171">
        <f>T154</f>
        <v>7612.4999999999991</v>
      </c>
      <c r="AB154" s="282"/>
      <c r="AC154" s="169">
        <f>T154</f>
        <v>7612.4999999999991</v>
      </c>
      <c r="AH154" s="152"/>
    </row>
    <row r="155" spans="1:34" x14ac:dyDescent="0.3">
      <c r="A155" s="156" t="s">
        <v>649</v>
      </c>
      <c r="B155" s="157" t="s">
        <v>75</v>
      </c>
      <c r="C155" s="157" t="s">
        <v>517</v>
      </c>
      <c r="D155" s="157" t="s">
        <v>21</v>
      </c>
      <c r="E155" s="157" t="s">
        <v>518</v>
      </c>
      <c r="F155" s="158" t="s">
        <v>523</v>
      </c>
      <c r="G155" s="157">
        <v>1</v>
      </c>
      <c r="H155" s="157" t="s">
        <v>24</v>
      </c>
      <c r="I155" s="159">
        <v>1</v>
      </c>
      <c r="J155" s="161"/>
      <c r="K155" s="161"/>
      <c r="L155" s="2209"/>
      <c r="M155" s="163">
        <v>1</v>
      </c>
      <c r="N155" s="166">
        <f>(6600+7200)/2</f>
        <v>6900</v>
      </c>
      <c r="O155" s="173">
        <v>0.2</v>
      </c>
      <c r="P155" s="166">
        <f t="shared" ref="P155:P157" si="30">N155*(1-O155)</f>
        <v>5520</v>
      </c>
      <c r="Q155" s="166">
        <f t="shared" si="27"/>
        <v>5520</v>
      </c>
      <c r="R155" s="206"/>
      <c r="S155" s="318">
        <f t="shared" si="28"/>
        <v>0.18332627593593545</v>
      </c>
      <c r="T155" s="168">
        <f t="shared" ref="T155:T159" si="31">Q155*2</f>
        <v>11040</v>
      </c>
      <c r="U155" s="150">
        <f t="shared" si="29"/>
        <v>11040</v>
      </c>
      <c r="V155" s="169"/>
      <c r="Y155" s="152"/>
      <c r="Z155" s="282"/>
      <c r="AA155" s="171">
        <f>T155</f>
        <v>11040</v>
      </c>
      <c r="AB155" s="280"/>
      <c r="AD155" s="169">
        <f>T155</f>
        <v>11040</v>
      </c>
      <c r="AH155" s="152"/>
    </row>
    <row r="156" spans="1:34" x14ac:dyDescent="0.3">
      <c r="A156" s="156" t="s">
        <v>649</v>
      </c>
      <c r="B156" s="157" t="s">
        <v>76</v>
      </c>
      <c r="C156" s="157" t="s">
        <v>517</v>
      </c>
      <c r="D156" s="157" t="s">
        <v>27</v>
      </c>
      <c r="E156" s="157" t="s">
        <v>520</v>
      </c>
      <c r="F156" s="158" t="s">
        <v>519</v>
      </c>
      <c r="G156" s="157">
        <v>8</v>
      </c>
      <c r="H156" s="157" t="s">
        <v>24</v>
      </c>
      <c r="I156" s="175">
        <v>8</v>
      </c>
      <c r="J156" s="176"/>
      <c r="K156" s="179"/>
      <c r="L156" s="180"/>
      <c r="M156" s="163">
        <v>1</v>
      </c>
      <c r="N156" s="166">
        <f>750*2</f>
        <v>1500</v>
      </c>
      <c r="O156" s="173">
        <v>0.4</v>
      </c>
      <c r="P156" s="166">
        <f t="shared" si="30"/>
        <v>900</v>
      </c>
      <c r="Q156" s="166">
        <f t="shared" si="27"/>
        <v>7200</v>
      </c>
      <c r="R156" s="206" t="e">
        <f>(Q156+#REF!)/E137*1000</f>
        <v>#REF!</v>
      </c>
      <c r="S156" s="320">
        <f t="shared" si="28"/>
        <v>0.23912122948165493</v>
      </c>
      <c r="T156" s="168">
        <f t="shared" si="31"/>
        <v>14400</v>
      </c>
      <c r="U156" s="150">
        <f t="shared" si="29"/>
        <v>14400</v>
      </c>
      <c r="W156" s="169"/>
      <c r="Y156" s="152"/>
      <c r="Z156" s="283">
        <f>T156</f>
        <v>14400</v>
      </c>
      <c r="AA156" s="171"/>
      <c r="AB156" s="282">
        <f>T156</f>
        <v>14400</v>
      </c>
      <c r="AH156" s="152"/>
    </row>
    <row r="157" spans="1:34" x14ac:dyDescent="0.3">
      <c r="A157" s="156" t="s">
        <v>649</v>
      </c>
      <c r="B157" s="157" t="s">
        <v>77</v>
      </c>
      <c r="C157" s="157" t="s">
        <v>517</v>
      </c>
      <c r="D157" s="157" t="s">
        <v>27</v>
      </c>
      <c r="E157" s="157" t="s">
        <v>520</v>
      </c>
      <c r="F157" s="158" t="s">
        <v>519</v>
      </c>
      <c r="G157" s="157">
        <v>8</v>
      </c>
      <c r="H157" s="157" t="s">
        <v>24</v>
      </c>
      <c r="I157" s="474"/>
      <c r="J157" s="1"/>
      <c r="K157" s="176">
        <v>8</v>
      </c>
      <c r="L157" s="177"/>
      <c r="M157" s="163">
        <v>1</v>
      </c>
      <c r="N157" s="166">
        <f>750*2</f>
        <v>1500</v>
      </c>
      <c r="O157" s="173">
        <v>0.45</v>
      </c>
      <c r="P157" s="166">
        <f t="shared" si="30"/>
        <v>825.00000000000011</v>
      </c>
      <c r="Q157" s="166">
        <f t="shared" si="27"/>
        <v>6600.0000000000009</v>
      </c>
      <c r="R157" s="206" t="e">
        <f>(Q157+#REF!)/E139*1000</f>
        <v>#REF!</v>
      </c>
      <c r="S157" s="320">
        <f t="shared" si="28"/>
        <v>0.21919446035818371</v>
      </c>
      <c r="T157" s="168">
        <f t="shared" si="31"/>
        <v>13200.000000000002</v>
      </c>
      <c r="U157" s="150">
        <f t="shared" si="29"/>
        <v>13200.000000000002</v>
      </c>
      <c r="W157" s="169"/>
      <c r="Y157" s="152"/>
      <c r="Z157" s="283">
        <f>T157</f>
        <v>13200.000000000002</v>
      </c>
      <c r="AA157" s="171"/>
      <c r="AB157" s="280"/>
      <c r="AE157" s="169">
        <f>T157</f>
        <v>13200.000000000002</v>
      </c>
      <c r="AH157" s="152"/>
    </row>
    <row r="158" spans="1:34" x14ac:dyDescent="0.3">
      <c r="A158" s="156" t="s">
        <v>649</v>
      </c>
      <c r="B158" s="157" t="s">
        <v>78</v>
      </c>
      <c r="C158" s="157"/>
      <c r="D158" s="157" t="s">
        <v>32</v>
      </c>
      <c r="E158" s="157" t="s">
        <v>650</v>
      </c>
      <c r="F158" s="158"/>
      <c r="G158" s="157">
        <v>1</v>
      </c>
      <c r="H158" s="157" t="s">
        <v>58</v>
      </c>
      <c r="I158" s="175">
        <v>1</v>
      </c>
      <c r="J158" s="1"/>
      <c r="K158" s="183">
        <v>1</v>
      </c>
      <c r="L158" s="163"/>
      <c r="M158" s="163">
        <v>2</v>
      </c>
      <c r="N158" s="473">
        <f>265*8</f>
        <v>2120</v>
      </c>
      <c r="O158" s="165">
        <v>0.4</v>
      </c>
      <c r="P158" s="476">
        <f>N158*(1-O158)</f>
        <v>1272</v>
      </c>
      <c r="Q158" s="473">
        <f>P158*G158*M158</f>
        <v>2544</v>
      </c>
      <c r="R158" s="9"/>
      <c r="S158" s="629">
        <f t="shared" si="28"/>
        <v>8.4489501083518076E-2</v>
      </c>
      <c r="T158" s="168">
        <f t="shared" si="31"/>
        <v>5088</v>
      </c>
      <c r="U158" s="565">
        <f t="shared" si="29"/>
        <v>5088</v>
      </c>
      <c r="Y158" s="152"/>
      <c r="Z158" s="282"/>
      <c r="AA158" s="171"/>
      <c r="AB158" s="280"/>
      <c r="AF158" s="169">
        <f>T158</f>
        <v>5088</v>
      </c>
      <c r="AH158" s="152"/>
    </row>
    <row r="159" spans="1:34" x14ac:dyDescent="0.3">
      <c r="A159" s="156" t="s">
        <v>649</v>
      </c>
      <c r="B159" s="157" t="s">
        <v>41</v>
      </c>
      <c r="C159" s="157" t="s">
        <v>525</v>
      </c>
      <c r="D159" s="157" t="s">
        <v>79</v>
      </c>
      <c r="E159" s="157" t="s">
        <v>520</v>
      </c>
      <c r="F159" s="158" t="s">
        <v>640</v>
      </c>
      <c r="G159" s="157">
        <v>3</v>
      </c>
      <c r="H159" s="157" t="s">
        <v>24</v>
      </c>
      <c r="I159" s="182">
        <v>3</v>
      </c>
      <c r="J159" s="183"/>
      <c r="K159" s="183"/>
      <c r="L159" s="2239"/>
      <c r="M159" s="163">
        <v>1</v>
      </c>
      <c r="N159" s="473">
        <v>1600</v>
      </c>
      <c r="O159" s="165">
        <v>0.7</v>
      </c>
      <c r="P159" s="476">
        <f>N159*(1-O159)</f>
        <v>480.00000000000006</v>
      </c>
      <c r="Q159" s="473">
        <f>P159*G159*M159</f>
        <v>1440.0000000000002</v>
      </c>
      <c r="R159" s="9"/>
      <c r="S159" s="320">
        <f t="shared" si="28"/>
        <v>4.782424589633099E-2</v>
      </c>
      <c r="T159" s="168">
        <f t="shared" si="31"/>
        <v>2880.0000000000005</v>
      </c>
      <c r="U159" s="565"/>
      <c r="W159" s="169">
        <f>T159</f>
        <v>2880.0000000000005</v>
      </c>
      <c r="Y159" s="152"/>
      <c r="Z159" s="283">
        <f>T159</f>
        <v>2880.0000000000005</v>
      </c>
      <c r="AA159" s="171"/>
      <c r="AB159" s="280"/>
      <c r="AG159" s="169">
        <f>T159</f>
        <v>2880.0000000000005</v>
      </c>
      <c r="AH159" s="152"/>
    </row>
    <row r="160" spans="1:34" x14ac:dyDescent="0.3">
      <c r="A160" s="156"/>
      <c r="B160" s="157"/>
      <c r="C160" s="157"/>
      <c r="D160" s="157"/>
      <c r="E160" s="157"/>
      <c r="F160" s="158"/>
      <c r="G160" s="157"/>
      <c r="H160" s="157"/>
      <c r="I160" s="474"/>
      <c r="J160" s="1"/>
      <c r="K160" s="1"/>
      <c r="L160" s="163"/>
      <c r="M160" s="163"/>
      <c r="N160" s="473"/>
      <c r="O160" s="165"/>
      <c r="P160" s="476"/>
      <c r="Q160" s="473"/>
      <c r="R160" s="9"/>
      <c r="S160" s="477"/>
      <c r="T160" s="478"/>
      <c r="U160" s="565"/>
      <c r="Y160" s="152"/>
      <c r="Z160" s="282"/>
      <c r="AA160" s="171"/>
      <c r="AB160" s="280"/>
      <c r="AH160" s="152"/>
    </row>
    <row r="161" spans="1:34" x14ac:dyDescent="0.3">
      <c r="A161" s="156"/>
      <c r="B161" s="157"/>
      <c r="C161" s="157"/>
      <c r="D161" s="157"/>
      <c r="E161" s="157"/>
      <c r="F161" s="158"/>
      <c r="G161" s="157"/>
      <c r="H161" s="157"/>
      <c r="I161" s="474"/>
      <c r="J161" s="1"/>
      <c r="K161" s="1"/>
      <c r="L161" s="163"/>
      <c r="M161" s="163"/>
      <c r="N161" s="473"/>
      <c r="O161" s="165"/>
      <c r="P161" s="476"/>
      <c r="Q161" s="473"/>
      <c r="R161" s="9"/>
      <c r="S161" s="477"/>
      <c r="T161" s="478"/>
      <c r="U161" s="565"/>
      <c r="Y161" s="152"/>
      <c r="Z161" s="282"/>
      <c r="AA161" s="171"/>
      <c r="AB161" s="280"/>
      <c r="AH161" s="152"/>
    </row>
    <row r="162" spans="1:34" x14ac:dyDescent="0.3">
      <c r="A162" s="189" t="s">
        <v>649</v>
      </c>
      <c r="B162" s="190" t="s">
        <v>528</v>
      </c>
      <c r="C162" s="190"/>
      <c r="D162" s="190"/>
      <c r="E162" s="190"/>
      <c r="F162" s="191"/>
      <c r="G162" s="190"/>
      <c r="H162" s="190"/>
      <c r="I162" s="192"/>
      <c r="J162" s="193"/>
      <c r="K162" s="193"/>
      <c r="L162" s="630"/>
      <c r="M162" s="630"/>
      <c r="N162" s="194"/>
      <c r="O162" s="195"/>
      <c r="P162" s="186"/>
      <c r="Q162" s="166"/>
      <c r="R162" s="288"/>
      <c r="S162" s="323"/>
      <c r="T162" s="168">
        <f>Q162*2</f>
        <v>0</v>
      </c>
      <c r="U162" s="150"/>
      <c r="X162" s="169">
        <f>T162</f>
        <v>0</v>
      </c>
      <c r="Y162" s="152"/>
      <c r="Z162" s="280"/>
      <c r="AA162" s="171"/>
      <c r="AB162" s="280"/>
      <c r="AH162" s="152"/>
    </row>
    <row r="163" spans="1:34" x14ac:dyDescent="0.3">
      <c r="A163" s="365" t="s">
        <v>649</v>
      </c>
      <c r="B163" s="108" t="s">
        <v>529</v>
      </c>
      <c r="C163" s="108"/>
      <c r="D163" s="108" t="s">
        <v>530</v>
      </c>
      <c r="E163" s="108"/>
      <c r="F163" s="479"/>
      <c r="G163" s="108"/>
      <c r="H163" s="108"/>
      <c r="I163" s="254"/>
      <c r="J163" s="254"/>
      <c r="K163" s="254"/>
      <c r="L163" s="254"/>
      <c r="M163" s="108"/>
      <c r="N163" s="257"/>
      <c r="O163" s="109"/>
      <c r="P163" s="290"/>
      <c r="Q163" s="257">
        <v>3000</v>
      </c>
      <c r="R163" s="480"/>
      <c r="S163" s="367">
        <f>Q163/Q165</f>
        <v>9.963384561735622E-2</v>
      </c>
      <c r="T163" s="168">
        <f>Q163*2</f>
        <v>6000</v>
      </c>
      <c r="U163" s="150"/>
      <c r="Y163" s="171">
        <f>T163</f>
        <v>6000</v>
      </c>
      <c r="Z163" s="280"/>
      <c r="AA163" s="152"/>
      <c r="AB163" s="280"/>
      <c r="AH163" s="152"/>
    </row>
    <row r="164" spans="1:34" x14ac:dyDescent="0.3">
      <c r="A164" s="280"/>
      <c r="I164" s="115">
        <f>I165/M165</f>
        <v>0.60869565217391308</v>
      </c>
      <c r="K164" s="115">
        <f>K165/M165</f>
        <v>0.39130434782608697</v>
      </c>
      <c r="N164" s="5"/>
      <c r="O164" s="6"/>
      <c r="P164" s="5"/>
      <c r="Q164" s="5"/>
      <c r="R164" s="5"/>
      <c r="S164" s="322"/>
      <c r="T164" s="149"/>
      <c r="U164" s="150"/>
      <c r="Y164" s="152"/>
      <c r="Z164" s="280"/>
      <c r="AA164" s="152"/>
      <c r="AB164" s="368"/>
      <c r="AC164" s="208"/>
      <c r="AD164" s="208"/>
      <c r="AE164" s="208"/>
      <c r="AF164" s="208"/>
      <c r="AG164" s="208"/>
      <c r="AH164" s="210"/>
    </row>
    <row r="165" spans="1:34" x14ac:dyDescent="0.3">
      <c r="A165" s="396" t="s">
        <v>531</v>
      </c>
      <c r="B165" s="373"/>
      <c r="C165" s="373"/>
      <c r="D165" s="373"/>
      <c r="E165" s="373"/>
      <c r="F165" s="397"/>
      <c r="G165" s="373"/>
      <c r="H165" s="373"/>
      <c r="I165" s="373">
        <f>I159+I158+I156+I155+I154</f>
        <v>14</v>
      </c>
      <c r="J165" s="373"/>
      <c r="K165" s="373">
        <f>K158+K157</f>
        <v>9</v>
      </c>
      <c r="L165" s="373"/>
      <c r="M165" s="373">
        <f>SUM(I165:L165)</f>
        <v>23</v>
      </c>
      <c r="N165" s="398"/>
      <c r="O165" s="399"/>
      <c r="P165" s="398"/>
      <c r="Q165" s="400">
        <f>SUM(Q154:Q164)</f>
        <v>30110.25</v>
      </c>
      <c r="R165" s="400"/>
      <c r="S165" s="401">
        <f>SUM(S154:S163)</f>
        <v>1</v>
      </c>
      <c r="T165" s="402">
        <f>SUM(T154:T164)</f>
        <v>60220.5</v>
      </c>
      <c r="U165" s="403">
        <f t="shared" ref="U165:AA165" si="32">SUM(U154:U163)</f>
        <v>51340.5</v>
      </c>
      <c r="V165" s="404">
        <f t="shared" si="32"/>
        <v>0</v>
      </c>
      <c r="W165" s="404">
        <f t="shared" si="32"/>
        <v>2880.0000000000005</v>
      </c>
      <c r="X165" s="404">
        <f t="shared" si="32"/>
        <v>0</v>
      </c>
      <c r="Y165" s="405">
        <f t="shared" si="32"/>
        <v>6000</v>
      </c>
      <c r="Z165" s="406">
        <f t="shared" si="32"/>
        <v>30480</v>
      </c>
      <c r="AA165" s="405">
        <f t="shared" si="32"/>
        <v>18652.5</v>
      </c>
      <c r="AB165" s="404">
        <f>SUM(AB153:AB164)</f>
        <v>14400</v>
      </c>
      <c r="AC165" s="545">
        <f>SUM(AC154:AC164)</f>
        <v>7612.4999999999991</v>
      </c>
      <c r="AD165" s="545">
        <f>SUM(AD154:AD164)</f>
        <v>11040</v>
      </c>
      <c r="AE165" s="545">
        <f>SUM(AE154:AE164)</f>
        <v>13200.000000000002</v>
      </c>
      <c r="AF165" s="545">
        <f>SUM(AF154:AF164)</f>
        <v>5088</v>
      </c>
      <c r="AG165" s="545">
        <f>SUM(AG154:AG164)</f>
        <v>2880.0000000000005</v>
      </c>
      <c r="AH165" s="597"/>
    </row>
    <row r="166" spans="1:34" x14ac:dyDescent="0.3">
      <c r="A166" s="410" t="s">
        <v>532</v>
      </c>
      <c r="B166" s="411"/>
      <c r="C166" s="411"/>
      <c r="D166" s="411"/>
      <c r="E166" s="411"/>
      <c r="F166" s="412"/>
      <c r="G166" s="411"/>
      <c r="H166" s="411"/>
      <c r="I166" s="411">
        <f>I159+I158+I156+I155+I154</f>
        <v>14</v>
      </c>
      <c r="J166" s="411">
        <f>I159+I156+I155+I154</f>
        <v>13</v>
      </c>
      <c r="K166" s="411">
        <f>I159+K158+K157+I155+I154</f>
        <v>14</v>
      </c>
      <c r="L166" s="411">
        <f>I159+K157+I155+I154</f>
        <v>13</v>
      </c>
      <c r="M166" s="411">
        <f>SUM(I166:L166)</f>
        <v>54</v>
      </c>
      <c r="N166" s="413"/>
      <c r="O166" s="414"/>
      <c r="P166" s="413"/>
      <c r="Q166" s="413"/>
      <c r="R166" s="413"/>
      <c r="S166" s="415"/>
      <c r="T166" s="416"/>
      <c r="U166" s="598">
        <f>U165/T165</f>
        <v>0.85254190848631284</v>
      </c>
      <c r="V166" s="418">
        <f>V165/T165</f>
        <v>0</v>
      </c>
      <c r="W166" s="418">
        <f>W165/T165</f>
        <v>4.782424589633099E-2</v>
      </c>
      <c r="X166" s="418">
        <f>X165/T165</f>
        <v>0</v>
      </c>
      <c r="Y166" s="419">
        <f>Y165/T165</f>
        <v>9.963384561735622E-2</v>
      </c>
      <c r="Z166" s="420">
        <f>Z165/T165</f>
        <v>0.50613993573616956</v>
      </c>
      <c r="AA166" s="419">
        <f>AA165/T165</f>
        <v>0.30973671756295612</v>
      </c>
      <c r="AB166" s="549"/>
      <c r="AC166" s="550"/>
      <c r="AD166" s="550"/>
      <c r="AE166" s="550"/>
      <c r="AF166" s="550"/>
      <c r="AG166" s="550"/>
      <c r="AH166" s="424"/>
    </row>
    <row r="167" spans="1:34" x14ac:dyDescent="0.3">
      <c r="A167" s="243" t="s">
        <v>533</v>
      </c>
      <c r="B167" s="193"/>
      <c r="C167" s="193"/>
      <c r="D167" s="193"/>
      <c r="E167" s="193"/>
      <c r="F167" s="244"/>
      <c r="G167" s="193"/>
      <c r="H167" s="193"/>
      <c r="I167" s="2182">
        <f>I166/M166</f>
        <v>0.25925925925925924</v>
      </c>
      <c r="J167" s="2182">
        <f>J166/M166</f>
        <v>0.24074074074074073</v>
      </c>
      <c r="K167" s="245"/>
      <c r="L167" s="245"/>
      <c r="M167" s="193"/>
      <c r="N167" s="246"/>
      <c r="O167" s="196"/>
      <c r="P167" s="246"/>
      <c r="Q167" s="194">
        <f>U165/2</f>
        <v>25670.25</v>
      </c>
      <c r="R167" s="288"/>
      <c r="S167" s="247">
        <f>Q167/Q172</f>
        <v>0.85254190848631284</v>
      </c>
      <c r="Y167" s="248"/>
      <c r="Z167" s="357">
        <f>I156+K157+I159</f>
        <v>19</v>
      </c>
      <c r="AA167" s="358">
        <f>I154+I155</f>
        <v>2</v>
      </c>
    </row>
    <row r="168" spans="1:34" x14ac:dyDescent="0.3">
      <c r="A168" s="251" t="s">
        <v>11</v>
      </c>
      <c r="B168" s="252"/>
      <c r="C168" s="252"/>
      <c r="D168" s="252"/>
      <c r="E168" s="252"/>
      <c r="F168" s="253"/>
      <c r="G168" s="252"/>
      <c r="H168" s="252"/>
      <c r="I168" s="254"/>
      <c r="J168" s="254"/>
      <c r="K168" s="254"/>
      <c r="L168" s="254"/>
      <c r="M168" s="252"/>
      <c r="N168" s="255"/>
      <c r="O168" s="256"/>
      <c r="P168" s="255"/>
      <c r="Q168" s="257">
        <f>V165/2</f>
        <v>0</v>
      </c>
      <c r="R168" s="290"/>
      <c r="S168" s="256">
        <f>Q168/Q172</f>
        <v>0</v>
      </c>
      <c r="T168" s="551">
        <f>Q165/M165</f>
        <v>1309.141304347826</v>
      </c>
      <c r="U168" s="426" t="s">
        <v>535</v>
      </c>
      <c r="Z168" s="195">
        <f>Z167/M165</f>
        <v>0.82608695652173914</v>
      </c>
      <c r="AA168" s="247">
        <f>AA167/M165</f>
        <v>8.6956521739130432E-2</v>
      </c>
    </row>
    <row r="169" spans="1:34" x14ac:dyDescent="0.3">
      <c r="A169" s="251" t="s">
        <v>536</v>
      </c>
      <c r="B169" s="252"/>
      <c r="C169" s="252"/>
      <c r="D169" s="252"/>
      <c r="E169" s="252"/>
      <c r="F169" s="253"/>
      <c r="G169" s="252"/>
      <c r="H169" s="252"/>
      <c r="I169" s="254"/>
      <c r="J169" s="254"/>
      <c r="K169" s="254"/>
      <c r="L169" s="254"/>
      <c r="M169" s="252"/>
      <c r="N169" s="255"/>
      <c r="O169" s="256"/>
      <c r="P169" s="255"/>
      <c r="Q169" s="257">
        <f>W165/2</f>
        <v>1440.0000000000002</v>
      </c>
      <c r="R169" s="290"/>
      <c r="S169" s="262">
        <f>Q169/Q172</f>
        <v>4.782424589633099E-2</v>
      </c>
      <c r="V169" s="263"/>
      <c r="X169" s="99"/>
      <c r="Z169" s="2265" t="s">
        <v>537</v>
      </c>
      <c r="AA169" s="2265"/>
    </row>
    <row r="170" spans="1:34" x14ac:dyDescent="0.3">
      <c r="A170" s="251" t="s">
        <v>529</v>
      </c>
      <c r="B170" s="252"/>
      <c r="C170" s="252"/>
      <c r="D170" s="252"/>
      <c r="E170" s="252"/>
      <c r="F170" s="253"/>
      <c r="G170" s="252"/>
      <c r="H170" s="252"/>
      <c r="I170" s="254"/>
      <c r="J170" s="254"/>
      <c r="K170" s="254"/>
      <c r="L170" s="254"/>
      <c r="M170" s="252"/>
      <c r="N170" s="255"/>
      <c r="O170" s="256"/>
      <c r="P170" s="255"/>
      <c r="Q170" s="257">
        <f>Y165/2</f>
        <v>3000</v>
      </c>
      <c r="R170" s="290"/>
      <c r="S170" s="262">
        <f>Q170/Q172</f>
        <v>9.963384561735622E-2</v>
      </c>
      <c r="V170" s="263"/>
    </row>
    <row r="171" spans="1:34" x14ac:dyDescent="0.3">
      <c r="A171" s="251" t="s">
        <v>528</v>
      </c>
      <c r="B171" s="252"/>
      <c r="C171" s="252"/>
      <c r="D171" s="252"/>
      <c r="E171" s="252"/>
      <c r="F171" s="253"/>
      <c r="G171" s="252"/>
      <c r="H171" s="252"/>
      <c r="I171" s="254"/>
      <c r="J171" s="254"/>
      <c r="K171" s="254"/>
      <c r="L171" s="254"/>
      <c r="M171" s="252"/>
      <c r="N171" s="255"/>
      <c r="O171" s="256"/>
      <c r="P171" s="255"/>
      <c r="Q171" s="257">
        <f>X165/2</f>
        <v>0</v>
      </c>
      <c r="R171" s="290"/>
      <c r="S171" s="262">
        <f>Q171/Q172</f>
        <v>0</v>
      </c>
    </row>
    <row r="172" spans="1:34" x14ac:dyDescent="0.3">
      <c r="A172" s="251"/>
      <c r="B172" s="252"/>
      <c r="C172" s="252"/>
      <c r="D172" s="252"/>
      <c r="E172" s="252"/>
      <c r="F172" s="253"/>
      <c r="G172" s="252"/>
      <c r="H172" s="252"/>
      <c r="I172" s="254"/>
      <c r="J172" s="254"/>
      <c r="K172" s="254"/>
      <c r="L172" s="254"/>
      <c r="M172" s="252"/>
      <c r="N172" s="255"/>
      <c r="O172" s="256"/>
      <c r="P172" s="255"/>
      <c r="Q172" s="264">
        <f>SUM(Q167:Q171)</f>
        <v>30110.25</v>
      </c>
      <c r="R172" s="490"/>
      <c r="S172" s="262">
        <f>SUM(S167:S171)</f>
        <v>1</v>
      </c>
    </row>
    <row r="173" spans="1:34" x14ac:dyDescent="0.3">
      <c r="D173" s="304"/>
      <c r="E173" s="304"/>
      <c r="G173" s="304"/>
      <c r="H173" s="304"/>
    </row>
    <row r="174" spans="1:34" ht="18" x14ac:dyDescent="0.35">
      <c r="D174" s="304"/>
      <c r="AA174" s="303">
        <f>SUM(AB175:AG175)</f>
        <v>550650.75</v>
      </c>
      <c r="AB174" s="563" t="s">
        <v>69</v>
      </c>
      <c r="AC174" s="561" t="s">
        <v>70</v>
      </c>
      <c r="AD174" s="561" t="s">
        <v>19</v>
      </c>
      <c r="AE174" s="561" t="s">
        <v>71</v>
      </c>
      <c r="AF174" s="561" t="s">
        <v>72</v>
      </c>
      <c r="AG174" s="561" t="s">
        <v>5</v>
      </c>
      <c r="AH174" s="562"/>
    </row>
    <row r="175" spans="1:34" ht="18" x14ac:dyDescent="0.35">
      <c r="A175" s="430" t="s">
        <v>569</v>
      </c>
      <c r="B175" s="431"/>
      <c r="C175" s="431"/>
      <c r="D175" s="432"/>
      <c r="E175" s="432"/>
      <c r="F175" s="433"/>
      <c r="G175" s="432"/>
      <c r="H175" s="432"/>
      <c r="I175" s="434"/>
      <c r="J175" s="434"/>
      <c r="K175" s="434"/>
      <c r="L175" s="434"/>
      <c r="M175" s="431"/>
      <c r="N175" s="435"/>
      <c r="O175" s="436"/>
      <c r="P175" s="435"/>
      <c r="Q175" s="435"/>
      <c r="R175" s="436"/>
      <c r="S175" s="437"/>
      <c r="T175" s="435">
        <f>T165+T131+T103+T71+T43</f>
        <v>587650.75</v>
      </c>
      <c r="AA175" s="137" t="s">
        <v>601</v>
      </c>
      <c r="AB175" s="435">
        <f>AB165+AB131+AB103+AB71+AB43</f>
        <v>270900</v>
      </c>
      <c r="AC175" s="435">
        <f t="shared" ref="AC175:AH175" si="33">AC165+AC131+AC103+AC71+AC43</f>
        <v>57093.749999999985</v>
      </c>
      <c r="AD175" s="435">
        <f t="shared" si="33"/>
        <v>93840</v>
      </c>
      <c r="AE175" s="435">
        <f t="shared" si="33"/>
        <v>99825.000000000015</v>
      </c>
      <c r="AF175" s="435">
        <f t="shared" si="33"/>
        <v>20352</v>
      </c>
      <c r="AG175" s="435">
        <f t="shared" si="33"/>
        <v>8640.0000000000018</v>
      </c>
      <c r="AH175" s="435">
        <f t="shared" si="33"/>
        <v>0</v>
      </c>
    </row>
    <row r="176" spans="1:34" x14ac:dyDescent="0.3">
      <c r="S176" s="3" t="s">
        <v>571</v>
      </c>
      <c r="T176" s="99">
        <f>D19-T175</f>
        <v>413649.25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62"/>
  <sheetViews>
    <sheetView topLeftCell="A12" workbookViewId="0">
      <selection activeCell="H30" sqref="H30:H35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1166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328</v>
      </c>
      <c r="C2" t="s">
        <v>352</v>
      </c>
      <c r="D2" t="s">
        <v>353</v>
      </c>
      <c r="E2" s="1" t="s">
        <v>73</v>
      </c>
      <c r="F2" s="1" t="s">
        <v>21</v>
      </c>
      <c r="G2" s="2186">
        <v>2</v>
      </c>
      <c r="H2" s="2186">
        <f>VLOOKUP(G2,Pesos!A:B,2,0)</f>
        <v>0.8</v>
      </c>
      <c r="I2" s="1"/>
      <c r="J2" s="1" t="s">
        <v>308</v>
      </c>
      <c r="K2" s="1">
        <v>5</v>
      </c>
      <c r="L2" s="1">
        <v>10</v>
      </c>
      <c r="M2" s="1">
        <v>2</v>
      </c>
      <c r="N2" s="1" t="s">
        <v>24</v>
      </c>
      <c r="O2" s="1">
        <v>2</v>
      </c>
      <c r="P2" s="1"/>
      <c r="Q2" s="1">
        <v>1</v>
      </c>
      <c r="R2" s="1"/>
      <c r="S2" s="1">
        <v>1</v>
      </c>
      <c r="T2" s="15">
        <f>15*48*30</f>
        <v>21600</v>
      </c>
      <c r="U2" s="29">
        <v>0.25</v>
      </c>
      <c r="V2" s="25">
        <f>T2*(1-U2)</f>
        <v>16200</v>
      </c>
      <c r="W2" s="25">
        <f>V2*S2*M2</f>
        <v>32400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328</v>
      </c>
      <c r="C3" t="s">
        <v>352</v>
      </c>
      <c r="D3" t="s">
        <v>353</v>
      </c>
      <c r="E3" s="1" t="s">
        <v>74</v>
      </c>
      <c r="F3" s="1" t="s">
        <v>21</v>
      </c>
      <c r="G3" s="2186">
        <v>2</v>
      </c>
      <c r="H3" s="2186">
        <f>VLOOKUP(G3,Pesos!A:B,2,0)</f>
        <v>0.8</v>
      </c>
      <c r="J3" s="1" t="s">
        <v>308</v>
      </c>
      <c r="K3" s="1">
        <v>5</v>
      </c>
      <c r="L3" s="1">
        <v>10</v>
      </c>
      <c r="M3" s="1">
        <v>3</v>
      </c>
      <c r="N3" s="1" t="s">
        <v>24</v>
      </c>
      <c r="O3" s="1">
        <v>3</v>
      </c>
      <c r="S3" s="1">
        <v>1</v>
      </c>
      <c r="T3" s="5">
        <f>3750*(1+45%)</f>
        <v>5437.5</v>
      </c>
      <c r="U3" s="24">
        <v>0.3</v>
      </c>
      <c r="V3" s="26">
        <f>T3*(1-U3)</f>
        <v>3806.2499999999995</v>
      </c>
      <c r="W3" s="26">
        <f>V3*S3*M3</f>
        <v>11418.749999999998</v>
      </c>
      <c r="X3" s="6"/>
      <c r="Y3" s="22"/>
      <c r="Z3" s="1"/>
    </row>
    <row r="4" spans="1:32" x14ac:dyDescent="0.3">
      <c r="A4" t="s">
        <v>327</v>
      </c>
      <c r="B4" t="s">
        <v>328</v>
      </c>
      <c r="C4" t="s">
        <v>352</v>
      </c>
      <c r="D4" t="s">
        <v>353</v>
      </c>
      <c r="E4" s="1" t="s">
        <v>75</v>
      </c>
      <c r="F4" s="1" t="s">
        <v>21</v>
      </c>
      <c r="G4" s="2186">
        <v>2</v>
      </c>
      <c r="H4" s="2186">
        <f>VLOOKUP(G4,Pesos!A:B,2,0)</f>
        <v>0.8</v>
      </c>
      <c r="J4" s="1" t="s">
        <v>308</v>
      </c>
      <c r="K4" s="1">
        <v>5</v>
      </c>
      <c r="L4" s="1">
        <v>10</v>
      </c>
      <c r="M4" s="1">
        <v>2</v>
      </c>
      <c r="N4" s="1" t="s">
        <v>24</v>
      </c>
      <c r="O4" s="1">
        <v>2</v>
      </c>
      <c r="S4" s="1">
        <v>1</v>
      </c>
      <c r="T4" s="5">
        <f>(6600+7200)/2</f>
        <v>6900</v>
      </c>
      <c r="U4" s="24">
        <v>0.2</v>
      </c>
      <c r="V4" s="26">
        <f t="shared" ref="V4:V17" si="0">T4*(1-U4)</f>
        <v>5520</v>
      </c>
      <c r="W4" s="26">
        <f>V4*S4*M4</f>
        <v>11040</v>
      </c>
      <c r="X4" s="6"/>
      <c r="Y4" s="22"/>
      <c r="Z4" s="1"/>
    </row>
    <row r="5" spans="1:32" x14ac:dyDescent="0.3">
      <c r="A5" t="s">
        <v>327</v>
      </c>
      <c r="B5" t="s">
        <v>328</v>
      </c>
      <c r="C5" t="s">
        <v>352</v>
      </c>
      <c r="D5" t="s">
        <v>353</v>
      </c>
      <c r="E5" s="1" t="s">
        <v>76</v>
      </c>
      <c r="F5" s="1" t="s">
        <v>27</v>
      </c>
      <c r="G5" s="2186">
        <v>1</v>
      </c>
      <c r="H5" s="2186">
        <f>VLOOKUP(G5,Pesos!A:B,2,0)</f>
        <v>0.9</v>
      </c>
      <c r="I5" s="1" t="s">
        <v>308</v>
      </c>
      <c r="K5" s="1">
        <v>10</v>
      </c>
      <c r="L5" s="2" t="s">
        <v>51</v>
      </c>
      <c r="M5" s="1">
        <v>15</v>
      </c>
      <c r="N5" s="1" t="s">
        <v>24</v>
      </c>
      <c r="O5" s="1">
        <v>15</v>
      </c>
      <c r="S5" s="1">
        <v>1</v>
      </c>
      <c r="T5" s="5">
        <f>750*2</f>
        <v>1500</v>
      </c>
      <c r="U5" s="24">
        <v>0.4</v>
      </c>
      <c r="V5" s="26">
        <f t="shared" si="0"/>
        <v>900</v>
      </c>
      <c r="W5" s="26">
        <f>V5*S5*M5</f>
        <v>13500</v>
      </c>
      <c r="X5" s="18"/>
      <c r="Y5" s="22"/>
      <c r="Z5" s="1"/>
    </row>
    <row r="6" spans="1:32" x14ac:dyDescent="0.3">
      <c r="A6" t="s">
        <v>327</v>
      </c>
      <c r="B6" t="s">
        <v>328</v>
      </c>
      <c r="C6" t="s">
        <v>352</v>
      </c>
      <c r="D6" t="s">
        <v>353</v>
      </c>
      <c r="E6" s="1" t="s">
        <v>77</v>
      </c>
      <c r="F6" s="1" t="s">
        <v>27</v>
      </c>
      <c r="G6" s="2186">
        <v>1</v>
      </c>
      <c r="H6" s="2186">
        <f>VLOOKUP(G6,Pesos!A:B,2,0)</f>
        <v>0.9</v>
      </c>
      <c r="I6" s="1" t="s">
        <v>308</v>
      </c>
      <c r="K6" s="1">
        <v>10</v>
      </c>
      <c r="L6" s="2" t="s">
        <v>51</v>
      </c>
      <c r="M6" s="1">
        <v>15</v>
      </c>
      <c r="N6" s="1" t="s">
        <v>24</v>
      </c>
      <c r="Q6" s="1">
        <v>15</v>
      </c>
      <c r="S6" s="1">
        <v>1</v>
      </c>
      <c r="T6" s="5">
        <f>750*2</f>
        <v>1500</v>
      </c>
      <c r="U6" s="24">
        <v>0.45</v>
      </c>
      <c r="V6" s="26">
        <f t="shared" si="0"/>
        <v>825.00000000000011</v>
      </c>
      <c r="W6" s="26">
        <f>V6*S6*M6</f>
        <v>12375.000000000002</v>
      </c>
      <c r="X6" s="6"/>
      <c r="Y6" s="22"/>
      <c r="Z6" s="1"/>
    </row>
    <row r="7" spans="1:32" x14ac:dyDescent="0.3">
      <c r="G7" s="2186"/>
      <c r="H7" s="2186"/>
      <c r="L7" s="2"/>
      <c r="M7" s="1"/>
      <c r="T7" s="5"/>
      <c r="U7" s="29"/>
      <c r="V7" s="26"/>
      <c r="W7" s="26"/>
      <c r="X7" s="6"/>
      <c r="Y7" s="22"/>
      <c r="Z7" s="1"/>
    </row>
    <row r="8" spans="1:32" x14ac:dyDescent="0.3">
      <c r="A8" t="s">
        <v>340</v>
      </c>
      <c r="B8" t="s">
        <v>328</v>
      </c>
      <c r="C8" t="s">
        <v>352</v>
      </c>
      <c r="D8" t="s">
        <v>353</v>
      </c>
      <c r="E8" s="1" t="s">
        <v>73</v>
      </c>
      <c r="F8" s="1" t="s">
        <v>21</v>
      </c>
      <c r="G8" s="2186">
        <v>1</v>
      </c>
      <c r="H8" s="2186">
        <f>VLOOKUP(G8,Pesos!A:B,2,0)</f>
        <v>0.9</v>
      </c>
      <c r="J8" s="1" t="s">
        <v>308</v>
      </c>
      <c r="K8" s="1">
        <v>5</v>
      </c>
      <c r="L8" s="2" t="s">
        <v>203</v>
      </c>
      <c r="M8" s="1">
        <v>1</v>
      </c>
      <c r="N8" s="1" t="s">
        <v>24</v>
      </c>
      <c r="O8" s="1">
        <v>1</v>
      </c>
      <c r="S8" s="1">
        <v>1</v>
      </c>
      <c r="T8" s="15">
        <f>15*48*30</f>
        <v>21600</v>
      </c>
      <c r="U8" s="29">
        <v>0.25</v>
      </c>
      <c r="V8" s="26">
        <f t="shared" si="0"/>
        <v>16200</v>
      </c>
      <c r="W8" s="26">
        <f t="shared" ref="W8:W14" si="1">V8*S8*M8</f>
        <v>16200</v>
      </c>
      <c r="X8" s="6"/>
      <c r="Y8" s="22"/>
      <c r="Z8" s="1"/>
    </row>
    <row r="9" spans="1:32" x14ac:dyDescent="0.3">
      <c r="A9" t="s">
        <v>340</v>
      </c>
      <c r="B9" t="s">
        <v>328</v>
      </c>
      <c r="C9" t="s">
        <v>352</v>
      </c>
      <c r="D9" t="s">
        <v>353</v>
      </c>
      <c r="E9" s="1" t="s">
        <v>74</v>
      </c>
      <c r="F9" s="1" t="s">
        <v>21</v>
      </c>
      <c r="G9" s="2186">
        <v>1</v>
      </c>
      <c r="H9" s="2186">
        <f>VLOOKUP(G9,Pesos!A:B,2,0)</f>
        <v>0.9</v>
      </c>
      <c r="J9" s="1" t="s">
        <v>308</v>
      </c>
      <c r="K9" s="1">
        <v>5</v>
      </c>
      <c r="L9" s="2" t="s">
        <v>203</v>
      </c>
      <c r="M9" s="1">
        <v>2</v>
      </c>
      <c r="N9" s="1" t="s">
        <v>24</v>
      </c>
      <c r="O9" s="1">
        <v>2</v>
      </c>
      <c r="S9" s="1">
        <v>1</v>
      </c>
      <c r="T9" s="5">
        <f>3750*(1+45%)</f>
        <v>5437.5</v>
      </c>
      <c r="U9" s="24">
        <v>0.3</v>
      </c>
      <c r="V9" s="26">
        <f t="shared" si="0"/>
        <v>3806.2499999999995</v>
      </c>
      <c r="W9" s="26">
        <f t="shared" si="1"/>
        <v>7612.4999999999991</v>
      </c>
      <c r="X9" s="6"/>
      <c r="Y9" s="22"/>
      <c r="Z9" s="1"/>
    </row>
    <row r="10" spans="1:32" x14ac:dyDescent="0.3">
      <c r="A10" t="s">
        <v>340</v>
      </c>
      <c r="B10" t="s">
        <v>328</v>
      </c>
      <c r="C10" t="s">
        <v>352</v>
      </c>
      <c r="D10" t="s">
        <v>353</v>
      </c>
      <c r="E10" s="1" t="s">
        <v>75</v>
      </c>
      <c r="F10" s="1" t="s">
        <v>21</v>
      </c>
      <c r="G10" s="2186">
        <v>1</v>
      </c>
      <c r="H10" s="2186">
        <f>VLOOKUP(G10,Pesos!A:B,2,0)</f>
        <v>0.9</v>
      </c>
      <c r="J10" s="1" t="s">
        <v>308</v>
      </c>
      <c r="K10" s="1">
        <v>5</v>
      </c>
      <c r="L10" s="2" t="s">
        <v>203</v>
      </c>
      <c r="M10" s="1">
        <v>2</v>
      </c>
      <c r="N10" s="1" t="s">
        <v>24</v>
      </c>
      <c r="O10" s="1">
        <v>2</v>
      </c>
      <c r="S10" s="1">
        <v>1</v>
      </c>
      <c r="T10" s="5">
        <f>(6600+7200)/2</f>
        <v>6900</v>
      </c>
      <c r="U10" s="24">
        <v>0.2</v>
      </c>
      <c r="V10" s="26">
        <f t="shared" si="0"/>
        <v>5520</v>
      </c>
      <c r="W10" s="26">
        <f t="shared" si="1"/>
        <v>11040</v>
      </c>
      <c r="X10" s="6"/>
      <c r="Y10" s="22"/>
      <c r="Z10" s="1"/>
    </row>
    <row r="11" spans="1:32" x14ac:dyDescent="0.3">
      <c r="A11" t="s">
        <v>340</v>
      </c>
      <c r="B11" t="s">
        <v>328</v>
      </c>
      <c r="C11" t="s">
        <v>352</v>
      </c>
      <c r="D11" t="s">
        <v>353</v>
      </c>
      <c r="E11" s="1" t="s">
        <v>76</v>
      </c>
      <c r="F11" s="1" t="s">
        <v>27</v>
      </c>
      <c r="G11" s="2186">
        <v>2</v>
      </c>
      <c r="H11" s="2186">
        <f>VLOOKUP(G11,Pesos!A:B,2,0)</f>
        <v>0.8</v>
      </c>
      <c r="I11" s="1" t="s">
        <v>308</v>
      </c>
      <c r="K11" s="1">
        <v>10</v>
      </c>
      <c r="L11" s="2" t="s">
        <v>51</v>
      </c>
      <c r="M11" s="1">
        <v>15</v>
      </c>
      <c r="N11" s="1" t="s">
        <v>24</v>
      </c>
      <c r="O11" s="1">
        <v>15</v>
      </c>
      <c r="S11" s="1">
        <v>1</v>
      </c>
      <c r="T11" s="5">
        <f>750*2</f>
        <v>1500</v>
      </c>
      <c r="U11" s="24">
        <v>0.4</v>
      </c>
      <c r="V11" s="26">
        <f t="shared" si="0"/>
        <v>900</v>
      </c>
      <c r="W11" s="26">
        <f t="shared" si="1"/>
        <v>13500</v>
      </c>
      <c r="X11" s="6"/>
      <c r="Y11" s="22"/>
      <c r="Z11" s="1"/>
    </row>
    <row r="12" spans="1:32" x14ac:dyDescent="0.3">
      <c r="A12" t="s">
        <v>340</v>
      </c>
      <c r="B12" t="s">
        <v>328</v>
      </c>
      <c r="C12" t="s">
        <v>352</v>
      </c>
      <c r="D12" t="s">
        <v>353</v>
      </c>
      <c r="E12" s="1" t="s">
        <v>77</v>
      </c>
      <c r="F12" s="1" t="s">
        <v>27</v>
      </c>
      <c r="G12" s="2186">
        <v>2</v>
      </c>
      <c r="H12" s="2186">
        <f>VLOOKUP(G12,Pesos!A:B,2,0)</f>
        <v>0.8</v>
      </c>
      <c r="I12" s="1" t="s">
        <v>308</v>
      </c>
      <c r="K12" s="1">
        <v>10</v>
      </c>
      <c r="L12" s="2" t="s">
        <v>51</v>
      </c>
      <c r="M12" s="1">
        <v>15</v>
      </c>
      <c r="N12" s="1" t="s">
        <v>24</v>
      </c>
      <c r="Q12" s="1">
        <v>15</v>
      </c>
      <c r="S12" s="1">
        <v>1</v>
      </c>
      <c r="T12" s="5">
        <f>750*2</f>
        <v>1500</v>
      </c>
      <c r="U12" s="24">
        <v>0.45</v>
      </c>
      <c r="V12" s="26">
        <f t="shared" si="0"/>
        <v>825.00000000000011</v>
      </c>
      <c r="W12" s="26">
        <f t="shared" si="1"/>
        <v>12375.000000000002</v>
      </c>
      <c r="X12" s="6"/>
      <c r="Y12" s="22"/>
      <c r="Z12" s="1"/>
    </row>
    <row r="13" spans="1:32" x14ac:dyDescent="0.3">
      <c r="A13" t="s">
        <v>340</v>
      </c>
      <c r="B13" t="s">
        <v>328</v>
      </c>
      <c r="C13" t="s">
        <v>352</v>
      </c>
      <c r="D13" t="s">
        <v>353</v>
      </c>
      <c r="E13" s="1" t="s">
        <v>78</v>
      </c>
      <c r="F13" s="1" t="s">
        <v>32</v>
      </c>
      <c r="G13" s="2186">
        <v>3</v>
      </c>
      <c r="H13" s="2186">
        <f>VLOOKUP(G13,Pesos!A:B,2,0)</f>
        <v>0.7</v>
      </c>
      <c r="I13" s="1" t="s">
        <v>308</v>
      </c>
      <c r="K13" s="1">
        <v>4</v>
      </c>
      <c r="L13" s="2" t="s">
        <v>203</v>
      </c>
      <c r="M13" s="1">
        <v>4</v>
      </c>
      <c r="N13" s="1" t="s">
        <v>58</v>
      </c>
      <c r="O13" s="1">
        <v>4</v>
      </c>
      <c r="Q13" s="1">
        <v>4</v>
      </c>
      <c r="S13" s="1">
        <v>2</v>
      </c>
      <c r="T13" s="9">
        <f>265*8</f>
        <v>2120</v>
      </c>
      <c r="U13" s="29">
        <v>0.4</v>
      </c>
      <c r="V13" s="26">
        <f t="shared" ref="V13" si="2">T13*(1-U13)</f>
        <v>1272</v>
      </c>
      <c r="W13" s="26">
        <f t="shared" si="1"/>
        <v>10176</v>
      </c>
      <c r="X13" s="6"/>
      <c r="Y13" s="22"/>
      <c r="Z13" s="1"/>
    </row>
    <row r="14" spans="1:32" x14ac:dyDescent="0.3">
      <c r="A14" t="s">
        <v>340</v>
      </c>
      <c r="B14" t="s">
        <v>328</v>
      </c>
      <c r="C14" t="s">
        <v>352</v>
      </c>
      <c r="D14" t="s">
        <v>353</v>
      </c>
      <c r="E14" s="1" t="s">
        <v>41</v>
      </c>
      <c r="F14" s="1" t="s">
        <v>79</v>
      </c>
      <c r="G14" s="2186">
        <v>4</v>
      </c>
      <c r="H14" s="2186">
        <f>VLOOKUP(G14,Pesos!A:B,2,0)</f>
        <v>0.6</v>
      </c>
      <c r="I14" s="1" t="s">
        <v>308</v>
      </c>
      <c r="K14" s="1">
        <v>6</v>
      </c>
      <c r="L14" s="2" t="s">
        <v>331</v>
      </c>
      <c r="M14" s="1">
        <v>7</v>
      </c>
      <c r="N14" s="1" t="s">
        <v>24</v>
      </c>
      <c r="O14" s="1">
        <v>7</v>
      </c>
      <c r="S14" s="1">
        <v>1</v>
      </c>
      <c r="T14" s="9">
        <v>1600</v>
      </c>
      <c r="U14" s="29">
        <v>0.7</v>
      </c>
      <c r="V14" s="26">
        <f t="shared" ref="V14" si="3">T14*(1-U14)</f>
        <v>480.00000000000006</v>
      </c>
      <c r="W14" s="26">
        <f t="shared" si="1"/>
        <v>3360.0000000000005</v>
      </c>
      <c r="X14" s="6"/>
      <c r="Y14" s="22"/>
      <c r="Z14" s="1"/>
    </row>
    <row r="15" spans="1:32" x14ac:dyDescent="0.3">
      <c r="G15" s="2186"/>
      <c r="H15" s="2186"/>
      <c r="L15" s="2"/>
      <c r="M15" s="1"/>
      <c r="T15" s="5"/>
      <c r="U15" s="24"/>
      <c r="V15" s="26"/>
      <c r="W15" s="26"/>
      <c r="X15" s="6"/>
      <c r="Y15" s="22"/>
      <c r="Z15" s="1"/>
    </row>
    <row r="16" spans="1:32" x14ac:dyDescent="0.3">
      <c r="A16" t="s">
        <v>342</v>
      </c>
      <c r="B16" t="s">
        <v>328</v>
      </c>
      <c r="C16" t="s">
        <v>352</v>
      </c>
      <c r="D16" t="s">
        <v>353</v>
      </c>
      <c r="E16" s="1" t="s">
        <v>73</v>
      </c>
      <c r="F16" s="1" t="s">
        <v>21</v>
      </c>
      <c r="G16" s="2186">
        <v>2</v>
      </c>
      <c r="H16" s="2186">
        <f>VLOOKUP(G16,Pesos!A:B,2,0)</f>
        <v>0.8</v>
      </c>
      <c r="J16" s="1" t="s">
        <v>308</v>
      </c>
      <c r="K16" s="1">
        <v>3</v>
      </c>
      <c r="L16" s="2" t="s">
        <v>263</v>
      </c>
      <c r="M16" s="1">
        <v>1</v>
      </c>
      <c r="N16" s="1" t="s">
        <v>24</v>
      </c>
      <c r="O16" s="1">
        <v>1</v>
      </c>
      <c r="S16" s="1">
        <v>1</v>
      </c>
      <c r="T16" s="15">
        <f>15*48*30</f>
        <v>21600</v>
      </c>
      <c r="U16" s="29">
        <v>0.25</v>
      </c>
      <c r="V16" s="26">
        <f t="shared" si="0"/>
        <v>16200</v>
      </c>
      <c r="W16" s="26">
        <f>V16*S16*M16</f>
        <v>16200</v>
      </c>
      <c r="X16" s="6"/>
      <c r="Y16" s="22"/>
      <c r="Z16" s="1"/>
    </row>
    <row r="17" spans="1:26" x14ac:dyDescent="0.3">
      <c r="A17" t="s">
        <v>342</v>
      </c>
      <c r="B17" t="s">
        <v>328</v>
      </c>
      <c r="C17" t="s">
        <v>352</v>
      </c>
      <c r="D17" t="s">
        <v>353</v>
      </c>
      <c r="E17" s="1" t="s">
        <v>74</v>
      </c>
      <c r="F17" s="1" t="s">
        <v>21</v>
      </c>
      <c r="G17" s="2186">
        <v>2</v>
      </c>
      <c r="H17" s="2186">
        <f>VLOOKUP(G17,Pesos!A:B,2,0)</f>
        <v>0.8</v>
      </c>
      <c r="J17" s="1" t="s">
        <v>308</v>
      </c>
      <c r="K17" s="1">
        <v>3</v>
      </c>
      <c r="L17" s="2" t="s">
        <v>263</v>
      </c>
      <c r="M17" s="1">
        <v>1</v>
      </c>
      <c r="N17" s="1" t="s">
        <v>24</v>
      </c>
      <c r="O17" s="1">
        <v>1</v>
      </c>
      <c r="S17" s="1">
        <v>1</v>
      </c>
      <c r="T17" s="5">
        <f>3750*(1+45%)</f>
        <v>5437.5</v>
      </c>
      <c r="U17" s="24">
        <v>0.3</v>
      </c>
      <c r="V17" s="26">
        <f t="shared" si="0"/>
        <v>3806.2499999999995</v>
      </c>
      <c r="W17" s="26">
        <f>V17*S17*M17</f>
        <v>3806.2499999999995</v>
      </c>
      <c r="X17" s="6"/>
      <c r="Y17" s="22"/>
      <c r="Z17" s="1"/>
    </row>
    <row r="18" spans="1:26" x14ac:dyDescent="0.3">
      <c r="A18" t="s">
        <v>342</v>
      </c>
      <c r="B18" t="s">
        <v>328</v>
      </c>
      <c r="C18" t="s">
        <v>352</v>
      </c>
      <c r="D18" t="s">
        <v>353</v>
      </c>
      <c r="E18" s="1" t="s">
        <v>75</v>
      </c>
      <c r="F18" s="1" t="s">
        <v>21</v>
      </c>
      <c r="G18" s="2186">
        <v>2</v>
      </c>
      <c r="H18" s="2186">
        <f>VLOOKUP(G18,Pesos!A:B,2,0)</f>
        <v>0.8</v>
      </c>
      <c r="J18" s="1" t="s">
        <v>308</v>
      </c>
      <c r="K18" s="1">
        <v>3</v>
      </c>
      <c r="L18" s="2" t="s">
        <v>263</v>
      </c>
      <c r="M18" s="1">
        <v>2</v>
      </c>
      <c r="N18" s="1" t="s">
        <v>24</v>
      </c>
      <c r="O18" s="1">
        <v>2</v>
      </c>
      <c r="S18" s="1">
        <v>1</v>
      </c>
      <c r="T18" s="5">
        <f>(6600+7200)/2</f>
        <v>6900</v>
      </c>
      <c r="U18" s="24">
        <v>0.2</v>
      </c>
      <c r="V18" s="25">
        <f>T18*(1-U18)</f>
        <v>5520</v>
      </c>
      <c r="W18" s="25">
        <f>V18*S18*M18</f>
        <v>11040</v>
      </c>
      <c r="X18" s="22"/>
      <c r="Y18" s="22"/>
      <c r="Z18" s="1"/>
    </row>
    <row r="19" spans="1:26" x14ac:dyDescent="0.3">
      <c r="A19" t="s">
        <v>342</v>
      </c>
      <c r="B19" t="s">
        <v>328</v>
      </c>
      <c r="C19" t="s">
        <v>352</v>
      </c>
      <c r="D19" t="s">
        <v>353</v>
      </c>
      <c r="E19" s="1" t="s">
        <v>76</v>
      </c>
      <c r="F19" s="1" t="s">
        <v>27</v>
      </c>
      <c r="G19" s="2186">
        <v>1</v>
      </c>
      <c r="H19" s="2186">
        <f>VLOOKUP(G19,Pesos!A:B,2,0)</f>
        <v>0.9</v>
      </c>
      <c r="I19" s="1" t="s">
        <v>308</v>
      </c>
      <c r="K19" s="1">
        <v>8</v>
      </c>
      <c r="L19" s="1">
        <v>15</v>
      </c>
      <c r="M19" s="1">
        <v>12</v>
      </c>
      <c r="N19" s="1" t="s">
        <v>24</v>
      </c>
      <c r="O19" s="1">
        <v>12</v>
      </c>
      <c r="S19" s="1">
        <v>1</v>
      </c>
      <c r="T19" s="5">
        <f>750*2</f>
        <v>1500</v>
      </c>
      <c r="U19" s="24">
        <v>0.4</v>
      </c>
      <c r="V19" s="25">
        <f>T19*(1-U19)</f>
        <v>900</v>
      </c>
      <c r="W19" s="25">
        <f>V19*S19*M19</f>
        <v>10800</v>
      </c>
      <c r="X19" s="18"/>
    </row>
    <row r="20" spans="1:26" x14ac:dyDescent="0.3">
      <c r="A20" t="s">
        <v>342</v>
      </c>
      <c r="B20" t="s">
        <v>328</v>
      </c>
      <c r="C20" t="s">
        <v>352</v>
      </c>
      <c r="D20" t="s">
        <v>353</v>
      </c>
      <c r="E20" s="1" t="s">
        <v>77</v>
      </c>
      <c r="F20" s="1" t="s">
        <v>27</v>
      </c>
      <c r="G20" s="2186">
        <v>1</v>
      </c>
      <c r="H20" s="2186">
        <f>VLOOKUP(G20,Pesos!A:B,2,0)</f>
        <v>0.9</v>
      </c>
      <c r="I20" s="1" t="s">
        <v>308</v>
      </c>
      <c r="K20" s="1">
        <v>8</v>
      </c>
      <c r="L20" s="1">
        <v>15</v>
      </c>
      <c r="M20" s="1">
        <v>12</v>
      </c>
      <c r="N20" s="1" t="s">
        <v>24</v>
      </c>
      <c r="Q20" s="1">
        <v>12</v>
      </c>
      <c r="S20" s="1">
        <v>1</v>
      </c>
      <c r="T20" s="5">
        <f>750*2</f>
        <v>1500</v>
      </c>
      <c r="U20" s="24">
        <v>0.45</v>
      </c>
      <c r="V20" s="26">
        <f>T20*(1-U20)</f>
        <v>825.00000000000011</v>
      </c>
      <c r="W20" s="26">
        <f>V20*S20*M20</f>
        <v>9900.0000000000018</v>
      </c>
      <c r="X20" s="6"/>
    </row>
    <row r="21" spans="1:26" x14ac:dyDescent="0.3">
      <c r="G21" s="2186"/>
      <c r="H21" s="2186"/>
      <c r="L21" s="2"/>
      <c r="M21" s="1"/>
      <c r="T21" s="5"/>
      <c r="U21" s="24"/>
      <c r="V21" s="26"/>
      <c r="W21" s="26"/>
      <c r="X21" s="6"/>
    </row>
    <row r="22" spans="1:26" x14ac:dyDescent="0.3">
      <c r="A22" t="s">
        <v>343</v>
      </c>
      <c r="B22" t="s">
        <v>328</v>
      </c>
      <c r="C22" t="s">
        <v>352</v>
      </c>
      <c r="D22" t="s">
        <v>353</v>
      </c>
      <c r="E22" s="1" t="s">
        <v>73</v>
      </c>
      <c r="F22" s="1" t="s">
        <v>21</v>
      </c>
      <c r="G22" s="2186">
        <v>1</v>
      </c>
      <c r="H22" s="2186">
        <f>VLOOKUP(G22,Pesos!A:B,2,0)</f>
        <v>0.9</v>
      </c>
      <c r="J22" s="1" t="s">
        <v>308</v>
      </c>
      <c r="K22" s="1">
        <v>3</v>
      </c>
      <c r="L22" s="1">
        <v>7</v>
      </c>
      <c r="M22" s="1">
        <v>1</v>
      </c>
      <c r="N22" s="1" t="s">
        <v>24</v>
      </c>
      <c r="O22" s="1">
        <v>1</v>
      </c>
      <c r="S22" s="1">
        <v>1</v>
      </c>
      <c r="T22" s="15">
        <f>15*48*30</f>
        <v>21600</v>
      </c>
      <c r="U22" s="29">
        <v>0.25</v>
      </c>
      <c r="V22" s="26">
        <f t="shared" ref="V22:V28" si="4">T22*(1-U22)</f>
        <v>16200</v>
      </c>
      <c r="W22" s="26">
        <f t="shared" ref="W22:W28" si="5">V22*S22*M22</f>
        <v>16200</v>
      </c>
      <c r="X22" s="6"/>
    </row>
    <row r="23" spans="1:26" x14ac:dyDescent="0.3">
      <c r="A23" t="s">
        <v>343</v>
      </c>
      <c r="B23" t="s">
        <v>328</v>
      </c>
      <c r="C23" t="s">
        <v>352</v>
      </c>
      <c r="D23" t="s">
        <v>353</v>
      </c>
      <c r="E23" s="1" t="s">
        <v>74</v>
      </c>
      <c r="F23" s="1" t="s">
        <v>21</v>
      </c>
      <c r="G23" s="2186">
        <v>1</v>
      </c>
      <c r="H23" s="2186">
        <f>VLOOKUP(G23,Pesos!A:B,2,0)</f>
        <v>0.9</v>
      </c>
      <c r="J23" s="1" t="s">
        <v>308</v>
      </c>
      <c r="K23" s="1">
        <v>3</v>
      </c>
      <c r="L23" s="1">
        <v>7</v>
      </c>
      <c r="M23" s="1">
        <v>1</v>
      </c>
      <c r="N23" s="1" t="s">
        <v>24</v>
      </c>
      <c r="O23" s="1">
        <v>1</v>
      </c>
      <c r="S23" s="1">
        <v>1</v>
      </c>
      <c r="T23" s="5">
        <f>3750*(1+45%)</f>
        <v>5437.5</v>
      </c>
      <c r="U23" s="24">
        <v>0.3</v>
      </c>
      <c r="V23" s="26">
        <f t="shared" si="4"/>
        <v>3806.2499999999995</v>
      </c>
      <c r="W23" s="26">
        <f t="shared" si="5"/>
        <v>3806.2499999999995</v>
      </c>
      <c r="X23" s="6"/>
    </row>
    <row r="24" spans="1:26" x14ac:dyDescent="0.3">
      <c r="A24" t="s">
        <v>343</v>
      </c>
      <c r="B24" t="s">
        <v>328</v>
      </c>
      <c r="C24" t="s">
        <v>352</v>
      </c>
      <c r="D24" t="s">
        <v>353</v>
      </c>
      <c r="E24" s="1" t="s">
        <v>75</v>
      </c>
      <c r="F24" s="1" t="s">
        <v>21</v>
      </c>
      <c r="G24" s="2186">
        <v>1</v>
      </c>
      <c r="H24" s="2186">
        <f>VLOOKUP(G24,Pesos!A:B,2,0)</f>
        <v>0.9</v>
      </c>
      <c r="J24" s="1" t="s">
        <v>308</v>
      </c>
      <c r="K24" s="1">
        <v>3</v>
      </c>
      <c r="L24" s="1">
        <v>7</v>
      </c>
      <c r="M24" s="1">
        <v>1</v>
      </c>
      <c r="N24" s="1" t="s">
        <v>24</v>
      </c>
      <c r="O24" s="1">
        <v>1</v>
      </c>
      <c r="R24" s="18"/>
      <c r="S24" s="1">
        <v>1</v>
      </c>
      <c r="T24" s="5">
        <f>(6600+7200)/2</f>
        <v>6900</v>
      </c>
      <c r="U24" s="24">
        <v>0.2</v>
      </c>
      <c r="V24" s="26">
        <f t="shared" si="4"/>
        <v>5520</v>
      </c>
      <c r="W24" s="26">
        <f t="shared" si="5"/>
        <v>5520</v>
      </c>
      <c r="X24" s="6"/>
    </row>
    <row r="25" spans="1:26" x14ac:dyDescent="0.3">
      <c r="A25" t="s">
        <v>343</v>
      </c>
      <c r="B25" t="s">
        <v>328</v>
      </c>
      <c r="C25" t="s">
        <v>352</v>
      </c>
      <c r="D25" t="s">
        <v>353</v>
      </c>
      <c r="E25" s="1" t="s">
        <v>76</v>
      </c>
      <c r="F25" s="1" t="s">
        <v>27</v>
      </c>
      <c r="G25" s="2186">
        <v>2</v>
      </c>
      <c r="H25" s="2186">
        <f>VLOOKUP(G25,Pesos!A:B,2,0)</f>
        <v>0.8</v>
      </c>
      <c r="I25" s="1" t="s">
        <v>308</v>
      </c>
      <c r="K25" s="1">
        <v>8</v>
      </c>
      <c r="L25" s="1">
        <v>15</v>
      </c>
      <c r="M25" s="1">
        <v>12</v>
      </c>
      <c r="N25" s="1" t="s">
        <v>24</v>
      </c>
      <c r="O25" s="1">
        <v>12</v>
      </c>
      <c r="R25" s="6"/>
      <c r="S25" s="1">
        <v>1</v>
      </c>
      <c r="T25" s="5">
        <f>750*2</f>
        <v>1500</v>
      </c>
      <c r="U25" s="24">
        <v>0.4</v>
      </c>
      <c r="V25" s="26">
        <f t="shared" si="4"/>
        <v>900</v>
      </c>
      <c r="W25" s="26">
        <f t="shared" si="5"/>
        <v>10800</v>
      </c>
      <c r="X25" s="6"/>
    </row>
    <row r="26" spans="1:26" x14ac:dyDescent="0.3">
      <c r="A26" t="s">
        <v>343</v>
      </c>
      <c r="B26" t="s">
        <v>328</v>
      </c>
      <c r="C26" t="s">
        <v>352</v>
      </c>
      <c r="D26" t="s">
        <v>353</v>
      </c>
      <c r="E26" s="1" t="s">
        <v>77</v>
      </c>
      <c r="F26" s="1" t="s">
        <v>27</v>
      </c>
      <c r="G26" s="2186">
        <v>2</v>
      </c>
      <c r="H26" s="2186">
        <f>VLOOKUP(G26,Pesos!A:B,2,0)</f>
        <v>0.8</v>
      </c>
      <c r="I26" s="1" t="s">
        <v>308</v>
      </c>
      <c r="K26" s="1">
        <v>8</v>
      </c>
      <c r="L26" s="1">
        <v>15</v>
      </c>
      <c r="M26" s="1">
        <v>12</v>
      </c>
      <c r="N26" s="1" t="s">
        <v>24</v>
      </c>
      <c r="Q26" s="1">
        <v>12</v>
      </c>
      <c r="R26" s="6"/>
      <c r="S26" s="1">
        <v>1</v>
      </c>
      <c r="T26" s="5">
        <f>750*2</f>
        <v>1500</v>
      </c>
      <c r="U26" s="24">
        <v>0.45</v>
      </c>
      <c r="V26" s="26">
        <f t="shared" si="4"/>
        <v>825.00000000000011</v>
      </c>
      <c r="W26" s="26">
        <f t="shared" si="5"/>
        <v>9900.0000000000018</v>
      </c>
      <c r="X26" s="6"/>
    </row>
    <row r="27" spans="1:26" x14ac:dyDescent="0.3">
      <c r="A27" t="s">
        <v>343</v>
      </c>
      <c r="B27" t="s">
        <v>328</v>
      </c>
      <c r="C27" t="s">
        <v>352</v>
      </c>
      <c r="D27" t="s">
        <v>353</v>
      </c>
      <c r="E27" s="1" t="s">
        <v>78</v>
      </c>
      <c r="F27" s="1" t="s">
        <v>32</v>
      </c>
      <c r="G27" s="2186">
        <v>3</v>
      </c>
      <c r="H27" s="2186">
        <f>VLOOKUP(G27,Pesos!A:B,2,0)</f>
        <v>0.7</v>
      </c>
      <c r="I27" s="1" t="s">
        <v>308</v>
      </c>
      <c r="K27" s="1">
        <v>2</v>
      </c>
      <c r="L27" s="1">
        <v>6</v>
      </c>
      <c r="M27" s="1">
        <v>2</v>
      </c>
      <c r="N27" s="1" t="s">
        <v>58</v>
      </c>
      <c r="O27" s="1">
        <v>2</v>
      </c>
      <c r="Q27" s="1">
        <v>2</v>
      </c>
      <c r="R27" s="18"/>
      <c r="S27" s="1">
        <v>2</v>
      </c>
      <c r="T27" s="9">
        <f>265*8</f>
        <v>2120</v>
      </c>
      <c r="U27" s="29">
        <v>0.4</v>
      </c>
      <c r="V27" s="26">
        <f t="shared" si="4"/>
        <v>1272</v>
      </c>
      <c r="W27" s="26">
        <f t="shared" si="5"/>
        <v>5088</v>
      </c>
      <c r="X27" s="6"/>
    </row>
    <row r="28" spans="1:26" x14ac:dyDescent="0.3">
      <c r="A28" t="s">
        <v>343</v>
      </c>
      <c r="B28" t="s">
        <v>328</v>
      </c>
      <c r="C28" t="s">
        <v>352</v>
      </c>
      <c r="D28" t="s">
        <v>353</v>
      </c>
      <c r="E28" s="1" t="s">
        <v>41</v>
      </c>
      <c r="F28" s="1" t="s">
        <v>79</v>
      </c>
      <c r="G28" s="2186">
        <v>4</v>
      </c>
      <c r="H28" s="2186">
        <f>VLOOKUP(G28,Pesos!A:B,2,0)</f>
        <v>0.6</v>
      </c>
      <c r="I28" s="1" t="s">
        <v>308</v>
      </c>
      <c r="K28" s="1">
        <v>5</v>
      </c>
      <c r="L28" s="1">
        <v>10</v>
      </c>
      <c r="M28" s="1">
        <v>5</v>
      </c>
      <c r="N28" s="1" t="s">
        <v>24</v>
      </c>
      <c r="O28" s="1">
        <v>5</v>
      </c>
      <c r="R28" s="18"/>
      <c r="S28" s="1">
        <v>1</v>
      </c>
      <c r="T28" s="9">
        <v>1600</v>
      </c>
      <c r="U28" s="29">
        <v>0.7</v>
      </c>
      <c r="V28" s="26">
        <f t="shared" si="4"/>
        <v>480.00000000000006</v>
      </c>
      <c r="W28" s="26">
        <f t="shared" si="5"/>
        <v>2400.0000000000005</v>
      </c>
      <c r="X28" s="6"/>
    </row>
    <row r="29" spans="1:26" x14ac:dyDescent="0.3">
      <c r="G29" s="2186"/>
      <c r="H29" s="2186"/>
      <c r="K29" s="2"/>
      <c r="M29" s="2"/>
      <c r="R29" s="18"/>
      <c r="T29" s="5"/>
      <c r="U29" s="24"/>
      <c r="V29" s="26"/>
      <c r="W29" s="26"/>
      <c r="X29" s="6"/>
    </row>
    <row r="30" spans="1:26" x14ac:dyDescent="0.3">
      <c r="A30" t="s">
        <v>326</v>
      </c>
      <c r="B30" t="s">
        <v>328</v>
      </c>
      <c r="C30" t="s">
        <v>352</v>
      </c>
      <c r="D30" t="s">
        <v>353</v>
      </c>
      <c r="E30" s="1" t="s">
        <v>74</v>
      </c>
      <c r="F30" s="1" t="s">
        <v>21</v>
      </c>
      <c r="G30" s="2186">
        <v>1</v>
      </c>
      <c r="H30" s="2186">
        <f>VLOOKUP(G30,Pesos!A:B,2,0)</f>
        <v>0.9</v>
      </c>
      <c r="J30" s="1" t="s">
        <v>308</v>
      </c>
      <c r="K30" s="2" t="s">
        <v>332</v>
      </c>
      <c r="L30" s="1">
        <v>5</v>
      </c>
      <c r="M30" s="1">
        <v>1</v>
      </c>
      <c r="N30" s="1" t="s">
        <v>24</v>
      </c>
      <c r="O30" s="1">
        <v>1</v>
      </c>
      <c r="S30" s="1">
        <v>1</v>
      </c>
      <c r="T30" s="5">
        <f>3750*(1+45%)</f>
        <v>5437.5</v>
      </c>
      <c r="U30" s="24">
        <v>0.3</v>
      </c>
      <c r="V30" s="26">
        <f t="shared" ref="V30:V35" si="6">T30*(1-U30)</f>
        <v>3806.2499999999995</v>
      </c>
      <c r="W30" s="26">
        <f t="shared" ref="W30:W33" si="7">V30*S30*M30</f>
        <v>3806.2499999999995</v>
      </c>
    </row>
    <row r="31" spans="1:26" x14ac:dyDescent="0.3">
      <c r="A31" t="s">
        <v>326</v>
      </c>
      <c r="B31" t="s">
        <v>328</v>
      </c>
      <c r="C31" t="s">
        <v>352</v>
      </c>
      <c r="D31" t="s">
        <v>353</v>
      </c>
      <c r="E31" s="1" t="s">
        <v>75</v>
      </c>
      <c r="F31" s="1" t="s">
        <v>21</v>
      </c>
      <c r="G31" s="2186">
        <v>1</v>
      </c>
      <c r="H31" s="2186">
        <f>VLOOKUP(G31,Pesos!A:B,2,0)</f>
        <v>0.9</v>
      </c>
      <c r="J31" s="1" t="s">
        <v>308</v>
      </c>
      <c r="K31" s="2" t="s">
        <v>332</v>
      </c>
      <c r="L31" s="1">
        <v>5</v>
      </c>
      <c r="M31" s="1">
        <v>1</v>
      </c>
      <c r="N31" s="1" t="s">
        <v>24</v>
      </c>
      <c r="O31" s="1">
        <v>1</v>
      </c>
      <c r="S31" s="1">
        <v>1</v>
      </c>
      <c r="T31" s="5">
        <f>(6600+7200)/2</f>
        <v>6900</v>
      </c>
      <c r="U31" s="24">
        <v>0.2</v>
      </c>
      <c r="V31" s="26">
        <f t="shared" si="6"/>
        <v>5520</v>
      </c>
      <c r="W31" s="26">
        <f t="shared" si="7"/>
        <v>5520</v>
      </c>
    </row>
    <row r="32" spans="1:26" x14ac:dyDescent="0.3">
      <c r="A32" t="s">
        <v>326</v>
      </c>
      <c r="B32" t="s">
        <v>328</v>
      </c>
      <c r="C32" t="s">
        <v>352</v>
      </c>
      <c r="D32" t="s">
        <v>353</v>
      </c>
      <c r="E32" s="1" t="s">
        <v>76</v>
      </c>
      <c r="F32" s="1" t="s">
        <v>27</v>
      </c>
      <c r="G32" s="2186">
        <v>2</v>
      </c>
      <c r="H32" s="2186">
        <f>VLOOKUP(G32,Pesos!A:B,2,0)</f>
        <v>0.8</v>
      </c>
      <c r="I32" s="1" t="s">
        <v>308</v>
      </c>
      <c r="K32" s="2" t="s">
        <v>354</v>
      </c>
      <c r="L32" s="1">
        <v>12</v>
      </c>
      <c r="M32" s="1">
        <v>8</v>
      </c>
      <c r="N32" s="1" t="s">
        <v>24</v>
      </c>
      <c r="O32" s="1">
        <v>8</v>
      </c>
      <c r="S32" s="1">
        <v>1</v>
      </c>
      <c r="T32" s="5">
        <f>750*2</f>
        <v>1500</v>
      </c>
      <c r="U32" s="24">
        <v>0.4</v>
      </c>
      <c r="V32" s="26">
        <f t="shared" si="6"/>
        <v>900</v>
      </c>
      <c r="W32" s="26">
        <f t="shared" si="7"/>
        <v>7200</v>
      </c>
    </row>
    <row r="33" spans="1:24" x14ac:dyDescent="0.3">
      <c r="A33" t="s">
        <v>326</v>
      </c>
      <c r="B33" t="s">
        <v>328</v>
      </c>
      <c r="C33" t="s">
        <v>352</v>
      </c>
      <c r="D33" t="s">
        <v>353</v>
      </c>
      <c r="E33" s="1" t="s">
        <v>77</v>
      </c>
      <c r="F33" s="1" t="s">
        <v>27</v>
      </c>
      <c r="G33" s="2186">
        <v>2</v>
      </c>
      <c r="H33" s="2186">
        <f>VLOOKUP(G33,Pesos!A:B,2,0)</f>
        <v>0.8</v>
      </c>
      <c r="I33" s="1" t="s">
        <v>308</v>
      </c>
      <c r="K33" s="2" t="s">
        <v>354</v>
      </c>
      <c r="L33" s="1">
        <v>12</v>
      </c>
      <c r="M33" s="1">
        <v>8</v>
      </c>
      <c r="N33" s="1" t="s">
        <v>24</v>
      </c>
      <c r="Q33" s="1">
        <v>8</v>
      </c>
      <c r="S33" s="1">
        <v>1</v>
      </c>
      <c r="T33" s="5">
        <f>750*2</f>
        <v>1500</v>
      </c>
      <c r="U33" s="24">
        <v>0.45</v>
      </c>
      <c r="V33" s="26">
        <f t="shared" si="6"/>
        <v>825.00000000000011</v>
      </c>
      <c r="W33" s="26">
        <f t="shared" si="7"/>
        <v>6600.0000000000009</v>
      </c>
    </row>
    <row r="34" spans="1:24" x14ac:dyDescent="0.3">
      <c r="A34" t="s">
        <v>326</v>
      </c>
      <c r="B34" t="s">
        <v>328</v>
      </c>
      <c r="C34" t="s">
        <v>352</v>
      </c>
      <c r="D34" t="s">
        <v>353</v>
      </c>
      <c r="E34" s="1" t="s">
        <v>78</v>
      </c>
      <c r="F34" s="1" t="s">
        <v>32</v>
      </c>
      <c r="G34" s="2186">
        <v>3</v>
      </c>
      <c r="H34" s="2186">
        <f>VLOOKUP(G34,Pesos!A:B,2,0)</f>
        <v>0.7</v>
      </c>
      <c r="I34" s="1" t="s">
        <v>308</v>
      </c>
      <c r="K34" s="2" t="s">
        <v>38</v>
      </c>
      <c r="L34" s="1">
        <v>4</v>
      </c>
      <c r="M34" s="1">
        <v>1</v>
      </c>
      <c r="N34" s="1" t="s">
        <v>58</v>
      </c>
      <c r="O34" s="1">
        <v>1</v>
      </c>
      <c r="Q34" s="1">
        <v>1</v>
      </c>
      <c r="S34" s="1">
        <v>2</v>
      </c>
      <c r="T34" s="9">
        <f>265*8</f>
        <v>2120</v>
      </c>
      <c r="U34" s="29">
        <v>0.4</v>
      </c>
      <c r="V34" s="26">
        <f t="shared" si="6"/>
        <v>1272</v>
      </c>
      <c r="W34" s="26">
        <f>V34*S34*M34</f>
        <v>2544</v>
      </c>
      <c r="X34" s="6"/>
    </row>
    <row r="35" spans="1:24" x14ac:dyDescent="0.3">
      <c r="A35" t="s">
        <v>326</v>
      </c>
      <c r="B35" t="s">
        <v>328</v>
      </c>
      <c r="C35" t="s">
        <v>352</v>
      </c>
      <c r="D35" t="s">
        <v>353</v>
      </c>
      <c r="E35" s="1" t="s">
        <v>41</v>
      </c>
      <c r="F35" s="1" t="s">
        <v>79</v>
      </c>
      <c r="G35" s="2186">
        <v>4</v>
      </c>
      <c r="H35" s="2186">
        <f>VLOOKUP(G35,Pesos!A:B,2,0)</f>
        <v>0.6</v>
      </c>
      <c r="I35" s="1" t="s">
        <v>308</v>
      </c>
      <c r="K35" s="1">
        <v>2</v>
      </c>
      <c r="L35" s="1">
        <v>6</v>
      </c>
      <c r="M35" s="1">
        <v>3</v>
      </c>
      <c r="N35" s="1" t="s">
        <v>24</v>
      </c>
      <c r="O35" s="1">
        <v>2</v>
      </c>
      <c r="S35" s="1">
        <v>1</v>
      </c>
      <c r="T35" s="9">
        <v>1600</v>
      </c>
      <c r="U35" s="29">
        <v>0.7</v>
      </c>
      <c r="V35" s="26">
        <f t="shared" si="6"/>
        <v>480.00000000000006</v>
      </c>
      <c r="W35" s="26">
        <f t="shared" ref="W35" si="8">V35*S35*M35</f>
        <v>1440.0000000000002</v>
      </c>
    </row>
    <row r="36" spans="1:24" x14ac:dyDescent="0.3">
      <c r="M36" s="2"/>
      <c r="T36" s="9"/>
      <c r="U36" s="29"/>
      <c r="V36" s="26"/>
      <c r="W36" s="26"/>
    </row>
    <row r="37" spans="1:24" x14ac:dyDescent="0.3">
      <c r="M37" s="2"/>
      <c r="T37" s="9"/>
      <c r="U37" s="29"/>
      <c r="V37" s="26"/>
      <c r="W37" s="26"/>
    </row>
    <row r="38" spans="1:24" x14ac:dyDescent="0.3">
      <c r="M38" s="2"/>
      <c r="T38" s="9"/>
      <c r="U38" s="29"/>
      <c r="V38" s="26"/>
      <c r="W38" s="26"/>
    </row>
    <row r="39" spans="1:24" x14ac:dyDescent="0.3">
      <c r="A39" s="47"/>
      <c r="E39" s="43" t="s">
        <v>1158</v>
      </c>
      <c r="F39" s="43" t="s">
        <v>1159</v>
      </c>
      <c r="G39" s="43" t="s">
        <v>1160</v>
      </c>
    </row>
    <row r="40" spans="1:24" x14ac:dyDescent="0.3">
      <c r="A40" s="47" t="s">
        <v>1161</v>
      </c>
      <c r="B40" s="2174"/>
      <c r="C40" s="2174"/>
      <c r="D40" s="2174"/>
      <c r="E40" s="2181">
        <f>F40*(1-10%)</f>
        <v>2085.4155405405404</v>
      </c>
      <c r="F40" s="427">
        <f>PALMAS!T46</f>
        <v>2317.1283783783783</v>
      </c>
      <c r="G40" s="427">
        <f>F40*(1+15%)</f>
        <v>2664.697635135135</v>
      </c>
      <c r="M40" s="1"/>
      <c r="T40" s="5"/>
      <c r="U40" s="24"/>
      <c r="V40" s="26"/>
      <c r="W40" s="26"/>
    </row>
    <row r="41" spans="1:24" x14ac:dyDescent="0.3">
      <c r="A41" s="47" t="s">
        <v>1162</v>
      </c>
      <c r="B41" s="2174"/>
      <c r="C41" s="2174"/>
      <c r="D41" s="2174"/>
      <c r="E41" s="2181">
        <f>F41*(1-25%)</f>
        <v>1203.9524999999999</v>
      </c>
      <c r="F41" s="427">
        <f>PALMAS!T74</f>
        <v>1605.27</v>
      </c>
      <c r="G41" s="427">
        <f>F41*(1+5%)</f>
        <v>1685.5335</v>
      </c>
      <c r="M41" s="1"/>
      <c r="T41" s="5"/>
      <c r="U41" s="24"/>
      <c r="V41" s="26"/>
      <c r="W41" s="26"/>
    </row>
    <row r="42" spans="1:24" x14ac:dyDescent="0.3">
      <c r="A42" s="47" t="s">
        <v>550</v>
      </c>
      <c r="B42" s="2174"/>
      <c r="C42" s="2174"/>
      <c r="D42" s="2174"/>
      <c r="E42" s="2181">
        <f>F42*(1-15%)</f>
        <v>1661.9397321428571</v>
      </c>
      <c r="F42" s="427">
        <f>PALMAS!T106</f>
        <v>1955.2232142857142</v>
      </c>
      <c r="G42" s="427">
        <f>F42*(1+15%)</f>
        <v>2248.5066964285711</v>
      </c>
      <c r="M42" s="1"/>
      <c r="T42" s="5"/>
      <c r="U42" s="24"/>
      <c r="V42" s="26"/>
      <c r="W42" s="26"/>
    </row>
    <row r="43" spans="1:24" x14ac:dyDescent="0.3">
      <c r="A43" s="47" t="s">
        <v>679</v>
      </c>
      <c r="B43" s="2174"/>
      <c r="C43" s="2174"/>
      <c r="D43" s="2174"/>
      <c r="E43" s="2181">
        <f>F43*(1-25%)</f>
        <v>1181.546875</v>
      </c>
      <c r="F43" s="427">
        <f>PALMAS!T134</f>
        <v>1575.3958333333333</v>
      </c>
      <c r="G43" s="427">
        <f>F43*(1+5%)</f>
        <v>1654.1656250000001</v>
      </c>
      <c r="M43" s="1"/>
      <c r="T43" s="5"/>
      <c r="U43" s="24"/>
      <c r="V43" s="26"/>
      <c r="W43" s="26"/>
    </row>
    <row r="44" spans="1:24" x14ac:dyDescent="0.3">
      <c r="A44" s="47" t="s">
        <v>568</v>
      </c>
      <c r="B44" s="2174"/>
      <c r="C44" s="2174"/>
      <c r="D44" s="2174"/>
      <c r="E44" s="2181">
        <f>F44*(1-25%)</f>
        <v>981.85597826086951</v>
      </c>
      <c r="F44" s="427">
        <f>PALMAS!T168</f>
        <v>1309.141304347826</v>
      </c>
      <c r="G44" s="427">
        <f>F44*(1+5%)</f>
        <v>1374.5983695652174</v>
      </c>
      <c r="M44" s="1"/>
      <c r="T44" s="5"/>
      <c r="U44" s="24"/>
      <c r="V44" s="26"/>
      <c r="W44" s="26"/>
    </row>
    <row r="45" spans="1:24" x14ac:dyDescent="0.3">
      <c r="A45" s="47"/>
      <c r="B45" s="47"/>
      <c r="C45" s="47"/>
      <c r="D45" s="47"/>
      <c r="E45" s="48"/>
      <c r="M45" s="1"/>
      <c r="T45" s="5"/>
      <c r="U45" s="24"/>
      <c r="V45" s="26"/>
      <c r="W45" s="26"/>
    </row>
    <row r="46" spans="1:24" x14ac:dyDescent="0.3">
      <c r="A46" s="47"/>
      <c r="B46" s="46"/>
      <c r="C46" s="46"/>
      <c r="D46" s="46"/>
      <c r="E46" s="2314" t="s">
        <v>1163</v>
      </c>
      <c r="F46" s="2315"/>
      <c r="G46" s="2315"/>
      <c r="H46" s="2316"/>
      <c r="M46" s="1"/>
      <c r="T46" s="5"/>
      <c r="U46" s="24"/>
      <c r="V46" s="26"/>
      <c r="W46" s="26"/>
    </row>
    <row r="47" spans="1:24" x14ac:dyDescent="0.3">
      <c r="A47" s="47" t="s">
        <v>1161</v>
      </c>
      <c r="B47" s="2175"/>
      <c r="C47" s="2175"/>
      <c r="D47" s="2175"/>
      <c r="E47" s="304">
        <v>0.56000000000000005</v>
      </c>
      <c r="G47" s="304">
        <v>0.41</v>
      </c>
      <c r="M47" s="1"/>
      <c r="T47" s="5"/>
      <c r="U47" s="24"/>
      <c r="V47" s="26"/>
      <c r="W47" s="26"/>
    </row>
    <row r="48" spans="1:24" x14ac:dyDescent="0.3">
      <c r="A48" s="47" t="s">
        <v>1162</v>
      </c>
      <c r="B48" s="2175"/>
      <c r="C48" s="2175"/>
      <c r="D48" s="2175"/>
      <c r="E48" s="2175">
        <v>0.62</v>
      </c>
      <c r="F48" s="304"/>
      <c r="G48" s="304">
        <v>0.38</v>
      </c>
      <c r="H48" s="3"/>
      <c r="M48" s="1"/>
      <c r="T48" s="9"/>
      <c r="U48" s="29"/>
      <c r="V48" s="26"/>
      <c r="W48" s="26"/>
    </row>
    <row r="49" spans="1:23" x14ac:dyDescent="0.3">
      <c r="A49" s="47" t="s">
        <v>550</v>
      </c>
      <c r="B49" s="2175"/>
      <c r="C49" s="2175"/>
      <c r="D49" s="2175"/>
      <c r="E49" s="2175">
        <v>0.56999999999999995</v>
      </c>
      <c r="F49" s="304"/>
      <c r="G49" s="3">
        <v>0.43</v>
      </c>
      <c r="H49" s="304"/>
      <c r="M49" s="1"/>
      <c r="T49" s="9"/>
      <c r="U49" s="29"/>
      <c r="V49" s="26"/>
      <c r="W49" s="26"/>
    </row>
    <row r="50" spans="1:23" x14ac:dyDescent="0.3">
      <c r="A50" s="47" t="s">
        <v>679</v>
      </c>
      <c r="B50" s="2175"/>
      <c r="C50" s="2175"/>
      <c r="D50" s="2175"/>
      <c r="E50" s="2175">
        <v>0.61</v>
      </c>
      <c r="F50" s="304"/>
      <c r="G50" s="3">
        <v>0.39</v>
      </c>
      <c r="H50" s="304"/>
      <c r="M50" s="1"/>
      <c r="T50" s="9"/>
      <c r="U50" s="29"/>
      <c r="V50" s="26"/>
      <c r="W50" s="26"/>
    </row>
    <row r="51" spans="1:23" x14ac:dyDescent="0.3">
      <c r="A51" s="47" t="s">
        <v>568</v>
      </c>
      <c r="B51" s="47"/>
      <c r="C51" s="47"/>
      <c r="D51" s="47"/>
      <c r="E51" s="2175">
        <v>0.61</v>
      </c>
      <c r="G51" s="304">
        <v>0.39</v>
      </c>
      <c r="M51" s="1"/>
      <c r="T51" s="9"/>
      <c r="U51" s="29"/>
      <c r="V51" s="26"/>
      <c r="W51" s="26"/>
    </row>
    <row r="52" spans="1:23" x14ac:dyDescent="0.3">
      <c r="A52" s="47"/>
      <c r="B52" s="47"/>
      <c r="C52" s="47"/>
      <c r="D52" s="47"/>
      <c r="E52" s="48"/>
      <c r="M52" s="1"/>
      <c r="T52" s="9"/>
      <c r="U52" s="29"/>
      <c r="V52" s="26"/>
      <c r="W52" s="26"/>
    </row>
    <row r="53" spans="1:23" x14ac:dyDescent="0.3">
      <c r="A53" s="47"/>
      <c r="B53" s="47"/>
      <c r="C53" s="47"/>
      <c r="D53" s="47"/>
      <c r="E53" s="48"/>
    </row>
    <row r="54" spans="1:23" x14ac:dyDescent="0.3">
      <c r="A54" s="47"/>
      <c r="B54" s="47"/>
      <c r="C54" s="47"/>
      <c r="D54" s="47"/>
      <c r="E54" s="48"/>
      <c r="M54" s="1"/>
      <c r="T54" s="5"/>
      <c r="U54" s="24"/>
      <c r="V54" s="26"/>
      <c r="W54" s="26"/>
    </row>
    <row r="55" spans="1:23" x14ac:dyDescent="0.3">
      <c r="A55" s="47"/>
      <c r="B55" s="46"/>
      <c r="C55" s="46"/>
      <c r="D55" s="46"/>
      <c r="E55" s="2314" t="s">
        <v>1164</v>
      </c>
      <c r="F55" s="2315"/>
      <c r="G55" s="2315"/>
      <c r="H55" s="2316"/>
      <c r="M55" s="1"/>
      <c r="T55" s="5"/>
      <c r="U55" s="24"/>
      <c r="V55" s="26"/>
      <c r="W55" s="26"/>
    </row>
    <row r="56" spans="1:23" x14ac:dyDescent="0.3">
      <c r="A56" s="47" t="s">
        <v>1161</v>
      </c>
      <c r="B56" s="2175"/>
      <c r="C56" s="2175"/>
      <c r="D56" s="2175"/>
      <c r="E56" s="2175">
        <v>0.25</v>
      </c>
      <c r="F56" s="2175">
        <v>0.25</v>
      </c>
      <c r="G56" s="2175">
        <v>0.25</v>
      </c>
      <c r="H56" s="2175">
        <v>0.25</v>
      </c>
      <c r="M56" s="1"/>
      <c r="T56" s="5"/>
      <c r="U56" s="24"/>
      <c r="V56" s="26"/>
      <c r="W56" s="26"/>
    </row>
    <row r="57" spans="1:23" x14ac:dyDescent="0.3">
      <c r="A57" s="47" t="s">
        <v>1162</v>
      </c>
      <c r="B57" s="6"/>
      <c r="C57" s="6"/>
      <c r="D57" s="6"/>
      <c r="E57" s="2175">
        <v>0.27</v>
      </c>
      <c r="F57" s="2175">
        <v>0.23</v>
      </c>
      <c r="G57" s="2175">
        <v>0.27</v>
      </c>
      <c r="H57" s="2175">
        <v>0.23</v>
      </c>
      <c r="M57" s="1"/>
      <c r="T57" s="5"/>
      <c r="U57" s="24"/>
      <c r="V57" s="26"/>
      <c r="W57" s="26"/>
    </row>
    <row r="58" spans="1:23" x14ac:dyDescent="0.3">
      <c r="A58" s="47" t="s">
        <v>550</v>
      </c>
      <c r="B58" s="2175"/>
      <c r="C58" s="2175"/>
      <c r="D58" s="2175"/>
      <c r="E58" s="2175">
        <v>0.34</v>
      </c>
      <c r="F58" s="2175">
        <v>0.33</v>
      </c>
      <c r="G58" s="2175">
        <v>0.33</v>
      </c>
      <c r="H58" s="2175"/>
      <c r="M58" s="1"/>
      <c r="T58" s="5"/>
      <c r="U58" s="24"/>
      <c r="V58" s="26"/>
      <c r="W58" s="26"/>
    </row>
    <row r="59" spans="1:23" x14ac:dyDescent="0.3">
      <c r="A59" s="47" t="s">
        <v>679</v>
      </c>
      <c r="B59" s="2175"/>
      <c r="C59" s="2175"/>
      <c r="D59" s="2175"/>
      <c r="E59" s="2175">
        <v>0.35</v>
      </c>
      <c r="F59" s="2175">
        <v>0.32</v>
      </c>
      <c r="G59" s="2175">
        <v>0.33</v>
      </c>
      <c r="H59" s="2175"/>
      <c r="M59" s="1"/>
      <c r="T59" s="5"/>
      <c r="U59" s="24"/>
      <c r="V59" s="26"/>
      <c r="W59" s="26"/>
    </row>
    <row r="60" spans="1:23" x14ac:dyDescent="0.3">
      <c r="A60" s="47" t="s">
        <v>568</v>
      </c>
      <c r="B60" s="47"/>
      <c r="C60" s="47"/>
      <c r="D60" s="47"/>
      <c r="E60" s="2175">
        <v>0.35</v>
      </c>
      <c r="F60" s="2175">
        <v>0.32</v>
      </c>
      <c r="G60" s="2175">
        <v>0.33</v>
      </c>
      <c r="H60" s="3"/>
      <c r="M60" s="1"/>
      <c r="T60" s="9"/>
      <c r="U60" s="29"/>
      <c r="V60" s="26"/>
      <c r="W60" s="26"/>
    </row>
    <row r="61" spans="1:23" x14ac:dyDescent="0.3">
      <c r="M61" s="1"/>
      <c r="T61" s="9"/>
      <c r="U61" s="29"/>
      <c r="V61" s="26"/>
      <c r="W61" s="26"/>
    </row>
    <row r="62" spans="1:23" x14ac:dyDescent="0.3">
      <c r="M62" s="1"/>
      <c r="T62" s="9"/>
      <c r="U62" s="29"/>
      <c r="V62" s="26"/>
      <c r="W62" s="2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78"/>
  <sheetViews>
    <sheetView workbookViewId="0"/>
  </sheetViews>
  <sheetFormatPr defaultRowHeight="14.4" x14ac:dyDescent="0.3"/>
  <sheetData>
    <row r="1" spans="1:9" ht="21" x14ac:dyDescent="0.4">
      <c r="A1" s="92" t="s">
        <v>1179</v>
      </c>
    </row>
    <row r="2" spans="1:9" x14ac:dyDescent="0.3">
      <c r="A2" t="s">
        <v>452</v>
      </c>
    </row>
    <row r="3" spans="1:9" x14ac:dyDescent="0.3">
      <c r="A3" s="93"/>
      <c r="B3" s="94"/>
    </row>
    <row r="6" spans="1:9" x14ac:dyDescent="0.3">
      <c r="B6" s="96"/>
      <c r="C6" s="97"/>
      <c r="F6" s="98"/>
      <c r="G6" s="98"/>
      <c r="H6" s="98"/>
      <c r="I6" s="99"/>
    </row>
    <row r="7" spans="1:9" x14ac:dyDescent="0.3">
      <c r="A7" s="100" t="s">
        <v>1180</v>
      </c>
      <c r="B7" s="101">
        <v>329386.2</v>
      </c>
      <c r="C7" s="102"/>
      <c r="F7" s="98"/>
      <c r="G7" s="98"/>
      <c r="H7" s="98"/>
      <c r="I7" s="99"/>
    </row>
    <row r="8" spans="1:9" x14ac:dyDescent="0.3">
      <c r="A8" s="100" t="s">
        <v>1181</v>
      </c>
      <c r="B8" s="101">
        <v>371112.41000000003</v>
      </c>
      <c r="C8" s="97"/>
      <c r="F8" s="98"/>
      <c r="G8" s="98"/>
      <c r="H8" s="98"/>
      <c r="I8" s="99"/>
    </row>
    <row r="9" spans="1:9" x14ac:dyDescent="0.3">
      <c r="C9" s="97"/>
      <c r="F9" s="98"/>
      <c r="G9" s="98"/>
      <c r="H9" s="98"/>
      <c r="I9" s="99"/>
    </row>
    <row r="10" spans="1:9" x14ac:dyDescent="0.3">
      <c r="A10" s="103" t="s">
        <v>1182</v>
      </c>
      <c r="B10" s="104">
        <v>636049.04999999993</v>
      </c>
      <c r="C10" s="105"/>
      <c r="F10" s="98"/>
      <c r="G10" s="98"/>
      <c r="H10" s="98"/>
      <c r="I10" s="99"/>
    </row>
    <row r="11" spans="1:9" x14ac:dyDescent="0.3">
      <c r="A11" s="100" t="s">
        <v>1183</v>
      </c>
      <c r="B11" s="101">
        <v>757201.25</v>
      </c>
      <c r="C11" s="3"/>
      <c r="F11" s="98"/>
      <c r="G11" s="98"/>
      <c r="H11" s="98"/>
      <c r="I11" s="99"/>
    </row>
    <row r="12" spans="1:9" x14ac:dyDescent="0.3">
      <c r="D12" s="449"/>
      <c r="E12" s="450"/>
      <c r="F12" s="98"/>
      <c r="G12" s="98"/>
      <c r="H12" s="98"/>
      <c r="I12" s="99"/>
    </row>
    <row r="13" spans="1:9" x14ac:dyDescent="0.3">
      <c r="F13" s="98"/>
      <c r="G13" s="98"/>
      <c r="H13" s="98"/>
      <c r="I13" s="99"/>
    </row>
    <row r="14" spans="1:9" x14ac:dyDescent="0.3">
      <c r="A14" s="4" t="s">
        <v>457</v>
      </c>
      <c r="F14" s="98"/>
      <c r="G14" s="98"/>
      <c r="H14" s="98"/>
      <c r="I14" s="99"/>
    </row>
    <row r="15" spans="1:9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  <c r="F15" s="98"/>
      <c r="G15" s="98"/>
      <c r="H15" s="98"/>
      <c r="I15" s="99"/>
    </row>
    <row r="16" spans="1:9" x14ac:dyDescent="0.3">
      <c r="A16" s="107" t="s">
        <v>576</v>
      </c>
      <c r="B16" s="108" t="s">
        <v>463</v>
      </c>
      <c r="C16" s="109">
        <v>0.37</v>
      </c>
      <c r="D16" s="110">
        <f>B10*C16</f>
        <v>235338.14849999998</v>
      </c>
      <c r="E16" s="110">
        <f>D16/3</f>
        <v>78446.049499999994</v>
      </c>
      <c r="F16" s="98"/>
      <c r="G16" s="98"/>
      <c r="H16" s="98"/>
      <c r="I16" s="99"/>
    </row>
    <row r="17" spans="1:30" x14ac:dyDescent="0.3">
      <c r="A17" s="107" t="s">
        <v>464</v>
      </c>
      <c r="B17" s="108" t="s">
        <v>465</v>
      </c>
      <c r="C17" s="109">
        <v>0.49</v>
      </c>
      <c r="D17" s="110">
        <f>B10*C17</f>
        <v>311664.03449999995</v>
      </c>
      <c r="E17" s="110">
        <f>D17/5</f>
        <v>62332.806899999989</v>
      </c>
      <c r="F17" s="98"/>
      <c r="G17" s="98"/>
      <c r="H17" s="98"/>
      <c r="I17" s="99"/>
    </row>
    <row r="18" spans="1:30" x14ac:dyDescent="0.3">
      <c r="A18" s="107" t="s">
        <v>466</v>
      </c>
      <c r="B18" s="108">
        <v>2</v>
      </c>
      <c r="C18" s="109">
        <v>0.14000000000000001</v>
      </c>
      <c r="D18" s="110">
        <f>B10*C18</f>
        <v>89046.866999999998</v>
      </c>
      <c r="E18" s="110">
        <f>D18/2</f>
        <v>44523.433499999999</v>
      </c>
      <c r="F18" s="98"/>
      <c r="G18" s="98"/>
      <c r="H18" s="98"/>
      <c r="I18" s="99"/>
    </row>
    <row r="19" spans="1:30" x14ac:dyDescent="0.3">
      <c r="B19" s="1" t="s">
        <v>577</v>
      </c>
      <c r="C19" s="3">
        <f>SUM(C16:C18)</f>
        <v>1</v>
      </c>
      <c r="D19" s="112">
        <f>SUM(D16:D18)</f>
        <v>636049.04999999993</v>
      </c>
      <c r="F19" s="98"/>
      <c r="G19" s="98"/>
      <c r="H19" s="98"/>
      <c r="I19" s="99"/>
    </row>
    <row r="20" spans="1:30" x14ac:dyDescent="0.3">
      <c r="F20" s="98"/>
      <c r="G20" s="98"/>
      <c r="H20" s="98"/>
      <c r="I20" s="99"/>
    </row>
    <row r="21" spans="1:30" x14ac:dyDescent="0.3">
      <c r="F21" s="98"/>
      <c r="G21" s="98"/>
      <c r="H21" s="98"/>
      <c r="I21" s="99"/>
    </row>
    <row r="22" spans="1:30" ht="15.6" x14ac:dyDescent="0.3">
      <c r="A22" s="556" t="s">
        <v>578</v>
      </c>
      <c r="B22" s="557">
        <v>460434</v>
      </c>
      <c r="Q22" s="115"/>
      <c r="R22" s="115"/>
    </row>
    <row r="23" spans="1:30" ht="15.6" x14ac:dyDescent="0.3">
      <c r="A23" s="556" t="s">
        <v>579</v>
      </c>
      <c r="B23" s="557">
        <v>138526</v>
      </c>
      <c r="E23" s="1" t="s">
        <v>470</v>
      </c>
      <c r="F23" s="2" t="s">
        <v>659</v>
      </c>
      <c r="H23" s="1" t="s">
        <v>472</v>
      </c>
      <c r="J23" s="2305">
        <v>0.87</v>
      </c>
      <c r="K23" s="98"/>
      <c r="L23" s="98"/>
    </row>
    <row r="24" spans="1:30" x14ac:dyDescent="0.3">
      <c r="E24" s="1" t="s">
        <v>473</v>
      </c>
      <c r="F24" s="2" t="s">
        <v>617</v>
      </c>
      <c r="H24" s="1" t="s">
        <v>473</v>
      </c>
      <c r="J24" s="1">
        <v>34</v>
      </c>
      <c r="K24" s="1"/>
      <c r="L24" s="1"/>
    </row>
    <row r="25" spans="1:30" x14ac:dyDescent="0.3">
      <c r="E25" s="1" t="s">
        <v>475</v>
      </c>
      <c r="F25" s="2" t="s">
        <v>660</v>
      </c>
      <c r="H25" s="1" t="s">
        <v>475</v>
      </c>
      <c r="J25" s="95">
        <v>890</v>
      </c>
      <c r="K25" s="95"/>
      <c r="L25" s="95"/>
      <c r="P25" s="115"/>
    </row>
    <row r="26" spans="1:30" x14ac:dyDescent="0.3">
      <c r="E26" s="1" t="s">
        <v>477</v>
      </c>
      <c r="F26" s="2" t="s">
        <v>661</v>
      </c>
      <c r="H26" s="1" t="s">
        <v>477</v>
      </c>
      <c r="J26" s="95">
        <v>2560213</v>
      </c>
      <c r="K26" s="95"/>
      <c r="L26" s="95"/>
      <c r="O26" s="98"/>
      <c r="T26" s="116"/>
    </row>
    <row r="27" spans="1:30" ht="18" x14ac:dyDescent="0.35">
      <c r="A27" s="118" t="s">
        <v>479</v>
      </c>
      <c r="O27" s="98"/>
      <c r="P27" s="117"/>
    </row>
    <row r="28" spans="1:30" x14ac:dyDescent="0.3">
      <c r="O28" s="119"/>
      <c r="S28" s="98"/>
    </row>
    <row r="29" spans="1:30" x14ac:dyDescent="0.3">
      <c r="A29" s="2335" t="s">
        <v>480</v>
      </c>
      <c r="B29" s="2336"/>
      <c r="C29" s="2336"/>
      <c r="D29" s="2336"/>
      <c r="E29" s="2336"/>
      <c r="F29" s="2336"/>
      <c r="G29" s="2336"/>
      <c r="H29" s="2336"/>
      <c r="I29" s="2336"/>
      <c r="J29" s="2336"/>
      <c r="K29" s="2336"/>
      <c r="L29" s="2336"/>
      <c r="M29" s="2336"/>
      <c r="N29" s="2336"/>
      <c r="O29" s="2336"/>
      <c r="P29" s="2336"/>
      <c r="Q29" s="2336"/>
      <c r="R29" s="2336"/>
      <c r="S29" s="2337"/>
      <c r="T29" s="2374" t="s">
        <v>584</v>
      </c>
      <c r="U29" s="2375"/>
      <c r="V29" s="2375"/>
      <c r="W29" s="2375"/>
      <c r="X29" s="2375"/>
      <c r="Y29" s="2375"/>
      <c r="Z29" s="2375"/>
      <c r="AA29" s="2375"/>
      <c r="AB29" s="2375"/>
      <c r="AC29" s="2375"/>
      <c r="AD29" s="2376"/>
    </row>
    <row r="30" spans="1:30" ht="15.6" x14ac:dyDescent="0.3">
      <c r="A30" s="2284" t="s">
        <v>482</v>
      </c>
      <c r="B30" s="2286" t="s">
        <v>483</v>
      </c>
      <c r="C30" s="2286" t="s">
        <v>484</v>
      </c>
      <c r="D30" s="2286" t="s">
        <v>485</v>
      </c>
      <c r="E30" s="2286" t="s">
        <v>486</v>
      </c>
      <c r="F30" s="2288" t="s">
        <v>487</v>
      </c>
      <c r="G30" s="2286" t="s">
        <v>488</v>
      </c>
      <c r="H30" s="2286" t="s">
        <v>489</v>
      </c>
      <c r="I30" s="2266" t="s">
        <v>490</v>
      </c>
      <c r="J30" s="2266"/>
      <c r="K30" s="2266"/>
      <c r="L30" s="2266"/>
      <c r="M30" s="265" t="s">
        <v>491</v>
      </c>
      <c r="N30" s="266" t="s">
        <v>492</v>
      </c>
      <c r="O30" s="267" t="s">
        <v>493</v>
      </c>
      <c r="P30" s="266" t="s">
        <v>492</v>
      </c>
      <c r="Q30" s="266" t="s">
        <v>494</v>
      </c>
      <c r="R30" s="491" t="s">
        <v>585</v>
      </c>
      <c r="S30" s="2267" t="s">
        <v>495</v>
      </c>
      <c r="T30" s="124" t="s">
        <v>496</v>
      </c>
      <c r="U30" s="2364" t="s">
        <v>497</v>
      </c>
      <c r="V30" s="2365"/>
      <c r="W30" s="2365"/>
      <c r="X30" s="2365"/>
      <c r="Y30" s="2366"/>
      <c r="Z30" s="2361" t="s">
        <v>498</v>
      </c>
      <c r="AA30" s="2363"/>
      <c r="AB30" s="2361" t="s">
        <v>499</v>
      </c>
      <c r="AC30" s="2362"/>
      <c r="AD30" s="2363"/>
    </row>
    <row r="31" spans="1:30" ht="15.6" x14ac:dyDescent="0.3">
      <c r="A31" s="2285"/>
      <c r="B31" s="2287"/>
      <c r="C31" s="2287"/>
      <c r="D31" s="2287"/>
      <c r="E31" s="2287"/>
      <c r="F31" s="2289"/>
      <c r="G31" s="2287"/>
      <c r="H31" s="2287"/>
      <c r="I31" s="269" t="s">
        <v>500</v>
      </c>
      <c r="J31" s="269" t="s">
        <v>501</v>
      </c>
      <c r="K31" s="269" t="s">
        <v>502</v>
      </c>
      <c r="L31" s="269" t="s">
        <v>503</v>
      </c>
      <c r="M31" s="270" t="s">
        <v>504</v>
      </c>
      <c r="N31" s="271" t="s">
        <v>505</v>
      </c>
      <c r="O31" s="272" t="s">
        <v>506</v>
      </c>
      <c r="P31" s="271" t="s">
        <v>507</v>
      </c>
      <c r="Q31" s="271" t="s">
        <v>507</v>
      </c>
      <c r="R31" s="558"/>
      <c r="S31" s="2268"/>
      <c r="T31" s="130" t="s">
        <v>508</v>
      </c>
      <c r="U31" s="2298"/>
      <c r="V31" s="2299"/>
      <c r="W31" s="2299"/>
      <c r="X31" s="2299"/>
      <c r="Y31" s="2300"/>
      <c r="Z31" s="2303"/>
      <c r="AA31" s="2304"/>
      <c r="AB31" s="2303"/>
      <c r="AC31" s="2307"/>
      <c r="AD31" s="2304"/>
    </row>
    <row r="32" spans="1:30" ht="18" x14ac:dyDescent="0.35">
      <c r="A32" s="2262" t="s">
        <v>509</v>
      </c>
      <c r="B32" s="2263"/>
      <c r="C32" s="2263"/>
      <c r="D32" s="2263"/>
      <c r="E32" s="2263"/>
      <c r="F32" s="2263"/>
      <c r="G32" s="2263"/>
      <c r="H32" s="2263"/>
      <c r="I32" s="2263"/>
      <c r="J32" s="2263"/>
      <c r="K32" s="2263"/>
      <c r="L32" s="2263"/>
      <c r="M32" s="2263"/>
      <c r="N32" s="2263"/>
      <c r="O32" s="2263"/>
      <c r="P32" s="2263"/>
      <c r="Q32" s="2263"/>
      <c r="R32" s="2263"/>
      <c r="S32" s="2264"/>
      <c r="T32" s="559"/>
      <c r="U32" s="560" t="s">
        <v>510</v>
      </c>
      <c r="V32" s="561" t="s">
        <v>11</v>
      </c>
      <c r="W32" s="561" t="s">
        <v>511</v>
      </c>
      <c r="X32" s="561" t="s">
        <v>512</v>
      </c>
      <c r="Y32" s="562" t="s">
        <v>513</v>
      </c>
      <c r="Z32" s="563" t="s">
        <v>514</v>
      </c>
      <c r="AA32" s="562" t="s">
        <v>515</v>
      </c>
      <c r="AB32" s="563" t="s">
        <v>81</v>
      </c>
      <c r="AC32" s="561" t="s">
        <v>16</v>
      </c>
      <c r="AD32" s="562" t="s">
        <v>5</v>
      </c>
    </row>
    <row r="33" spans="1:30" x14ac:dyDescent="0.3">
      <c r="A33" s="153"/>
      <c r="B33" s="462"/>
      <c r="C33" s="462"/>
      <c r="D33" s="462"/>
      <c r="E33" s="462"/>
      <c r="F33" s="463"/>
      <c r="G33" s="462"/>
      <c r="H33" s="462"/>
      <c r="I33" s="464"/>
      <c r="J33" s="465"/>
      <c r="K33" s="465"/>
      <c r="L33" s="466"/>
      <c r="M33" s="467"/>
      <c r="N33" s="468"/>
      <c r="O33" s="469"/>
      <c r="P33" s="468"/>
      <c r="Q33" s="468"/>
      <c r="R33" s="470"/>
      <c r="S33" s="471"/>
      <c r="T33" s="149"/>
      <c r="U33" s="150"/>
      <c r="Y33" s="152"/>
      <c r="Z33" s="280"/>
      <c r="AA33" s="152"/>
      <c r="AB33" s="280"/>
      <c r="AD33" s="152"/>
    </row>
    <row r="34" spans="1:30" x14ac:dyDescent="0.3">
      <c r="A34" s="156" t="s">
        <v>662</v>
      </c>
      <c r="B34" s="157" t="s">
        <v>82</v>
      </c>
      <c r="C34" s="157" t="s">
        <v>517</v>
      </c>
      <c r="D34" s="157" t="s">
        <v>21</v>
      </c>
      <c r="E34" s="157" t="s">
        <v>518</v>
      </c>
      <c r="F34" s="158" t="s">
        <v>551</v>
      </c>
      <c r="G34" s="157">
        <v>2</v>
      </c>
      <c r="H34" s="157" t="s">
        <v>24</v>
      </c>
      <c r="I34" s="159">
        <v>2</v>
      </c>
      <c r="J34" s="161"/>
      <c r="K34" s="161"/>
      <c r="L34" s="2209"/>
      <c r="M34" s="163">
        <v>1</v>
      </c>
      <c r="N34" s="164">
        <v>4480</v>
      </c>
      <c r="O34" s="165">
        <v>0.25</v>
      </c>
      <c r="P34" s="166">
        <f>N34*(1-O34)</f>
        <v>3360</v>
      </c>
      <c r="Q34" s="166">
        <f t="shared" ref="Q34:Q39" si="0">P34*M34*G34</f>
        <v>6720</v>
      </c>
      <c r="R34" s="206" t="e">
        <f>(Q34+Q35+Q37+#REF!)/E11*1000</f>
        <v>#REF!</v>
      </c>
      <c r="S34" s="318">
        <f t="shared" ref="S34:S39" si="1">Q34/$Q$44</f>
        <v>8.5396228333248614E-2</v>
      </c>
      <c r="T34" s="168">
        <f t="shared" ref="T34:T36" si="2">Q34*2</f>
        <v>13440</v>
      </c>
      <c r="U34" s="150">
        <f t="shared" ref="U34:U39" si="3">T34</f>
        <v>13440</v>
      </c>
      <c r="V34" s="169"/>
      <c r="W34" s="169"/>
      <c r="X34" s="169"/>
      <c r="Y34" s="171"/>
      <c r="Z34" s="282"/>
      <c r="AA34" s="171">
        <f>T34</f>
        <v>13440</v>
      </c>
      <c r="AB34" s="282">
        <f>T34</f>
        <v>13440</v>
      </c>
      <c r="AD34" s="152"/>
    </row>
    <row r="35" spans="1:30" x14ac:dyDescent="0.3">
      <c r="A35" s="156" t="s">
        <v>662</v>
      </c>
      <c r="B35" s="157" t="s">
        <v>82</v>
      </c>
      <c r="C35" s="157" t="s">
        <v>517</v>
      </c>
      <c r="D35" s="157" t="s">
        <v>21</v>
      </c>
      <c r="E35" s="157" t="s">
        <v>518</v>
      </c>
      <c r="F35" s="158" t="s">
        <v>551</v>
      </c>
      <c r="G35" s="157">
        <v>1</v>
      </c>
      <c r="H35" s="157" t="s">
        <v>24</v>
      </c>
      <c r="I35" s="159">
        <v>1</v>
      </c>
      <c r="J35" s="161"/>
      <c r="K35" s="161"/>
      <c r="L35" s="2209"/>
      <c r="M35" s="163">
        <v>1</v>
      </c>
      <c r="N35" s="166">
        <v>15000</v>
      </c>
      <c r="O35" s="173">
        <v>0.25</v>
      </c>
      <c r="P35" s="166">
        <f>N35*(1-O35)</f>
        <v>11250</v>
      </c>
      <c r="Q35" s="166">
        <f t="shared" si="0"/>
        <v>11250</v>
      </c>
      <c r="R35" s="206" t="e">
        <f>(Q35+Q36+#REF!+#REF!)/E12*1000</f>
        <v>#REF!</v>
      </c>
      <c r="S35" s="318">
        <f t="shared" si="1"/>
        <v>0.14296243582575102</v>
      </c>
      <c r="T35" s="168">
        <f t="shared" si="2"/>
        <v>22500</v>
      </c>
      <c r="U35" s="150">
        <f t="shared" si="3"/>
        <v>22500</v>
      </c>
      <c r="V35" s="169"/>
      <c r="Y35" s="152"/>
      <c r="Z35" s="282"/>
      <c r="AA35" s="171">
        <f>T35</f>
        <v>22500</v>
      </c>
      <c r="AB35" s="282">
        <f t="shared" ref="AB35:AB40" si="4">T35</f>
        <v>22500</v>
      </c>
      <c r="AD35" s="152"/>
    </row>
    <row r="36" spans="1:30" x14ac:dyDescent="0.3">
      <c r="A36" s="156" t="s">
        <v>662</v>
      </c>
      <c r="B36" s="157" t="s">
        <v>82</v>
      </c>
      <c r="C36" s="157" t="s">
        <v>517</v>
      </c>
      <c r="D36" s="157" t="s">
        <v>21</v>
      </c>
      <c r="E36" s="157" t="s">
        <v>518</v>
      </c>
      <c r="F36" s="158" t="s">
        <v>551</v>
      </c>
      <c r="G36" s="157">
        <v>1</v>
      </c>
      <c r="H36" s="157" t="s">
        <v>24</v>
      </c>
      <c r="I36" s="159">
        <v>1</v>
      </c>
      <c r="J36" s="161"/>
      <c r="K36" s="161"/>
      <c r="L36" s="2209"/>
      <c r="M36" s="163">
        <v>1</v>
      </c>
      <c r="N36" s="166">
        <v>32960</v>
      </c>
      <c r="O36" s="173">
        <v>0.25</v>
      </c>
      <c r="P36" s="166">
        <f t="shared" ref="P36:P39" si="5">N36*(1-O36)</f>
        <v>24720</v>
      </c>
      <c r="Q36" s="166">
        <f t="shared" si="0"/>
        <v>24720</v>
      </c>
      <c r="R36" s="206"/>
      <c r="S36" s="318">
        <f t="shared" si="1"/>
        <v>0.31413612565445026</v>
      </c>
      <c r="T36" s="168">
        <f t="shared" si="2"/>
        <v>49440</v>
      </c>
      <c r="U36" s="150">
        <f t="shared" si="3"/>
        <v>49440</v>
      </c>
      <c r="V36" s="169"/>
      <c r="Y36" s="152"/>
      <c r="Z36" s="282"/>
      <c r="AA36" s="171">
        <f>T36</f>
        <v>49440</v>
      </c>
      <c r="AB36" s="282">
        <f t="shared" si="4"/>
        <v>49440</v>
      </c>
      <c r="AD36" s="152"/>
    </row>
    <row r="37" spans="1:30" x14ac:dyDescent="0.3">
      <c r="A37" s="156" t="s">
        <v>662</v>
      </c>
      <c r="B37" s="157" t="s">
        <v>82</v>
      </c>
      <c r="C37" s="157" t="s">
        <v>517</v>
      </c>
      <c r="D37" s="157" t="s">
        <v>27</v>
      </c>
      <c r="E37" s="157" t="s">
        <v>520</v>
      </c>
      <c r="F37" s="158" t="s">
        <v>655</v>
      </c>
      <c r="G37" s="157">
        <v>10</v>
      </c>
      <c r="H37" s="157" t="s">
        <v>24</v>
      </c>
      <c r="I37" s="175">
        <v>10</v>
      </c>
      <c r="J37" s="176"/>
      <c r="K37" s="179"/>
      <c r="L37" s="180"/>
      <c r="M37" s="163">
        <v>1</v>
      </c>
      <c r="N37" s="166">
        <v>1560</v>
      </c>
      <c r="O37" s="173">
        <v>0.25</v>
      </c>
      <c r="P37" s="166">
        <f t="shared" si="5"/>
        <v>1170</v>
      </c>
      <c r="Q37" s="166">
        <f t="shared" si="0"/>
        <v>11700</v>
      </c>
      <c r="R37" s="206" t="e">
        <f>(Q37+#REF!)/E12*1000</f>
        <v>#REF!</v>
      </c>
      <c r="S37" s="320">
        <f t="shared" si="1"/>
        <v>0.14868093325878107</v>
      </c>
      <c r="T37" s="168">
        <f>Q37*2</f>
        <v>23400</v>
      </c>
      <c r="U37" s="150">
        <f t="shared" si="3"/>
        <v>23400</v>
      </c>
      <c r="W37" s="169"/>
      <c r="Y37" s="152"/>
      <c r="Z37" s="283">
        <f>T37</f>
        <v>23400</v>
      </c>
      <c r="AA37" s="171"/>
      <c r="AB37" s="282">
        <f t="shared" si="4"/>
        <v>23400</v>
      </c>
      <c r="AD37" s="152"/>
    </row>
    <row r="38" spans="1:30" x14ac:dyDescent="0.3">
      <c r="A38" s="156" t="s">
        <v>662</v>
      </c>
      <c r="B38" s="157" t="s">
        <v>82</v>
      </c>
      <c r="C38" s="157" t="s">
        <v>517</v>
      </c>
      <c r="D38" s="157" t="s">
        <v>26</v>
      </c>
      <c r="E38" s="157" t="s">
        <v>520</v>
      </c>
      <c r="F38" s="158" t="s">
        <v>523</v>
      </c>
      <c r="G38" s="157">
        <v>2</v>
      </c>
      <c r="H38" s="157" t="s">
        <v>24</v>
      </c>
      <c r="I38" s="182">
        <v>2</v>
      </c>
      <c r="J38" s="183"/>
      <c r="K38" s="183"/>
      <c r="L38" s="2239"/>
      <c r="M38" s="163">
        <v>1</v>
      </c>
      <c r="N38" s="166">
        <v>4068</v>
      </c>
      <c r="O38" s="173">
        <v>0.25</v>
      </c>
      <c r="P38" s="166">
        <f t="shared" si="5"/>
        <v>3051</v>
      </c>
      <c r="Q38" s="166">
        <f t="shared" si="0"/>
        <v>6102</v>
      </c>
      <c r="R38" s="206" t="e">
        <f>(Q38+#REF!+#REF!)/E12*1000</f>
        <v>#REF!</v>
      </c>
      <c r="S38" s="320">
        <f t="shared" si="1"/>
        <v>7.7542825191887363E-2</v>
      </c>
      <c r="T38" s="168">
        <f t="shared" ref="T38" si="6">Q38*2</f>
        <v>12204</v>
      </c>
      <c r="U38" s="150">
        <f t="shared" si="3"/>
        <v>12204</v>
      </c>
      <c r="Y38" s="152"/>
      <c r="Z38" s="282">
        <f>T38</f>
        <v>12204</v>
      </c>
      <c r="AA38" s="171"/>
      <c r="AB38" s="282">
        <f t="shared" si="4"/>
        <v>12204</v>
      </c>
      <c r="AD38" s="152"/>
    </row>
    <row r="39" spans="1:30" x14ac:dyDescent="0.3">
      <c r="A39" s="156" t="s">
        <v>662</v>
      </c>
      <c r="B39" s="157" t="s">
        <v>82</v>
      </c>
      <c r="C39" s="157" t="s">
        <v>517</v>
      </c>
      <c r="D39" s="157" t="s">
        <v>27</v>
      </c>
      <c r="E39" s="157" t="s">
        <v>520</v>
      </c>
      <c r="F39" s="158" t="s">
        <v>655</v>
      </c>
      <c r="G39" s="157">
        <v>10</v>
      </c>
      <c r="H39" s="157" t="s">
        <v>24</v>
      </c>
      <c r="I39" s="474"/>
      <c r="J39" s="1"/>
      <c r="K39" s="176">
        <v>10</v>
      </c>
      <c r="L39" s="177"/>
      <c r="M39" s="163">
        <v>1</v>
      </c>
      <c r="N39" s="166">
        <v>1560</v>
      </c>
      <c r="O39" s="173">
        <v>0.25</v>
      </c>
      <c r="P39" s="166">
        <f t="shared" si="5"/>
        <v>1170</v>
      </c>
      <c r="Q39" s="166">
        <f t="shared" si="0"/>
        <v>11700</v>
      </c>
      <c r="R39" s="206" t="e">
        <f>(Q39+#REF!)/E14*1000</f>
        <v>#REF!</v>
      </c>
      <c r="S39" s="320">
        <f t="shared" si="1"/>
        <v>0.14868093325878107</v>
      </c>
      <c r="T39" s="168">
        <f>Q39*2</f>
        <v>23400</v>
      </c>
      <c r="U39" s="150">
        <f t="shared" si="3"/>
        <v>23400</v>
      </c>
      <c r="W39" s="169"/>
      <c r="Y39" s="152"/>
      <c r="Z39" s="283">
        <f>T39</f>
        <v>23400</v>
      </c>
      <c r="AA39" s="171"/>
      <c r="AB39" s="282">
        <f t="shared" si="4"/>
        <v>23400</v>
      </c>
      <c r="AD39" s="152"/>
    </row>
    <row r="40" spans="1:30" x14ac:dyDescent="0.3">
      <c r="A40" s="156"/>
      <c r="B40" s="157"/>
      <c r="C40" s="157"/>
      <c r="D40" s="157"/>
      <c r="E40" s="157"/>
      <c r="F40" s="158"/>
      <c r="G40" s="157"/>
      <c r="H40" s="157"/>
      <c r="I40" s="474"/>
      <c r="J40" s="1"/>
      <c r="K40" s="1"/>
      <c r="L40" s="163"/>
      <c r="M40" s="163"/>
      <c r="N40" s="473"/>
      <c r="O40" s="165"/>
      <c r="P40" s="476"/>
      <c r="Q40" s="473"/>
      <c r="R40" s="9"/>
      <c r="S40" s="477"/>
      <c r="T40" s="478"/>
      <c r="U40" s="565"/>
      <c r="Y40" s="152"/>
      <c r="Z40" s="282"/>
      <c r="AA40" s="171"/>
      <c r="AB40" s="282">
        <f t="shared" si="4"/>
        <v>0</v>
      </c>
      <c r="AD40" s="152"/>
    </row>
    <row r="41" spans="1:30" x14ac:dyDescent="0.3">
      <c r="A41" s="189" t="s">
        <v>662</v>
      </c>
      <c r="B41" s="190" t="s">
        <v>528</v>
      </c>
      <c r="C41" s="190"/>
      <c r="D41" s="190"/>
      <c r="E41" s="190"/>
      <c r="F41" s="191"/>
      <c r="G41" s="190"/>
      <c r="H41" s="190"/>
      <c r="I41" s="192"/>
      <c r="J41" s="193"/>
      <c r="K41" s="193"/>
      <c r="L41" s="193"/>
      <c r="M41" s="190"/>
      <c r="N41" s="194"/>
      <c r="O41" s="195"/>
      <c r="P41" s="186"/>
      <c r="Q41" s="166"/>
      <c r="R41" s="288"/>
      <c r="S41" s="323"/>
      <c r="T41" s="168">
        <f t="shared" ref="T41:T42" si="7">Q41*2</f>
        <v>0</v>
      </c>
      <c r="U41" s="150"/>
      <c r="X41" s="169">
        <f>T41</f>
        <v>0</v>
      </c>
      <c r="Y41" s="152"/>
      <c r="Z41" s="280"/>
      <c r="AA41" s="171"/>
      <c r="AB41" s="280"/>
      <c r="AD41" s="152"/>
    </row>
    <row r="42" spans="1:30" x14ac:dyDescent="0.3">
      <c r="A42" s="365" t="s">
        <v>662</v>
      </c>
      <c r="B42" s="108" t="s">
        <v>529</v>
      </c>
      <c r="C42" s="108"/>
      <c r="D42" s="108" t="s">
        <v>530</v>
      </c>
      <c r="E42" s="108"/>
      <c r="F42" s="479"/>
      <c r="G42" s="108"/>
      <c r="H42" s="108"/>
      <c r="I42" s="254"/>
      <c r="J42" s="254"/>
      <c r="K42" s="254"/>
      <c r="L42" s="254"/>
      <c r="M42" s="108"/>
      <c r="N42" s="257"/>
      <c r="O42" s="109"/>
      <c r="P42" s="290"/>
      <c r="Q42" s="257">
        <v>6500</v>
      </c>
      <c r="R42" s="480"/>
      <c r="S42" s="367">
        <f>Q42/Q44</f>
        <v>8.2600518477100593E-2</v>
      </c>
      <c r="T42" s="168">
        <f t="shared" si="7"/>
        <v>13000</v>
      </c>
      <c r="U42" s="150"/>
      <c r="Y42" s="171">
        <f>T42</f>
        <v>13000</v>
      </c>
      <c r="Z42" s="280"/>
      <c r="AA42" s="152"/>
      <c r="AB42" s="280"/>
      <c r="AD42" s="152"/>
    </row>
    <row r="43" spans="1:30" x14ac:dyDescent="0.3">
      <c r="A43" s="280"/>
      <c r="I43" s="115">
        <f>I44/M44</f>
        <v>0.61538461538461542</v>
      </c>
      <c r="J43" s="115"/>
      <c r="K43" s="115">
        <f>K44/M44</f>
        <v>0.38461538461538464</v>
      </c>
      <c r="N43" s="5"/>
      <c r="O43" s="6"/>
      <c r="P43" s="5"/>
      <c r="Q43" s="5"/>
      <c r="R43" s="5"/>
      <c r="S43" s="322"/>
      <c r="T43" s="149"/>
      <c r="U43" s="150"/>
      <c r="Y43" s="152"/>
      <c r="Z43" s="280"/>
      <c r="AA43" s="152"/>
      <c r="AB43" s="280"/>
      <c r="AD43" s="152"/>
    </row>
    <row r="44" spans="1:30" x14ac:dyDescent="0.3">
      <c r="A44" s="212" t="s">
        <v>531</v>
      </c>
      <c r="B44" s="213"/>
      <c r="C44" s="213"/>
      <c r="D44" s="213"/>
      <c r="E44" s="213"/>
      <c r="F44" s="214"/>
      <c r="G44" s="213"/>
      <c r="H44" s="213"/>
      <c r="I44" s="213">
        <f>I38+I37+I36+I35+I34</f>
        <v>16</v>
      </c>
      <c r="J44" s="213"/>
      <c r="K44" s="213">
        <f>K39</f>
        <v>10</v>
      </c>
      <c r="L44" s="213"/>
      <c r="M44" s="213">
        <f>SUM(I44:L44)</f>
        <v>26</v>
      </c>
      <c r="N44" s="215"/>
      <c r="O44" s="216"/>
      <c r="P44" s="215"/>
      <c r="Q44" s="481">
        <f>SUM(Q34:Q43)</f>
        <v>78692</v>
      </c>
      <c r="R44" s="481"/>
      <c r="S44" s="218">
        <f>SUM(S34:S42)</f>
        <v>1</v>
      </c>
      <c r="T44" s="292">
        <f>SUM(T34:T43)</f>
        <v>157384</v>
      </c>
      <c r="U44" s="293">
        <f t="shared" ref="U44:AA44" si="8">SUM(U34:U42)</f>
        <v>144384</v>
      </c>
      <c r="V44" s="294">
        <f t="shared" si="8"/>
        <v>0</v>
      </c>
      <c r="W44" s="294">
        <f t="shared" si="8"/>
        <v>0</v>
      </c>
      <c r="X44" s="294">
        <f t="shared" si="8"/>
        <v>0</v>
      </c>
      <c r="Y44" s="295">
        <f t="shared" si="8"/>
        <v>13000</v>
      </c>
      <c r="Z44" s="296">
        <f t="shared" si="8"/>
        <v>59004</v>
      </c>
      <c r="AA44" s="295">
        <f t="shared" si="8"/>
        <v>85380</v>
      </c>
      <c r="AB44" s="611">
        <f>SUM(AB34:AB43)</f>
        <v>144384</v>
      </c>
      <c r="AC44" s="635"/>
      <c r="AD44" s="631"/>
    </row>
    <row r="45" spans="1:30" x14ac:dyDescent="0.3">
      <c r="A45" s="228" t="s">
        <v>532</v>
      </c>
      <c r="B45" s="229"/>
      <c r="C45" s="229"/>
      <c r="D45" s="229"/>
      <c r="E45" s="229"/>
      <c r="F45" s="230"/>
      <c r="G45" s="229"/>
      <c r="H45" s="229"/>
      <c r="I45" s="229">
        <f>I38+I37+I36+I35+I34</f>
        <v>16</v>
      </c>
      <c r="J45" s="229">
        <f>I38+I37+I36+I35+I34</f>
        <v>16</v>
      </c>
      <c r="K45" s="229">
        <f>I38+I36+I35+I34+K39</f>
        <v>16</v>
      </c>
      <c r="L45" s="229">
        <f>I38+I36+I35+I34+K39</f>
        <v>16</v>
      </c>
      <c r="M45" s="229">
        <f>SUM(I45:L45)</f>
        <v>64</v>
      </c>
      <c r="N45" s="231"/>
      <c r="O45" s="232"/>
      <c r="P45" s="231"/>
      <c r="Q45" s="231"/>
      <c r="R45" s="231"/>
      <c r="S45" s="233"/>
      <c r="T45" s="234"/>
      <c r="U45" s="235">
        <f>U44/T44</f>
        <v>0.91739948152289941</v>
      </c>
      <c r="V45" s="236">
        <f>V44/T44</f>
        <v>0</v>
      </c>
      <c r="W45" s="236">
        <f>W44/T44</f>
        <v>0</v>
      </c>
      <c r="X45" s="236">
        <f>X44/T44</f>
        <v>0</v>
      </c>
      <c r="Y45" s="297">
        <f>Y44/T44</f>
        <v>8.2600518477100593E-2</v>
      </c>
      <c r="Z45" s="298">
        <f>Z44/T44</f>
        <v>0.37490469170944951</v>
      </c>
      <c r="AA45" s="297">
        <f>AA44/T44</f>
        <v>0.5424947898134499</v>
      </c>
      <c r="AB45" s="573"/>
      <c r="AC45" s="487"/>
      <c r="AD45" s="242"/>
    </row>
    <row r="46" spans="1:30" x14ac:dyDescent="0.3">
      <c r="A46" s="243" t="s">
        <v>533</v>
      </c>
      <c r="B46" s="193"/>
      <c r="C46" s="193"/>
      <c r="D46" s="193"/>
      <c r="E46" s="193"/>
      <c r="F46" s="244"/>
      <c r="G46" s="193"/>
      <c r="H46" s="193"/>
      <c r="I46" s="2187">
        <v>0.25</v>
      </c>
      <c r="J46" s="245"/>
      <c r="K46" s="245"/>
      <c r="L46" s="245"/>
      <c r="M46" s="193"/>
      <c r="N46" s="246"/>
      <c r="O46" s="196"/>
      <c r="P46" s="246"/>
      <c r="Q46" s="194">
        <f>U44/2</f>
        <v>72192</v>
      </c>
      <c r="R46" s="288"/>
      <c r="S46" s="247">
        <f>Q46/Q51</f>
        <v>0.91739948152289941</v>
      </c>
      <c r="Y46" s="248"/>
      <c r="Z46" s="357">
        <f>I37+I38+K39</f>
        <v>22</v>
      </c>
      <c r="AA46" s="358">
        <f>I34+I35+I36</f>
        <v>4</v>
      </c>
    </row>
    <row r="47" spans="1:30" x14ac:dyDescent="0.3">
      <c r="A47" s="251" t="s">
        <v>11</v>
      </c>
      <c r="B47" s="252"/>
      <c r="C47" s="252"/>
      <c r="D47" s="252"/>
      <c r="E47" s="252"/>
      <c r="F47" s="253"/>
      <c r="G47" s="252"/>
      <c r="H47" s="252"/>
      <c r="I47" s="254"/>
      <c r="J47" s="254"/>
      <c r="K47" s="254"/>
      <c r="L47" s="254"/>
      <c r="M47" s="252"/>
      <c r="N47" s="255"/>
      <c r="O47" s="256"/>
      <c r="P47" s="255"/>
      <c r="Q47" s="257">
        <f>V44/2</f>
        <v>0</v>
      </c>
      <c r="R47" s="290"/>
      <c r="S47" s="256">
        <f>Q47/Q51</f>
        <v>0</v>
      </c>
      <c r="T47" s="574">
        <f>Q44/M44</f>
        <v>3026.6153846153848</v>
      </c>
      <c r="U47" s="489" t="s">
        <v>535</v>
      </c>
      <c r="Z47" s="195">
        <f>Z46/M44</f>
        <v>0.84615384615384615</v>
      </c>
      <c r="AA47" s="247">
        <f>AA46/M44</f>
        <v>0.15384615384615385</v>
      </c>
    </row>
    <row r="48" spans="1:30" x14ac:dyDescent="0.3">
      <c r="A48" s="251" t="s">
        <v>536</v>
      </c>
      <c r="B48" s="252"/>
      <c r="C48" s="252"/>
      <c r="D48" s="252"/>
      <c r="E48" s="252"/>
      <c r="F48" s="253"/>
      <c r="G48" s="252"/>
      <c r="H48" s="252"/>
      <c r="I48" s="254"/>
      <c r="J48" s="254"/>
      <c r="K48" s="254"/>
      <c r="L48" s="254"/>
      <c r="M48" s="252"/>
      <c r="N48" s="255"/>
      <c r="O48" s="256"/>
      <c r="P48" s="255"/>
      <c r="Q48" s="257">
        <f>W44/2</f>
        <v>0</v>
      </c>
      <c r="R48" s="290"/>
      <c r="S48" s="262">
        <f>Q48/Q51</f>
        <v>0</v>
      </c>
      <c r="V48" s="263"/>
      <c r="X48" s="99"/>
      <c r="Z48" s="2265" t="s">
        <v>537</v>
      </c>
      <c r="AA48" s="2265"/>
    </row>
    <row r="49" spans="1:30" x14ac:dyDescent="0.3">
      <c r="A49" s="251" t="s">
        <v>529</v>
      </c>
      <c r="B49" s="252"/>
      <c r="C49" s="252"/>
      <c r="D49" s="252"/>
      <c r="E49" s="252"/>
      <c r="F49" s="253"/>
      <c r="G49" s="252"/>
      <c r="H49" s="252"/>
      <c r="I49" s="254"/>
      <c r="J49" s="254"/>
      <c r="K49" s="254"/>
      <c r="L49" s="254"/>
      <c r="M49" s="252"/>
      <c r="N49" s="255"/>
      <c r="O49" s="256"/>
      <c r="P49" s="255"/>
      <c r="Q49" s="257">
        <f>Y44/2</f>
        <v>6500</v>
      </c>
      <c r="R49" s="290"/>
      <c r="S49" s="262">
        <f>Q49/Q51</f>
        <v>8.2600518477100593E-2</v>
      </c>
      <c r="V49" s="263"/>
    </row>
    <row r="50" spans="1:30" x14ac:dyDescent="0.3">
      <c r="A50" s="251" t="s">
        <v>528</v>
      </c>
      <c r="B50" s="252"/>
      <c r="C50" s="252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55"/>
      <c r="Q50" s="257">
        <f>X44/2</f>
        <v>0</v>
      </c>
      <c r="R50" s="290"/>
      <c r="S50" s="262">
        <f>Q50/Q51</f>
        <v>0</v>
      </c>
    </row>
    <row r="51" spans="1:30" x14ac:dyDescent="0.3">
      <c r="A51" s="251"/>
      <c r="B51" s="252"/>
      <c r="C51" s="252"/>
      <c r="D51" s="252"/>
      <c r="E51" s="252"/>
      <c r="F51" s="253"/>
      <c r="G51" s="252"/>
      <c r="H51" s="252"/>
      <c r="I51" s="254"/>
      <c r="J51" s="254"/>
      <c r="K51" s="254"/>
      <c r="L51" s="254"/>
      <c r="M51" s="252"/>
      <c r="N51" s="255"/>
      <c r="O51" s="256"/>
      <c r="P51" s="255"/>
      <c r="Q51" s="264">
        <f>SUM(Q46:Q50)</f>
        <v>78692</v>
      </c>
      <c r="R51" s="490"/>
      <c r="S51" s="262">
        <f>SUM(S46:S50)</f>
        <v>1</v>
      </c>
    </row>
    <row r="53" spans="1:30" ht="18" x14ac:dyDescent="0.35">
      <c r="A53" s="118" t="s">
        <v>538</v>
      </c>
      <c r="S53" s="98"/>
    </row>
    <row r="54" spans="1:30" x14ac:dyDescent="0.3">
      <c r="S54" s="98"/>
    </row>
    <row r="55" spans="1:30" x14ac:dyDescent="0.3">
      <c r="A55" s="2335" t="s">
        <v>480</v>
      </c>
      <c r="B55" s="2336"/>
      <c r="C55" s="2336"/>
      <c r="D55" s="2336"/>
      <c r="E55" s="2336"/>
      <c r="F55" s="2336"/>
      <c r="G55" s="2336"/>
      <c r="H55" s="2336"/>
      <c r="I55" s="2336"/>
      <c r="J55" s="2336"/>
      <c r="K55" s="2336"/>
      <c r="L55" s="2336"/>
      <c r="M55" s="2336"/>
      <c r="N55" s="2336"/>
      <c r="O55" s="2336"/>
      <c r="P55" s="2336"/>
      <c r="Q55" s="2336"/>
      <c r="R55" s="2336"/>
      <c r="S55" s="2337"/>
      <c r="T55" s="2374" t="s">
        <v>584</v>
      </c>
      <c r="U55" s="2375"/>
      <c r="V55" s="2375"/>
      <c r="W55" s="2375"/>
      <c r="X55" s="2375"/>
      <c r="Y55" s="2375"/>
      <c r="Z55" s="2375"/>
      <c r="AA55" s="2375"/>
      <c r="AB55" s="2375"/>
      <c r="AC55" s="2375"/>
      <c r="AD55" s="2376"/>
    </row>
    <row r="56" spans="1:30" ht="15.6" x14ac:dyDescent="0.3">
      <c r="A56" s="2284" t="s">
        <v>482</v>
      </c>
      <c r="B56" s="2286" t="s">
        <v>483</v>
      </c>
      <c r="C56" s="2286" t="s">
        <v>484</v>
      </c>
      <c r="D56" s="2286" t="s">
        <v>485</v>
      </c>
      <c r="E56" s="2286" t="s">
        <v>486</v>
      </c>
      <c r="F56" s="2288" t="s">
        <v>487</v>
      </c>
      <c r="G56" s="2286" t="s">
        <v>488</v>
      </c>
      <c r="H56" s="2286" t="s">
        <v>489</v>
      </c>
      <c r="I56" s="2266" t="s">
        <v>490</v>
      </c>
      <c r="J56" s="2266"/>
      <c r="K56" s="2266"/>
      <c r="L56" s="2266"/>
      <c r="M56" s="265" t="s">
        <v>491</v>
      </c>
      <c r="N56" s="266" t="s">
        <v>492</v>
      </c>
      <c r="O56" s="267" t="s">
        <v>493</v>
      </c>
      <c r="P56" s="266" t="s">
        <v>492</v>
      </c>
      <c r="Q56" s="266" t="s">
        <v>494</v>
      </c>
      <c r="R56" s="491" t="s">
        <v>585</v>
      </c>
      <c r="S56" s="2267" t="s">
        <v>495</v>
      </c>
      <c r="T56" s="124" t="s">
        <v>496</v>
      </c>
      <c r="U56" s="2364" t="s">
        <v>497</v>
      </c>
      <c r="V56" s="2365"/>
      <c r="W56" s="2365"/>
      <c r="X56" s="2365"/>
      <c r="Y56" s="2366"/>
      <c r="Z56" s="2361" t="s">
        <v>498</v>
      </c>
      <c r="AA56" s="2363"/>
      <c r="AB56" s="2361" t="s">
        <v>499</v>
      </c>
      <c r="AC56" s="2362"/>
      <c r="AD56" s="2363"/>
    </row>
    <row r="57" spans="1:30" ht="15.6" x14ac:dyDescent="0.3">
      <c r="A57" s="2285"/>
      <c r="B57" s="2287"/>
      <c r="C57" s="2287"/>
      <c r="D57" s="2287"/>
      <c r="E57" s="2287"/>
      <c r="F57" s="2289"/>
      <c r="G57" s="2287"/>
      <c r="H57" s="2287"/>
      <c r="I57" s="269" t="s">
        <v>500</v>
      </c>
      <c r="J57" s="269" t="s">
        <v>501</v>
      </c>
      <c r="K57" s="269" t="s">
        <v>502</v>
      </c>
      <c r="L57" s="269" t="s">
        <v>503</v>
      </c>
      <c r="M57" s="270" t="s">
        <v>504</v>
      </c>
      <c r="N57" s="271" t="s">
        <v>505</v>
      </c>
      <c r="O57" s="272" t="s">
        <v>506</v>
      </c>
      <c r="P57" s="271" t="s">
        <v>507</v>
      </c>
      <c r="Q57" s="271" t="s">
        <v>507</v>
      </c>
      <c r="R57" s="558"/>
      <c r="S57" s="2268"/>
      <c r="T57" s="130" t="s">
        <v>508</v>
      </c>
      <c r="U57" s="2298"/>
      <c r="V57" s="2299"/>
      <c r="W57" s="2299"/>
      <c r="X57" s="2299"/>
      <c r="Y57" s="2300"/>
      <c r="Z57" s="2303"/>
      <c r="AA57" s="2304"/>
      <c r="AB57" s="2303"/>
      <c r="AC57" s="2307"/>
      <c r="AD57" s="2304"/>
    </row>
    <row r="58" spans="1:30" ht="18" x14ac:dyDescent="0.35">
      <c r="A58" s="2262" t="s">
        <v>509</v>
      </c>
      <c r="B58" s="2263"/>
      <c r="C58" s="2263"/>
      <c r="D58" s="2263"/>
      <c r="E58" s="2263"/>
      <c r="F58" s="2263"/>
      <c r="G58" s="2263"/>
      <c r="H58" s="2263"/>
      <c r="I58" s="2263"/>
      <c r="J58" s="2263"/>
      <c r="K58" s="2263"/>
      <c r="L58" s="2263"/>
      <c r="M58" s="2263"/>
      <c r="N58" s="2263"/>
      <c r="O58" s="2263"/>
      <c r="P58" s="2263"/>
      <c r="Q58" s="2263"/>
      <c r="R58" s="2263"/>
      <c r="S58" s="2263"/>
      <c r="T58" s="559"/>
      <c r="U58" s="560" t="s">
        <v>510</v>
      </c>
      <c r="V58" s="561" t="s">
        <v>11</v>
      </c>
      <c r="W58" s="561" t="s">
        <v>511</v>
      </c>
      <c r="X58" s="561" t="s">
        <v>512</v>
      </c>
      <c r="Y58" s="562" t="s">
        <v>513</v>
      </c>
      <c r="Z58" s="563" t="s">
        <v>514</v>
      </c>
      <c r="AA58" s="562" t="s">
        <v>515</v>
      </c>
      <c r="AB58" s="563" t="s">
        <v>81</v>
      </c>
      <c r="AC58" s="561" t="s">
        <v>16</v>
      </c>
      <c r="AD58" s="562" t="s">
        <v>5</v>
      </c>
    </row>
    <row r="59" spans="1:30" x14ac:dyDescent="0.3">
      <c r="A59" s="154"/>
      <c r="B59" s="462"/>
      <c r="C59" s="462"/>
      <c r="D59" s="462"/>
      <c r="E59" s="462"/>
      <c r="F59" s="463"/>
      <c r="G59" s="462"/>
      <c r="H59" s="462"/>
      <c r="I59" s="465"/>
      <c r="J59" s="465"/>
      <c r="K59" s="465"/>
      <c r="L59" s="465"/>
      <c r="M59" s="462"/>
      <c r="N59" s="468"/>
      <c r="O59" s="469"/>
      <c r="P59" s="468"/>
      <c r="Q59" s="468"/>
      <c r="R59" s="470"/>
      <c r="S59" s="501"/>
      <c r="T59" s="149"/>
      <c r="U59" s="150"/>
      <c r="Y59" s="152"/>
      <c r="Z59" s="280"/>
      <c r="AA59" s="152"/>
      <c r="AB59" s="280"/>
      <c r="AD59" s="152"/>
    </row>
    <row r="60" spans="1:30" x14ac:dyDescent="0.3">
      <c r="A60" s="157" t="s">
        <v>662</v>
      </c>
      <c r="B60" s="157" t="s">
        <v>82</v>
      </c>
      <c r="C60" s="157" t="s">
        <v>517</v>
      </c>
      <c r="D60" s="157" t="s">
        <v>21</v>
      </c>
      <c r="E60" s="157" t="s">
        <v>518</v>
      </c>
      <c r="F60" s="158" t="s">
        <v>551</v>
      </c>
      <c r="G60" s="157">
        <v>1</v>
      </c>
      <c r="H60" s="157" t="s">
        <v>24</v>
      </c>
      <c r="I60" s="159">
        <v>1</v>
      </c>
      <c r="J60" s="161"/>
      <c r="K60" s="161"/>
      <c r="L60" s="2209"/>
      <c r="M60" s="163">
        <v>1</v>
      </c>
      <c r="N60" s="164">
        <v>4480</v>
      </c>
      <c r="O60" s="165">
        <v>0.25</v>
      </c>
      <c r="P60" s="166">
        <f>N60*(1-O60)</f>
        <v>3360</v>
      </c>
      <c r="Q60" s="166">
        <f t="shared" ref="Q60:Q65" si="9">P60*M60*G60</f>
        <v>3360</v>
      </c>
      <c r="R60" s="206" t="e">
        <f>(Q60+Q61+Q62+#REF!)/E36*1000</f>
        <v>#REF!</v>
      </c>
      <c r="S60" s="167">
        <f>Q60/$Q$73</f>
        <v>4.3897468056753153E-2</v>
      </c>
      <c r="T60" s="168">
        <f>Q60</f>
        <v>3360</v>
      </c>
      <c r="U60" s="150">
        <f t="shared" ref="U60:U66" si="10">T60</f>
        <v>3360</v>
      </c>
      <c r="V60" s="169"/>
      <c r="W60" s="169"/>
      <c r="X60" s="169"/>
      <c r="Y60" s="171"/>
      <c r="Z60" s="282"/>
      <c r="AA60" s="171">
        <f>T60</f>
        <v>3360</v>
      </c>
      <c r="AB60" s="282">
        <f t="shared" ref="AB60:AB65" si="11">T60</f>
        <v>3360</v>
      </c>
      <c r="AD60" s="152"/>
    </row>
    <row r="61" spans="1:30" x14ac:dyDescent="0.3">
      <c r="A61" s="157" t="s">
        <v>662</v>
      </c>
      <c r="B61" s="157" t="s">
        <v>82</v>
      </c>
      <c r="C61" s="157" t="s">
        <v>517</v>
      </c>
      <c r="D61" s="157" t="s">
        <v>21</v>
      </c>
      <c r="E61" s="157" t="s">
        <v>518</v>
      </c>
      <c r="F61" s="158" t="s">
        <v>551</v>
      </c>
      <c r="G61" s="157">
        <v>1</v>
      </c>
      <c r="H61" s="157" t="s">
        <v>24</v>
      </c>
      <c r="I61" s="159">
        <v>1</v>
      </c>
      <c r="J61" s="161"/>
      <c r="K61" s="161"/>
      <c r="L61" s="2209"/>
      <c r="M61" s="163">
        <v>1</v>
      </c>
      <c r="N61" s="166">
        <v>15000</v>
      </c>
      <c r="O61" s="173">
        <v>0.25</v>
      </c>
      <c r="P61" s="166">
        <f>N61*(1-O61)</f>
        <v>11250</v>
      </c>
      <c r="Q61" s="166">
        <f t="shared" si="9"/>
        <v>11250</v>
      </c>
      <c r="R61" s="206" t="e">
        <f>(Q61+#REF!+#REF!+#REF!)/E37*1000</f>
        <v>#REF!</v>
      </c>
      <c r="S61" s="167">
        <f>Q61/$Q$73</f>
        <v>0.14697812965430743</v>
      </c>
      <c r="T61" s="168">
        <f t="shared" ref="T61:T67" si="12">Q61</f>
        <v>11250</v>
      </c>
      <c r="U61" s="150">
        <f t="shared" si="10"/>
        <v>11250</v>
      </c>
      <c r="V61" s="169"/>
      <c r="Y61" s="152"/>
      <c r="Z61" s="282"/>
      <c r="AA61" s="171">
        <f>T61</f>
        <v>11250</v>
      </c>
      <c r="AB61" s="282">
        <f t="shared" si="11"/>
        <v>11250</v>
      </c>
      <c r="AD61" s="152"/>
    </row>
    <row r="62" spans="1:30" x14ac:dyDescent="0.3">
      <c r="A62" s="157" t="s">
        <v>662</v>
      </c>
      <c r="B62" s="157" t="s">
        <v>82</v>
      </c>
      <c r="C62" s="157" t="s">
        <v>517</v>
      </c>
      <c r="D62" s="157" t="s">
        <v>27</v>
      </c>
      <c r="E62" s="157" t="s">
        <v>520</v>
      </c>
      <c r="F62" s="158" t="s">
        <v>655</v>
      </c>
      <c r="G62" s="157">
        <v>13</v>
      </c>
      <c r="H62" s="157" t="s">
        <v>24</v>
      </c>
      <c r="I62" s="175">
        <v>13</v>
      </c>
      <c r="J62" s="176"/>
      <c r="K62" s="179"/>
      <c r="L62" s="180"/>
      <c r="M62" s="163">
        <v>1</v>
      </c>
      <c r="N62" s="166">
        <v>1560</v>
      </c>
      <c r="O62" s="173">
        <v>0.25</v>
      </c>
      <c r="P62" s="166">
        <f t="shared" ref="P62:P65" si="13">N62*(1-O62)</f>
        <v>1170</v>
      </c>
      <c r="Q62" s="166">
        <f t="shared" si="9"/>
        <v>15210</v>
      </c>
      <c r="R62" s="206" t="e">
        <f>(Q62+#REF!)/E37*1000</f>
        <v>#REF!</v>
      </c>
      <c r="S62" s="178">
        <f>Q62/$Q$73</f>
        <v>0.19871443129262364</v>
      </c>
      <c r="T62" s="168">
        <f t="shared" si="12"/>
        <v>15210</v>
      </c>
      <c r="U62" s="150">
        <f t="shared" si="10"/>
        <v>15210</v>
      </c>
      <c r="W62" s="169"/>
      <c r="Y62" s="152"/>
      <c r="Z62" s="283">
        <f>T62</f>
        <v>15210</v>
      </c>
      <c r="AA62" s="171"/>
      <c r="AB62" s="282">
        <f t="shared" si="11"/>
        <v>15210</v>
      </c>
      <c r="AD62" s="152"/>
    </row>
    <row r="63" spans="1:30" x14ac:dyDescent="0.3">
      <c r="A63" s="157" t="s">
        <v>662</v>
      </c>
      <c r="B63" s="157" t="s">
        <v>82</v>
      </c>
      <c r="C63" s="157" t="s">
        <v>517</v>
      </c>
      <c r="D63" s="157" t="s">
        <v>26</v>
      </c>
      <c r="E63" s="157" t="s">
        <v>520</v>
      </c>
      <c r="F63" s="158" t="s">
        <v>523</v>
      </c>
      <c r="G63" s="157">
        <v>2</v>
      </c>
      <c r="H63" s="157" t="s">
        <v>24</v>
      </c>
      <c r="I63" s="182">
        <v>2</v>
      </c>
      <c r="J63" s="183"/>
      <c r="K63" s="183"/>
      <c r="L63" s="2239"/>
      <c r="M63" s="163">
        <v>1</v>
      </c>
      <c r="N63" s="166">
        <v>4068</v>
      </c>
      <c r="O63" s="173">
        <v>0.25</v>
      </c>
      <c r="P63" s="166">
        <f t="shared" si="13"/>
        <v>3051</v>
      </c>
      <c r="Q63" s="166">
        <f t="shared" si="9"/>
        <v>6102</v>
      </c>
      <c r="R63" s="206" t="e">
        <f>(Q63+#REF!+#REF!)/E37*1000</f>
        <v>#REF!</v>
      </c>
      <c r="S63" s="178">
        <f t="shared" ref="S63:S65" si="14">Q63/$Q$73</f>
        <v>7.9720937524496355E-2</v>
      </c>
      <c r="T63" s="168">
        <f t="shared" si="12"/>
        <v>6102</v>
      </c>
      <c r="U63" s="150">
        <f t="shared" si="10"/>
        <v>6102</v>
      </c>
      <c r="Y63" s="152"/>
      <c r="Z63" s="282">
        <f>T63</f>
        <v>6102</v>
      </c>
      <c r="AA63" s="171"/>
      <c r="AB63" s="282">
        <f t="shared" si="11"/>
        <v>6102</v>
      </c>
      <c r="AD63" s="152"/>
    </row>
    <row r="64" spans="1:30" x14ac:dyDescent="0.3">
      <c r="A64" s="157" t="s">
        <v>662</v>
      </c>
      <c r="B64" s="157" t="s">
        <v>82</v>
      </c>
      <c r="C64" s="157" t="s">
        <v>517</v>
      </c>
      <c r="D64" s="157" t="s">
        <v>27</v>
      </c>
      <c r="E64" s="157" t="s">
        <v>520</v>
      </c>
      <c r="F64" s="158" t="s">
        <v>655</v>
      </c>
      <c r="G64" s="157">
        <v>13</v>
      </c>
      <c r="H64" s="157" t="s">
        <v>24</v>
      </c>
      <c r="I64" s="474"/>
      <c r="J64" s="1"/>
      <c r="K64" s="176">
        <v>13</v>
      </c>
      <c r="L64" s="177"/>
      <c r="M64" s="163">
        <v>1</v>
      </c>
      <c r="N64" s="166">
        <v>1560</v>
      </c>
      <c r="O64" s="173">
        <v>0.25</v>
      </c>
      <c r="P64" s="166">
        <f t="shared" si="13"/>
        <v>1170</v>
      </c>
      <c r="Q64" s="166">
        <f t="shared" si="9"/>
        <v>15210</v>
      </c>
      <c r="R64" s="206" t="e">
        <f>(Q64+#REF!)/E39*1000</f>
        <v>#REF!</v>
      </c>
      <c r="S64" s="178">
        <f t="shared" si="14"/>
        <v>0.19871443129262364</v>
      </c>
      <c r="T64" s="168">
        <f t="shared" si="12"/>
        <v>15210</v>
      </c>
      <c r="U64" s="150">
        <f t="shared" si="10"/>
        <v>15210</v>
      </c>
      <c r="W64" s="169"/>
      <c r="Y64" s="152"/>
      <c r="Z64" s="283">
        <f>T64</f>
        <v>15210</v>
      </c>
      <c r="AA64" s="171"/>
      <c r="AB64" s="282">
        <f t="shared" si="11"/>
        <v>15210</v>
      </c>
      <c r="AD64" s="152"/>
    </row>
    <row r="65" spans="1:30" x14ac:dyDescent="0.3">
      <c r="A65" s="157" t="s">
        <v>662</v>
      </c>
      <c r="B65" s="157" t="s">
        <v>82</v>
      </c>
      <c r="C65" s="157" t="s">
        <v>592</v>
      </c>
      <c r="D65" s="157" t="s">
        <v>50</v>
      </c>
      <c r="E65" s="157" t="s">
        <v>520</v>
      </c>
      <c r="F65" s="158" t="s">
        <v>541</v>
      </c>
      <c r="G65" s="157">
        <v>7</v>
      </c>
      <c r="H65" s="157" t="s">
        <v>24</v>
      </c>
      <c r="I65" s="182">
        <v>7</v>
      </c>
      <c r="J65" s="183"/>
      <c r="K65" s="183"/>
      <c r="L65" s="2239"/>
      <c r="M65" s="163">
        <v>1</v>
      </c>
      <c r="N65" s="473">
        <v>1016</v>
      </c>
      <c r="O65" s="165">
        <v>0.25</v>
      </c>
      <c r="P65" s="476">
        <f t="shared" si="13"/>
        <v>762</v>
      </c>
      <c r="Q65" s="473">
        <f t="shared" si="9"/>
        <v>5334</v>
      </c>
      <c r="R65" s="9"/>
      <c r="S65" s="178">
        <f t="shared" si="14"/>
        <v>6.9687230540095638E-2</v>
      </c>
      <c r="T65" s="168">
        <f t="shared" si="12"/>
        <v>5334</v>
      </c>
      <c r="U65" s="565"/>
      <c r="W65" s="169">
        <f>T65</f>
        <v>5334</v>
      </c>
      <c r="Y65" s="152"/>
      <c r="Z65" s="283">
        <f>T65</f>
        <v>5334</v>
      </c>
      <c r="AA65" s="171"/>
      <c r="AB65" s="282">
        <f t="shared" si="11"/>
        <v>5334</v>
      </c>
      <c r="AD65" s="152"/>
    </row>
    <row r="66" spans="1:30" x14ac:dyDescent="0.3">
      <c r="A66" s="157" t="s">
        <v>662</v>
      </c>
      <c r="B66" s="157" t="s">
        <v>78</v>
      </c>
      <c r="C66" s="157"/>
      <c r="D66" s="157" t="s">
        <v>32</v>
      </c>
      <c r="E66" s="157" t="s">
        <v>650</v>
      </c>
      <c r="F66" s="158"/>
      <c r="G66" s="157">
        <v>4</v>
      </c>
      <c r="H66" s="157" t="s">
        <v>58</v>
      </c>
      <c r="I66" s="175">
        <v>4</v>
      </c>
      <c r="J66" s="1"/>
      <c r="K66" s="183">
        <v>4</v>
      </c>
      <c r="L66" s="163"/>
      <c r="M66" s="163">
        <v>2</v>
      </c>
      <c r="N66" s="473">
        <f>265*8</f>
        <v>2120</v>
      </c>
      <c r="O66" s="165">
        <v>0.4</v>
      </c>
      <c r="P66" s="476">
        <f>N66*(1-O66)</f>
        <v>1272</v>
      </c>
      <c r="Q66" s="473">
        <f>P66*G66*M66</f>
        <v>10176</v>
      </c>
      <c r="R66" s="9"/>
      <c r="S66" s="632">
        <f>Q66/$Q$73</f>
        <v>0.13294661754330955</v>
      </c>
      <c r="T66" s="168">
        <f t="shared" si="12"/>
        <v>10176</v>
      </c>
      <c r="U66" s="565">
        <f t="shared" si="10"/>
        <v>10176</v>
      </c>
      <c r="Y66" s="152"/>
      <c r="Z66" s="282"/>
      <c r="AA66" s="171"/>
      <c r="AB66" s="280"/>
      <c r="AC66" s="169">
        <f>T66</f>
        <v>10176</v>
      </c>
      <c r="AD66" s="152"/>
    </row>
    <row r="67" spans="1:30" x14ac:dyDescent="0.3">
      <c r="A67" s="157" t="s">
        <v>662</v>
      </c>
      <c r="B67" s="157" t="s">
        <v>41</v>
      </c>
      <c r="C67" s="157" t="s">
        <v>525</v>
      </c>
      <c r="D67" s="157" t="s">
        <v>79</v>
      </c>
      <c r="E67" s="157" t="s">
        <v>520</v>
      </c>
      <c r="F67" s="158" t="s">
        <v>541</v>
      </c>
      <c r="G67" s="157">
        <v>5</v>
      </c>
      <c r="H67" s="157" t="s">
        <v>24</v>
      </c>
      <c r="I67" s="182">
        <v>5</v>
      </c>
      <c r="J67" s="183"/>
      <c r="K67" s="183"/>
      <c r="L67" s="2239"/>
      <c r="M67" s="163">
        <v>1</v>
      </c>
      <c r="N67" s="473">
        <v>1600</v>
      </c>
      <c r="O67" s="165">
        <v>0.7</v>
      </c>
      <c r="P67" s="476">
        <f>N67*(1-O67)</f>
        <v>480.00000000000006</v>
      </c>
      <c r="Q67" s="473">
        <f>P67*G67*M67</f>
        <v>2400.0000000000005</v>
      </c>
      <c r="R67" s="9"/>
      <c r="S67" s="506">
        <f>Q67/$Q$73</f>
        <v>3.135533432625226E-2</v>
      </c>
      <c r="T67" s="168">
        <f t="shared" si="12"/>
        <v>2400.0000000000005</v>
      </c>
      <c r="U67" s="565"/>
      <c r="W67" s="169">
        <f>T67</f>
        <v>2400.0000000000005</v>
      </c>
      <c r="Y67" s="152"/>
      <c r="Z67" s="283">
        <f>T67</f>
        <v>2400.0000000000005</v>
      </c>
      <c r="AA67" s="171"/>
      <c r="AB67" s="280"/>
      <c r="AD67" s="171">
        <f>T67</f>
        <v>2400.0000000000005</v>
      </c>
    </row>
    <row r="68" spans="1:30" x14ac:dyDescent="0.3">
      <c r="A68" s="157"/>
      <c r="B68" s="157"/>
      <c r="C68" s="157"/>
      <c r="D68" s="157"/>
      <c r="E68" s="157"/>
      <c r="F68" s="158"/>
      <c r="G68" s="157"/>
      <c r="H68" s="157"/>
      <c r="I68" s="474"/>
      <c r="J68" s="1"/>
      <c r="K68" s="1"/>
      <c r="L68" s="163"/>
      <c r="M68" s="163"/>
      <c r="N68" s="473"/>
      <c r="O68" s="165"/>
      <c r="P68" s="476"/>
      <c r="Q68" s="473"/>
      <c r="R68" s="9"/>
      <c r="S68" s="506"/>
      <c r="T68" s="478"/>
      <c r="U68" s="565"/>
      <c r="Y68" s="152"/>
      <c r="Z68" s="282"/>
      <c r="AA68" s="171"/>
      <c r="AB68" s="280"/>
      <c r="AD68" s="152"/>
    </row>
    <row r="69" spans="1:30" x14ac:dyDescent="0.3">
      <c r="A69" s="157"/>
      <c r="B69" s="157"/>
      <c r="C69" s="157"/>
      <c r="D69" s="157"/>
      <c r="E69" s="157"/>
      <c r="F69" s="158"/>
      <c r="G69" s="157"/>
      <c r="H69" s="157"/>
      <c r="I69" s="474"/>
      <c r="J69" s="1"/>
      <c r="K69" s="1"/>
      <c r="L69" s="163"/>
      <c r="M69" s="163"/>
      <c r="N69" s="473"/>
      <c r="O69" s="165"/>
      <c r="P69" s="476"/>
      <c r="Q69" s="473"/>
      <c r="R69" s="9"/>
      <c r="S69" s="506"/>
      <c r="T69" s="478"/>
      <c r="U69" s="565"/>
      <c r="Y69" s="152"/>
      <c r="Z69" s="282"/>
      <c r="AA69" s="171"/>
      <c r="AB69" s="280"/>
      <c r="AD69" s="152"/>
    </row>
    <row r="70" spans="1:30" x14ac:dyDescent="0.3">
      <c r="A70" s="190" t="s">
        <v>662</v>
      </c>
      <c r="B70" s="190" t="s">
        <v>528</v>
      </c>
      <c r="C70" s="190"/>
      <c r="D70" s="190"/>
      <c r="E70" s="190"/>
      <c r="F70" s="191"/>
      <c r="G70" s="190"/>
      <c r="H70" s="190"/>
      <c r="I70" s="192"/>
      <c r="J70" s="193"/>
      <c r="K70" s="193"/>
      <c r="L70" s="630"/>
      <c r="M70" s="630"/>
      <c r="N70" s="194"/>
      <c r="O70" s="195"/>
      <c r="P70" s="186"/>
      <c r="Q70" s="166"/>
      <c r="R70" s="288"/>
      <c r="S70" s="196"/>
      <c r="T70" s="168">
        <f t="shared" ref="T70" si="15">Q70*2</f>
        <v>0</v>
      </c>
      <c r="U70" s="150"/>
      <c r="X70" s="169">
        <f>T70</f>
        <v>0</v>
      </c>
      <c r="Y70" s="152"/>
      <c r="Z70" s="280"/>
      <c r="AA70" s="171"/>
      <c r="AB70" s="280"/>
      <c r="AD70" s="152"/>
    </row>
    <row r="71" spans="1:30" x14ac:dyDescent="0.3">
      <c r="A71" s="108" t="s">
        <v>662</v>
      </c>
      <c r="B71" s="108" t="s">
        <v>529</v>
      </c>
      <c r="C71" s="108"/>
      <c r="D71" s="108" t="s">
        <v>530</v>
      </c>
      <c r="E71" s="108"/>
      <c r="F71" s="479"/>
      <c r="G71" s="108"/>
      <c r="H71" s="108"/>
      <c r="I71" s="254"/>
      <c r="J71" s="254"/>
      <c r="K71" s="254"/>
      <c r="L71" s="254"/>
      <c r="M71" s="108"/>
      <c r="N71" s="257"/>
      <c r="O71" s="109"/>
      <c r="P71" s="290"/>
      <c r="Q71" s="257">
        <v>7500</v>
      </c>
      <c r="R71" s="480"/>
      <c r="S71" s="291">
        <f>Q71/Q73</f>
        <v>9.7985419769538298E-2</v>
      </c>
      <c r="T71" s="168">
        <f>Q71</f>
        <v>7500</v>
      </c>
      <c r="U71" s="150"/>
      <c r="Y71" s="171">
        <f>T71</f>
        <v>7500</v>
      </c>
      <c r="Z71" s="280"/>
      <c r="AA71" s="152"/>
      <c r="AB71" s="280"/>
      <c r="AD71" s="152"/>
    </row>
    <row r="72" spans="1:30" x14ac:dyDescent="0.3">
      <c r="I72" s="115">
        <f>I73/M73</f>
        <v>0.66</v>
      </c>
      <c r="K72" s="115">
        <f>K73/M73</f>
        <v>0.34</v>
      </c>
      <c r="T72" s="325"/>
      <c r="U72" s="150"/>
      <c r="Y72" s="152"/>
      <c r="Z72" s="280"/>
      <c r="AA72" s="152"/>
      <c r="AB72" s="280"/>
      <c r="AD72" s="152"/>
    </row>
    <row r="73" spans="1:30" x14ac:dyDescent="0.3">
      <c r="A73" s="212" t="s">
        <v>531</v>
      </c>
      <c r="B73" s="213"/>
      <c r="C73" s="213"/>
      <c r="D73" s="213"/>
      <c r="E73" s="213"/>
      <c r="F73" s="214"/>
      <c r="G73" s="213"/>
      <c r="H73" s="213"/>
      <c r="I73" s="213">
        <f>I63+I62+I61+I60+I65+I66+I67</f>
        <v>33</v>
      </c>
      <c r="J73" s="213"/>
      <c r="K73" s="213">
        <f>K66+K64</f>
        <v>17</v>
      </c>
      <c r="L73" s="213"/>
      <c r="M73" s="213">
        <f>SUM(I73:L73)</f>
        <v>50</v>
      </c>
      <c r="N73" s="215"/>
      <c r="O73" s="216"/>
      <c r="P73" s="215"/>
      <c r="Q73" s="481">
        <f>SUM(Q60:Q72)</f>
        <v>76542</v>
      </c>
      <c r="R73" s="481"/>
      <c r="S73" s="218">
        <f>SUM(S60:S71)</f>
        <v>1</v>
      </c>
      <c r="T73" s="292">
        <f>SUM(T60:T72)</f>
        <v>76542</v>
      </c>
      <c r="U73" s="293">
        <f t="shared" ref="U73:AA73" si="16">SUM(U60:U71)</f>
        <v>61308</v>
      </c>
      <c r="V73" s="294">
        <f t="shared" si="16"/>
        <v>0</v>
      </c>
      <c r="W73" s="294">
        <f t="shared" si="16"/>
        <v>7734</v>
      </c>
      <c r="X73" s="294">
        <f t="shared" si="16"/>
        <v>0</v>
      </c>
      <c r="Y73" s="295">
        <f t="shared" si="16"/>
        <v>7500</v>
      </c>
      <c r="Z73" s="296">
        <f t="shared" si="16"/>
        <v>44256</v>
      </c>
      <c r="AA73" s="295">
        <f t="shared" si="16"/>
        <v>14610</v>
      </c>
      <c r="AB73" s="293">
        <f>SUM(AB60:AB72)</f>
        <v>56466</v>
      </c>
      <c r="AC73" s="294">
        <f>SUM(AC60:AC72)</f>
        <v>10176</v>
      </c>
      <c r="AD73" s="295">
        <f>SUM(AD60:AD72)</f>
        <v>2400.0000000000005</v>
      </c>
    </row>
    <row r="74" spans="1:30" x14ac:dyDescent="0.3">
      <c r="A74" s="228" t="s">
        <v>532</v>
      </c>
      <c r="B74" s="229"/>
      <c r="C74" s="229"/>
      <c r="D74" s="229"/>
      <c r="E74" s="229"/>
      <c r="F74" s="230"/>
      <c r="G74" s="229"/>
      <c r="H74" s="229"/>
      <c r="I74" s="229">
        <f>I63+I62+I61+I60+I65+I66+I67</f>
        <v>33</v>
      </c>
      <c r="J74" s="229">
        <f>I63+I62+I61+I60+I65+I67</f>
        <v>29</v>
      </c>
      <c r="K74" s="229">
        <f>I63+I61+I60+K64+I65+K66+I67</f>
        <v>33</v>
      </c>
      <c r="L74" s="229">
        <f>I63+I61+I60+K64+I65+I67</f>
        <v>29</v>
      </c>
      <c r="M74" s="229">
        <f>SUM(I74:L74)</f>
        <v>124</v>
      </c>
      <c r="N74" s="231"/>
      <c r="O74" s="232"/>
      <c r="P74" s="231"/>
      <c r="Q74" s="231"/>
      <c r="R74" s="231"/>
      <c r="S74" s="233"/>
      <c r="T74" s="234"/>
      <c r="U74" s="235">
        <f>U73/T73</f>
        <v>0.80097201536411378</v>
      </c>
      <c r="V74" s="236">
        <f>V73/T73</f>
        <v>0</v>
      </c>
      <c r="W74" s="236">
        <f>W73/T73</f>
        <v>0.10104256486634788</v>
      </c>
      <c r="X74" s="236">
        <f>X73/T73</f>
        <v>0</v>
      </c>
      <c r="Y74" s="297">
        <f>Y73/T73</f>
        <v>9.7985419769538298E-2</v>
      </c>
      <c r="Z74" s="298">
        <f>Z73/T73</f>
        <v>0.57819236497609161</v>
      </c>
      <c r="AA74" s="297">
        <f>AA73/T73</f>
        <v>0.19087559771106061</v>
      </c>
      <c r="AB74" s="573"/>
      <c r="AC74" s="487"/>
      <c r="AD74" s="242"/>
    </row>
    <row r="75" spans="1:30" x14ac:dyDescent="0.3">
      <c r="A75" s="243" t="s">
        <v>533</v>
      </c>
      <c r="B75" s="193"/>
      <c r="C75" s="193"/>
      <c r="D75" s="193"/>
      <c r="E75" s="193"/>
      <c r="F75" s="244"/>
      <c r="G75" s="193"/>
      <c r="H75" s="193"/>
      <c r="I75" s="2182">
        <f>I74/M74</f>
        <v>0.2661290322580645</v>
      </c>
      <c r="J75" s="2182">
        <f>J74/M74</f>
        <v>0.23387096774193547</v>
      </c>
      <c r="K75" s="245"/>
      <c r="L75" s="245"/>
      <c r="M75" s="193"/>
      <c r="N75" s="246"/>
      <c r="O75" s="196"/>
      <c r="P75" s="246"/>
      <c r="Q75" s="194">
        <f>U73</f>
        <v>61308</v>
      </c>
      <c r="R75" s="288"/>
      <c r="S75" s="247">
        <f>Q75/Q80</f>
        <v>0.80097201536411378</v>
      </c>
      <c r="Y75" s="248"/>
      <c r="Z75" s="357">
        <f>I62+I63+K64+I67+I65</f>
        <v>40</v>
      </c>
      <c r="AA75" s="358">
        <f>I60+I61</f>
        <v>2</v>
      </c>
    </row>
    <row r="76" spans="1:30" x14ac:dyDescent="0.3">
      <c r="A76" s="251" t="s">
        <v>11</v>
      </c>
      <c r="B76" s="252"/>
      <c r="C76" s="252"/>
      <c r="D76" s="252"/>
      <c r="E76" s="252"/>
      <c r="F76" s="253"/>
      <c r="G76" s="252"/>
      <c r="H76" s="252"/>
      <c r="I76" s="254"/>
      <c r="J76" s="254"/>
      <c r="K76" s="254"/>
      <c r="L76" s="254"/>
      <c r="M76" s="252"/>
      <c r="N76" s="255"/>
      <c r="O76" s="256"/>
      <c r="P76" s="255"/>
      <c r="Q76" s="257">
        <f>V73</f>
        <v>0</v>
      </c>
      <c r="R76" s="290"/>
      <c r="S76" s="256">
        <f>Q76/Q80</f>
        <v>0</v>
      </c>
      <c r="T76" s="574">
        <f>Q73/M73</f>
        <v>1530.84</v>
      </c>
      <c r="U76" s="489" t="s">
        <v>535</v>
      </c>
      <c r="Z76" s="195">
        <f>Z75/M73</f>
        <v>0.8</v>
      </c>
      <c r="AA76" s="247">
        <f>AA75/M73</f>
        <v>0.04</v>
      </c>
    </row>
    <row r="77" spans="1:30" x14ac:dyDescent="0.3">
      <c r="A77" s="251" t="s">
        <v>536</v>
      </c>
      <c r="B77" s="252"/>
      <c r="C77" s="252"/>
      <c r="D77" s="252"/>
      <c r="E77" s="252"/>
      <c r="F77" s="253"/>
      <c r="G77" s="252"/>
      <c r="H77" s="252"/>
      <c r="I77" s="254"/>
      <c r="J77" s="254"/>
      <c r="K77" s="254"/>
      <c r="L77" s="254"/>
      <c r="M77" s="252"/>
      <c r="N77" s="255"/>
      <c r="O77" s="256"/>
      <c r="P77" s="255"/>
      <c r="Q77" s="257">
        <f>W73</f>
        <v>7734</v>
      </c>
      <c r="R77" s="290"/>
      <c r="S77" s="262">
        <f>Q77/Q80</f>
        <v>0.10104256486634788</v>
      </c>
      <c r="V77" s="263"/>
      <c r="X77" s="99"/>
      <c r="Z77" s="2265" t="s">
        <v>537</v>
      </c>
      <c r="AA77" s="2265"/>
    </row>
    <row r="78" spans="1:30" x14ac:dyDescent="0.3">
      <c r="A78" s="251" t="s">
        <v>529</v>
      </c>
      <c r="B78" s="252"/>
      <c r="C78" s="252"/>
      <c r="D78" s="252"/>
      <c r="E78" s="252"/>
      <c r="F78" s="253"/>
      <c r="G78" s="252"/>
      <c r="H78" s="252"/>
      <c r="I78" s="254"/>
      <c r="J78" s="254"/>
      <c r="K78" s="254"/>
      <c r="L78" s="254"/>
      <c r="M78" s="252"/>
      <c r="N78" s="255"/>
      <c r="O78" s="256"/>
      <c r="P78" s="255"/>
      <c r="Q78" s="257">
        <f>Y73</f>
        <v>7500</v>
      </c>
      <c r="R78" s="290"/>
      <c r="S78" s="262">
        <f>Q78/Q80</f>
        <v>9.7985419769538298E-2</v>
      </c>
      <c r="V78" s="263"/>
    </row>
    <row r="79" spans="1:30" x14ac:dyDescent="0.3">
      <c r="A79" s="251" t="s">
        <v>528</v>
      </c>
      <c r="B79" s="252"/>
      <c r="C79" s="252"/>
      <c r="D79" s="252"/>
      <c r="E79" s="252"/>
      <c r="F79" s="253"/>
      <c r="G79" s="252"/>
      <c r="H79" s="252"/>
      <c r="I79" s="254"/>
      <c r="J79" s="254"/>
      <c r="K79" s="254"/>
      <c r="L79" s="254"/>
      <c r="M79" s="252"/>
      <c r="N79" s="255"/>
      <c r="O79" s="256"/>
      <c r="P79" s="255"/>
      <c r="Q79" s="257">
        <f>X73</f>
        <v>0</v>
      </c>
      <c r="R79" s="290"/>
      <c r="S79" s="262">
        <f>Q79/Q80</f>
        <v>0</v>
      </c>
    </row>
    <row r="80" spans="1:30" x14ac:dyDescent="0.3">
      <c r="A80" s="251"/>
      <c r="B80" s="252"/>
      <c r="C80" s="252"/>
      <c r="D80" s="252"/>
      <c r="E80" s="252"/>
      <c r="F80" s="253"/>
      <c r="G80" s="252"/>
      <c r="H80" s="252"/>
      <c r="I80" s="254"/>
      <c r="J80" s="254"/>
      <c r="K80" s="254"/>
      <c r="L80" s="254"/>
      <c r="M80" s="252"/>
      <c r="N80" s="255"/>
      <c r="O80" s="256"/>
      <c r="P80" s="255"/>
      <c r="Q80" s="264">
        <f>SUM(Q75:Q79)</f>
        <v>76542</v>
      </c>
      <c r="R80" s="490"/>
      <c r="S80" s="262">
        <f>SUM(S75:S79)</f>
        <v>1</v>
      </c>
    </row>
    <row r="81" spans="1:30" x14ac:dyDescent="0.3">
      <c r="B81" s="2"/>
    </row>
    <row r="83" spans="1:30" x14ac:dyDescent="0.3">
      <c r="B83" s="2"/>
    </row>
    <row r="84" spans="1:30" x14ac:dyDescent="0.3">
      <c r="B84" s="2"/>
      <c r="E84" s="1" t="s">
        <v>543</v>
      </c>
      <c r="F84" s="2" t="s">
        <v>663</v>
      </c>
      <c r="G84" s="1" t="s">
        <v>545</v>
      </c>
      <c r="H84" s="1"/>
      <c r="I84" s="2305">
        <v>0.85</v>
      </c>
      <c r="J84" s="98"/>
      <c r="K84" s="98"/>
    </row>
    <row r="85" spans="1:30" x14ac:dyDescent="0.3">
      <c r="B85" s="2"/>
      <c r="E85" s="1" t="s">
        <v>473</v>
      </c>
      <c r="F85" s="2" t="s">
        <v>617</v>
      </c>
      <c r="G85" s="1" t="s">
        <v>473</v>
      </c>
      <c r="H85" s="1"/>
      <c r="I85" s="1">
        <v>32</v>
      </c>
      <c r="J85" s="1"/>
      <c r="K85" s="1"/>
    </row>
    <row r="86" spans="1:30" x14ac:dyDescent="0.3">
      <c r="B86" s="2"/>
      <c r="E86" s="1" t="s">
        <v>475</v>
      </c>
      <c r="F86" s="2" t="s">
        <v>664</v>
      </c>
      <c r="G86" s="1" t="s">
        <v>475</v>
      </c>
      <c r="H86" s="1"/>
      <c r="I86" s="95">
        <v>679</v>
      </c>
      <c r="J86" s="95"/>
      <c r="K86" s="95"/>
    </row>
    <row r="87" spans="1:30" x14ac:dyDescent="0.3">
      <c r="B87" s="2"/>
      <c r="E87" s="1" t="s">
        <v>477</v>
      </c>
      <c r="F87" s="2" t="s">
        <v>665</v>
      </c>
      <c r="G87" s="1" t="s">
        <v>477</v>
      </c>
      <c r="H87" s="1"/>
      <c r="I87" s="95">
        <v>2315789</v>
      </c>
      <c r="J87" s="95"/>
      <c r="K87" s="95"/>
    </row>
    <row r="88" spans="1:30" x14ac:dyDescent="0.3">
      <c r="B88" s="2"/>
    </row>
    <row r="89" spans="1:30" ht="18" x14ac:dyDescent="0.35">
      <c r="A89" s="118" t="s">
        <v>596</v>
      </c>
      <c r="S89" s="98"/>
    </row>
    <row r="91" spans="1:30" x14ac:dyDescent="0.3">
      <c r="A91" s="2335" t="s">
        <v>480</v>
      </c>
      <c r="B91" s="2336"/>
      <c r="C91" s="2336"/>
      <c r="D91" s="2336"/>
      <c r="E91" s="2336"/>
      <c r="F91" s="2336"/>
      <c r="G91" s="2336"/>
      <c r="H91" s="2336"/>
      <c r="I91" s="2336"/>
      <c r="J91" s="2336"/>
      <c r="K91" s="2336"/>
      <c r="L91" s="2336"/>
      <c r="M91" s="2336"/>
      <c r="N91" s="2336"/>
      <c r="O91" s="2336"/>
      <c r="P91" s="2336"/>
      <c r="Q91" s="2336"/>
      <c r="R91" s="2336"/>
      <c r="S91" s="2337"/>
      <c r="T91" s="2374" t="s">
        <v>584</v>
      </c>
      <c r="U91" s="2375"/>
      <c r="V91" s="2375"/>
      <c r="W91" s="2375"/>
      <c r="X91" s="2375"/>
      <c r="Y91" s="2375"/>
      <c r="Z91" s="2375"/>
      <c r="AA91" s="2375"/>
      <c r="AB91" s="2375"/>
      <c r="AC91" s="2375"/>
      <c r="AD91" s="2376"/>
    </row>
    <row r="92" spans="1:30" ht="15.6" x14ac:dyDescent="0.3">
      <c r="A92" s="2256" t="s">
        <v>482</v>
      </c>
      <c r="B92" s="2258" t="s">
        <v>483</v>
      </c>
      <c r="C92" s="2258" t="s">
        <v>484</v>
      </c>
      <c r="D92" s="2258" t="s">
        <v>485</v>
      </c>
      <c r="E92" s="2258" t="s">
        <v>486</v>
      </c>
      <c r="F92" s="2260" t="s">
        <v>487</v>
      </c>
      <c r="G92" s="2258" t="s">
        <v>488</v>
      </c>
      <c r="H92" s="2258" t="s">
        <v>489</v>
      </c>
      <c r="I92" s="2240" t="s">
        <v>490</v>
      </c>
      <c r="J92" s="2240"/>
      <c r="K92" s="2240"/>
      <c r="L92" s="2240"/>
      <c r="M92" s="305" t="s">
        <v>491</v>
      </c>
      <c r="N92" s="306" t="s">
        <v>492</v>
      </c>
      <c r="O92" s="307" t="s">
        <v>493</v>
      </c>
      <c r="P92" s="306" t="s">
        <v>492</v>
      </c>
      <c r="Q92" s="306" t="s">
        <v>494</v>
      </c>
      <c r="R92" s="512" t="s">
        <v>585</v>
      </c>
      <c r="S92" s="2343" t="s">
        <v>495</v>
      </c>
      <c r="T92" s="513" t="s">
        <v>496</v>
      </c>
      <c r="U92" s="2345" t="s">
        <v>497</v>
      </c>
      <c r="V92" s="2346"/>
      <c r="W92" s="2346"/>
      <c r="X92" s="2346"/>
      <c r="Y92" s="2347"/>
      <c r="Z92" s="2351" t="s">
        <v>498</v>
      </c>
      <c r="AA92" s="2352"/>
      <c r="AB92" s="2351" t="s">
        <v>499</v>
      </c>
      <c r="AC92" s="2355"/>
      <c r="AD92" s="2352"/>
    </row>
    <row r="93" spans="1:30" ht="15.6" x14ac:dyDescent="0.3">
      <c r="A93" s="2257"/>
      <c r="B93" s="2259"/>
      <c r="C93" s="2259"/>
      <c r="D93" s="2259"/>
      <c r="E93" s="2259"/>
      <c r="F93" s="2261"/>
      <c r="G93" s="2259"/>
      <c r="H93" s="2259"/>
      <c r="I93" s="310" t="s">
        <v>500</v>
      </c>
      <c r="J93" s="310" t="s">
        <v>501</v>
      </c>
      <c r="K93" s="310" t="s">
        <v>502</v>
      </c>
      <c r="L93" s="310" t="s">
        <v>503</v>
      </c>
      <c r="M93" s="311" t="s">
        <v>504</v>
      </c>
      <c r="N93" s="312" t="s">
        <v>505</v>
      </c>
      <c r="O93" s="313" t="s">
        <v>506</v>
      </c>
      <c r="P93" s="312" t="s">
        <v>507</v>
      </c>
      <c r="Q93" s="312" t="s">
        <v>507</v>
      </c>
      <c r="R93" s="514"/>
      <c r="S93" s="2344"/>
      <c r="T93" s="515" t="s">
        <v>508</v>
      </c>
      <c r="U93" s="2348"/>
      <c r="V93" s="2349"/>
      <c r="W93" s="2349"/>
      <c r="X93" s="2349"/>
      <c r="Y93" s="2350"/>
      <c r="Z93" s="2353"/>
      <c r="AA93" s="2354"/>
      <c r="AB93" s="2353"/>
      <c r="AC93" s="2356"/>
      <c r="AD93" s="2354"/>
    </row>
    <row r="94" spans="1:30" ht="18" x14ac:dyDescent="0.35">
      <c r="A94" s="2262" t="s">
        <v>550</v>
      </c>
      <c r="B94" s="2263"/>
      <c r="C94" s="2263"/>
      <c r="D94" s="2263"/>
      <c r="E94" s="2263"/>
      <c r="F94" s="2263"/>
      <c r="G94" s="2263"/>
      <c r="H94" s="2263"/>
      <c r="I94" s="2263"/>
      <c r="J94" s="2263"/>
      <c r="K94" s="2263"/>
      <c r="L94" s="2263"/>
      <c r="M94" s="2263"/>
      <c r="N94" s="2263"/>
      <c r="O94" s="2263"/>
      <c r="P94" s="2263"/>
      <c r="Q94" s="2263"/>
      <c r="R94" s="2263"/>
      <c r="S94" s="2264"/>
      <c r="T94" s="559"/>
      <c r="U94" s="560" t="s">
        <v>510</v>
      </c>
      <c r="V94" s="561" t="s">
        <v>11</v>
      </c>
      <c r="W94" s="561" t="s">
        <v>511</v>
      </c>
      <c r="X94" s="561" t="s">
        <v>512</v>
      </c>
      <c r="Y94" s="562" t="s">
        <v>513</v>
      </c>
      <c r="Z94" s="563" t="s">
        <v>514</v>
      </c>
      <c r="AA94" s="562" t="s">
        <v>515</v>
      </c>
      <c r="AB94" s="563" t="s">
        <v>81</v>
      </c>
      <c r="AC94" s="561" t="s">
        <v>16</v>
      </c>
      <c r="AD94" s="562" t="s">
        <v>5</v>
      </c>
    </row>
    <row r="95" spans="1:30" x14ac:dyDescent="0.3">
      <c r="A95" s="153"/>
      <c r="B95" s="462"/>
      <c r="C95" s="462"/>
      <c r="D95" s="462"/>
      <c r="E95" s="462"/>
      <c r="F95" s="463"/>
      <c r="G95" s="462"/>
      <c r="H95" s="462"/>
      <c r="I95" s="464"/>
      <c r="J95" s="465"/>
      <c r="K95" s="465"/>
      <c r="L95" s="466"/>
      <c r="M95" s="467"/>
      <c r="N95" s="468"/>
      <c r="O95" s="469"/>
      <c r="P95" s="468"/>
      <c r="Q95" s="468"/>
      <c r="R95" s="470"/>
      <c r="S95" s="471"/>
      <c r="T95" s="149"/>
      <c r="U95" s="150"/>
      <c r="Y95" s="152"/>
      <c r="Z95" s="280"/>
      <c r="AA95" s="152"/>
      <c r="AB95" s="280"/>
      <c r="AD95" s="152"/>
    </row>
    <row r="96" spans="1:30" x14ac:dyDescent="0.3">
      <c r="A96" s="156" t="s">
        <v>662</v>
      </c>
      <c r="B96" s="157" t="s">
        <v>82</v>
      </c>
      <c r="C96" s="157" t="s">
        <v>517</v>
      </c>
      <c r="D96" s="157" t="s">
        <v>21</v>
      </c>
      <c r="E96" s="157" t="s">
        <v>518</v>
      </c>
      <c r="F96" s="158" t="s">
        <v>588</v>
      </c>
      <c r="G96" s="157">
        <v>2</v>
      </c>
      <c r="H96" s="157" t="s">
        <v>24</v>
      </c>
      <c r="I96" s="159">
        <v>2</v>
      </c>
      <c r="J96" s="161"/>
      <c r="K96" s="161"/>
      <c r="L96" s="2209"/>
      <c r="M96" s="163">
        <v>1</v>
      </c>
      <c r="N96" s="164">
        <v>4480</v>
      </c>
      <c r="O96" s="165">
        <v>0.25</v>
      </c>
      <c r="P96" s="166">
        <f>N96*(1-O96)</f>
        <v>3360</v>
      </c>
      <c r="Q96" s="166">
        <f t="shared" ref="Q96:Q100" si="17">P96*M96*G96</f>
        <v>6720</v>
      </c>
      <c r="R96" s="206" t="e">
        <f>(Q96+Q97+Q98+#REF!)/E75*1000</f>
        <v>#REF!</v>
      </c>
      <c r="S96" s="318">
        <f>Q96/$Q$105</f>
        <v>0.12806830309498399</v>
      </c>
      <c r="T96" s="168">
        <f>Q96*4</f>
        <v>26880</v>
      </c>
      <c r="U96" s="150">
        <f t="shared" ref="U96:U100" si="18">T96</f>
        <v>26880</v>
      </c>
      <c r="V96" s="169"/>
      <c r="W96" s="169"/>
      <c r="X96" s="169"/>
      <c r="Y96" s="171"/>
      <c r="Z96" s="282"/>
      <c r="AA96" s="171">
        <f>T96</f>
        <v>26880</v>
      </c>
      <c r="AB96" s="282">
        <f>T96</f>
        <v>26880</v>
      </c>
      <c r="AD96" s="152"/>
    </row>
    <row r="97" spans="1:30" x14ac:dyDescent="0.3">
      <c r="A97" s="156" t="s">
        <v>662</v>
      </c>
      <c r="B97" s="157" t="s">
        <v>82</v>
      </c>
      <c r="C97" s="157" t="s">
        <v>517</v>
      </c>
      <c r="D97" s="157" t="s">
        <v>21</v>
      </c>
      <c r="E97" s="157" t="s">
        <v>518</v>
      </c>
      <c r="F97" s="158" t="s">
        <v>588</v>
      </c>
      <c r="G97" s="157">
        <v>1</v>
      </c>
      <c r="H97" s="157" t="s">
        <v>24</v>
      </c>
      <c r="I97" s="159">
        <v>1</v>
      </c>
      <c r="J97" s="161"/>
      <c r="K97" s="161"/>
      <c r="L97" s="2209"/>
      <c r="M97" s="163">
        <v>1</v>
      </c>
      <c r="N97" s="503">
        <v>15000</v>
      </c>
      <c r="O97" s="173">
        <v>0.25</v>
      </c>
      <c r="P97" s="166">
        <f>N97*(1-O97)</f>
        <v>11250</v>
      </c>
      <c r="Q97" s="166">
        <f t="shared" si="17"/>
        <v>11250</v>
      </c>
      <c r="R97" s="206" t="e">
        <f>(Q97+#REF!+#REF!+#REF!)/E76*1000</f>
        <v>#REF!</v>
      </c>
      <c r="S97" s="318">
        <f>Q97/$Q$105</f>
        <v>0.21440006098490624</v>
      </c>
      <c r="T97" s="168">
        <f t="shared" ref="T97:T100" si="19">Q97*4</f>
        <v>45000</v>
      </c>
      <c r="U97" s="150">
        <f t="shared" si="18"/>
        <v>45000</v>
      </c>
      <c r="V97" s="169"/>
      <c r="Y97" s="152"/>
      <c r="Z97" s="282"/>
      <c r="AA97" s="171">
        <f>T97</f>
        <v>45000</v>
      </c>
      <c r="AB97" s="282">
        <f t="shared" ref="AB97:AB100" si="20">T97</f>
        <v>45000</v>
      </c>
      <c r="AD97" s="152"/>
    </row>
    <row r="98" spans="1:30" x14ac:dyDescent="0.3">
      <c r="A98" s="156" t="s">
        <v>662</v>
      </c>
      <c r="B98" s="157" t="s">
        <v>82</v>
      </c>
      <c r="C98" s="157" t="s">
        <v>517</v>
      </c>
      <c r="D98" s="157" t="s">
        <v>27</v>
      </c>
      <c r="E98" s="157" t="s">
        <v>520</v>
      </c>
      <c r="F98" s="158" t="s">
        <v>519</v>
      </c>
      <c r="G98" s="157">
        <v>10</v>
      </c>
      <c r="H98" s="157" t="s">
        <v>24</v>
      </c>
      <c r="I98" s="175">
        <v>10</v>
      </c>
      <c r="J98" s="176"/>
      <c r="K98" s="179"/>
      <c r="L98" s="180"/>
      <c r="M98" s="163">
        <v>1</v>
      </c>
      <c r="N98" s="503">
        <v>1560</v>
      </c>
      <c r="O98" s="173">
        <v>0.25</v>
      </c>
      <c r="P98" s="166">
        <f t="shared" ref="P98:P100" si="21">N98*(1-O98)</f>
        <v>1170</v>
      </c>
      <c r="Q98" s="166">
        <f t="shared" si="17"/>
        <v>11700</v>
      </c>
      <c r="R98" s="206" t="e">
        <f>(Q98+#REF!)/E76*1000</f>
        <v>#REF!</v>
      </c>
      <c r="S98" s="320">
        <f>Q98/$Q$105</f>
        <v>0.22297606342430248</v>
      </c>
      <c r="T98" s="168">
        <f t="shared" si="19"/>
        <v>46800</v>
      </c>
      <c r="U98" s="150">
        <f t="shared" si="18"/>
        <v>46800</v>
      </c>
      <c r="W98" s="169"/>
      <c r="Y98" s="152"/>
      <c r="Z98" s="283">
        <f>T98</f>
        <v>46800</v>
      </c>
      <c r="AA98" s="171"/>
      <c r="AB98" s="282">
        <f t="shared" si="20"/>
        <v>46800</v>
      </c>
      <c r="AD98" s="152"/>
    </row>
    <row r="99" spans="1:30" x14ac:dyDescent="0.3">
      <c r="A99" s="156" t="s">
        <v>662</v>
      </c>
      <c r="B99" s="157" t="s">
        <v>82</v>
      </c>
      <c r="C99" s="157" t="s">
        <v>517</v>
      </c>
      <c r="D99" s="157" t="s">
        <v>26</v>
      </c>
      <c r="E99" s="157" t="s">
        <v>520</v>
      </c>
      <c r="F99" s="158" t="s">
        <v>43</v>
      </c>
      <c r="G99" s="157">
        <v>2</v>
      </c>
      <c r="H99" s="157" t="s">
        <v>24</v>
      </c>
      <c r="I99" s="182">
        <v>2</v>
      </c>
      <c r="J99" s="183"/>
      <c r="K99" s="183"/>
      <c r="L99" s="2239"/>
      <c r="M99" s="163">
        <v>1</v>
      </c>
      <c r="N99" s="503">
        <v>4068</v>
      </c>
      <c r="O99" s="173">
        <v>0.25</v>
      </c>
      <c r="P99" s="166">
        <f t="shared" si="21"/>
        <v>3051</v>
      </c>
      <c r="Q99" s="166">
        <f t="shared" si="17"/>
        <v>6102</v>
      </c>
      <c r="R99" s="206" t="e">
        <f>(Q99+#REF!+#REF!)/E76*1000</f>
        <v>#REF!</v>
      </c>
      <c r="S99" s="320">
        <f t="shared" ref="S99:S100" si="22">Q99/$Q$105</f>
        <v>0.11629059307821314</v>
      </c>
      <c r="T99" s="168">
        <f t="shared" si="19"/>
        <v>24408</v>
      </c>
      <c r="U99" s="150">
        <f t="shared" si="18"/>
        <v>24408</v>
      </c>
      <c r="Y99" s="152"/>
      <c r="Z99" s="282">
        <f>T99</f>
        <v>24408</v>
      </c>
      <c r="AA99" s="171"/>
      <c r="AB99" s="282">
        <f t="shared" si="20"/>
        <v>24408</v>
      </c>
      <c r="AD99" s="152"/>
    </row>
    <row r="100" spans="1:30" x14ac:dyDescent="0.3">
      <c r="A100" s="156" t="s">
        <v>662</v>
      </c>
      <c r="B100" s="157" t="s">
        <v>82</v>
      </c>
      <c r="C100" s="157" t="s">
        <v>517</v>
      </c>
      <c r="D100" s="157" t="s">
        <v>27</v>
      </c>
      <c r="E100" s="157" t="s">
        <v>520</v>
      </c>
      <c r="F100" s="158" t="s">
        <v>519</v>
      </c>
      <c r="G100" s="157">
        <v>10</v>
      </c>
      <c r="H100" s="157" t="s">
        <v>24</v>
      </c>
      <c r="I100" s="474"/>
      <c r="J100" s="1"/>
      <c r="K100" s="176">
        <v>10</v>
      </c>
      <c r="L100" s="177"/>
      <c r="M100" s="163">
        <v>1</v>
      </c>
      <c r="N100" s="503">
        <v>1560</v>
      </c>
      <c r="O100" s="173">
        <v>0.25</v>
      </c>
      <c r="P100" s="166">
        <f t="shared" si="21"/>
        <v>1170</v>
      </c>
      <c r="Q100" s="166">
        <f t="shared" si="17"/>
        <v>11700</v>
      </c>
      <c r="R100" s="206" t="e">
        <f>(Q100+#REF!)/E78*1000</f>
        <v>#REF!</v>
      </c>
      <c r="S100" s="320">
        <f t="shared" si="22"/>
        <v>0.22297606342430248</v>
      </c>
      <c r="T100" s="168">
        <f t="shared" si="19"/>
        <v>46800</v>
      </c>
      <c r="U100" s="150">
        <f t="shared" si="18"/>
        <v>46800</v>
      </c>
      <c r="W100" s="169"/>
      <c r="Y100" s="152"/>
      <c r="Z100" s="283">
        <f>T100</f>
        <v>46800</v>
      </c>
      <c r="AA100" s="171"/>
      <c r="AB100" s="282">
        <f t="shared" si="20"/>
        <v>46800</v>
      </c>
      <c r="AD100" s="152"/>
    </row>
    <row r="101" spans="1:30" x14ac:dyDescent="0.3">
      <c r="A101" s="156"/>
      <c r="B101" s="157"/>
      <c r="C101" s="157"/>
      <c r="D101" s="157"/>
      <c r="E101" s="157"/>
      <c r="F101" s="158"/>
      <c r="G101" s="157"/>
      <c r="H101" s="157"/>
      <c r="I101" s="474"/>
      <c r="J101" s="1"/>
      <c r="K101" s="1"/>
      <c r="L101" s="163"/>
      <c r="M101" s="163"/>
      <c r="N101" s="473"/>
      <c r="O101" s="165"/>
      <c r="P101" s="476"/>
      <c r="Q101" s="473"/>
      <c r="R101" s="9"/>
      <c r="S101" s="477"/>
      <c r="T101" s="478"/>
      <c r="U101" s="565"/>
      <c r="Y101" s="152"/>
      <c r="Z101" s="282"/>
      <c r="AA101" s="171"/>
      <c r="AB101" s="282"/>
      <c r="AD101" s="152"/>
    </row>
    <row r="102" spans="1:30" x14ac:dyDescent="0.3">
      <c r="A102" s="189" t="s">
        <v>662</v>
      </c>
      <c r="B102" s="190" t="s">
        <v>528</v>
      </c>
      <c r="C102" s="190"/>
      <c r="D102" s="190"/>
      <c r="E102" s="190"/>
      <c r="F102" s="191"/>
      <c r="G102" s="190"/>
      <c r="H102" s="190"/>
      <c r="I102" s="192"/>
      <c r="J102" s="193"/>
      <c r="K102" s="193"/>
      <c r="L102" s="193"/>
      <c r="M102" s="190"/>
      <c r="N102" s="194"/>
      <c r="O102" s="195"/>
      <c r="P102" s="186"/>
      <c r="Q102" s="166"/>
      <c r="R102" s="288"/>
      <c r="S102" s="323"/>
      <c r="T102" s="168">
        <f t="shared" ref="T102" si="23">Q102*2</f>
        <v>0</v>
      </c>
      <c r="U102" s="150"/>
      <c r="X102" s="169">
        <f>T102</f>
        <v>0</v>
      </c>
      <c r="Y102" s="152"/>
      <c r="Z102" s="280"/>
      <c r="AA102" s="171"/>
      <c r="AB102" s="280"/>
      <c r="AD102" s="152"/>
    </row>
    <row r="103" spans="1:30" x14ac:dyDescent="0.3">
      <c r="A103" s="365" t="s">
        <v>662</v>
      </c>
      <c r="B103" s="108" t="s">
        <v>529</v>
      </c>
      <c r="C103" s="108"/>
      <c r="D103" s="108" t="s">
        <v>530</v>
      </c>
      <c r="E103" s="108"/>
      <c r="F103" s="479"/>
      <c r="G103" s="108"/>
      <c r="H103" s="108"/>
      <c r="I103" s="254"/>
      <c r="J103" s="254"/>
      <c r="K103" s="254"/>
      <c r="L103" s="254"/>
      <c r="M103" s="108"/>
      <c r="N103" s="257"/>
      <c r="O103" s="109"/>
      <c r="P103" s="290"/>
      <c r="Q103" s="257">
        <v>5000</v>
      </c>
      <c r="R103" s="480"/>
      <c r="S103" s="367">
        <f>Q103/Q105</f>
        <v>9.5288915993291659E-2</v>
      </c>
      <c r="T103" s="168">
        <f>Q103*4</f>
        <v>20000</v>
      </c>
      <c r="U103" s="150"/>
      <c r="Y103" s="171">
        <f>T103</f>
        <v>20000</v>
      </c>
      <c r="Z103" s="280"/>
      <c r="AA103" s="152"/>
      <c r="AB103" s="280"/>
      <c r="AD103" s="152"/>
    </row>
    <row r="104" spans="1:30" x14ac:dyDescent="0.3">
      <c r="A104" s="368"/>
      <c r="B104" s="369"/>
      <c r="C104" s="369"/>
      <c r="D104" s="369"/>
      <c r="E104" s="369"/>
      <c r="F104" s="370"/>
      <c r="G104" s="369"/>
      <c r="H104" s="369"/>
      <c r="I104" s="2184">
        <f>I105/M105</f>
        <v>0.6</v>
      </c>
      <c r="J104" s="2184"/>
      <c r="K104" s="2184">
        <f>K105/M105</f>
        <v>0.4</v>
      </c>
      <c r="L104" s="208"/>
      <c r="M104" s="369"/>
      <c r="N104" s="371"/>
      <c r="O104" s="372"/>
      <c r="P104" s="371"/>
      <c r="Q104" s="371"/>
      <c r="R104" s="371"/>
      <c r="S104" s="261"/>
      <c r="T104" s="149"/>
      <c r="U104" s="150"/>
      <c r="Y104" s="152"/>
      <c r="Z104" s="280"/>
      <c r="AA104" s="152"/>
      <c r="AB104" s="280"/>
      <c r="AD104" s="152"/>
    </row>
    <row r="105" spans="1:30" x14ac:dyDescent="0.3">
      <c r="A105" s="326" t="s">
        <v>531</v>
      </c>
      <c r="B105" s="327"/>
      <c r="C105" s="327"/>
      <c r="D105" s="327"/>
      <c r="E105" s="327"/>
      <c r="F105" s="328"/>
      <c r="G105" s="327"/>
      <c r="H105" s="327"/>
      <c r="I105" s="327">
        <f>I99+I98+I97+I96</f>
        <v>15</v>
      </c>
      <c r="J105" s="327"/>
      <c r="K105" s="327">
        <f>K100</f>
        <v>10</v>
      </c>
      <c r="L105" s="327"/>
      <c r="M105" s="327">
        <f>SUM(I105:L105)</f>
        <v>25</v>
      </c>
      <c r="N105" s="329"/>
      <c r="O105" s="330"/>
      <c r="P105" s="329"/>
      <c r="Q105" s="331">
        <f>SUM(Q96:Q104)</f>
        <v>52472</v>
      </c>
      <c r="R105" s="331"/>
      <c r="S105" s="332">
        <f>SUM(S96:S103)</f>
        <v>1</v>
      </c>
      <c r="T105" s="333">
        <f>SUM(T96:T104)</f>
        <v>209888</v>
      </c>
      <c r="U105" s="334">
        <f t="shared" ref="U105:AB105" si="24">SUM(U96:U103)</f>
        <v>189888</v>
      </c>
      <c r="V105" s="335">
        <f t="shared" si="24"/>
        <v>0</v>
      </c>
      <c r="W105" s="335">
        <f t="shared" si="24"/>
        <v>0</v>
      </c>
      <c r="X105" s="335">
        <f t="shared" si="24"/>
        <v>0</v>
      </c>
      <c r="Y105" s="337">
        <f t="shared" si="24"/>
        <v>20000</v>
      </c>
      <c r="Z105" s="336">
        <f t="shared" si="24"/>
        <v>118008</v>
      </c>
      <c r="AA105" s="337">
        <f t="shared" si="24"/>
        <v>71880</v>
      </c>
      <c r="AB105" s="633">
        <f t="shared" si="24"/>
        <v>189888</v>
      </c>
      <c r="AC105" s="636"/>
      <c r="AD105" s="593"/>
    </row>
    <row r="106" spans="1:30" x14ac:dyDescent="0.3">
      <c r="A106" s="342" t="s">
        <v>532</v>
      </c>
      <c r="B106" s="343"/>
      <c r="C106" s="343"/>
      <c r="D106" s="343"/>
      <c r="E106" s="343"/>
      <c r="F106" s="344"/>
      <c r="G106" s="343"/>
      <c r="H106" s="343"/>
      <c r="I106" s="343">
        <f>I99+I98+I97+I96</f>
        <v>15</v>
      </c>
      <c r="J106" s="343">
        <f>I99+I98+I97+I96</f>
        <v>15</v>
      </c>
      <c r="K106" s="343">
        <f>I99+I97+I96+K100</f>
        <v>15</v>
      </c>
      <c r="L106" s="343">
        <f>I99+I97+I96+K100</f>
        <v>15</v>
      </c>
      <c r="M106" s="343">
        <f>SUM(I106:L106)</f>
        <v>60</v>
      </c>
      <c r="N106" s="345"/>
      <c r="O106" s="346"/>
      <c r="P106" s="345"/>
      <c r="Q106" s="345"/>
      <c r="R106" s="345"/>
      <c r="S106" s="347"/>
      <c r="T106" s="348"/>
      <c r="U106" s="637">
        <f>U105/T105</f>
        <v>0.9047110840067083</v>
      </c>
      <c r="V106" s="350">
        <f>V105/T105</f>
        <v>0</v>
      </c>
      <c r="W106" s="350">
        <f>W105/T105</f>
        <v>0</v>
      </c>
      <c r="X106" s="350">
        <f>X105/T105</f>
        <v>0</v>
      </c>
      <c r="Y106" s="352">
        <f>Y105/T105</f>
        <v>9.5288915993291659E-2</v>
      </c>
      <c r="Z106" s="351">
        <f>Z105/T105</f>
        <v>0.56224271992681807</v>
      </c>
      <c r="AA106" s="352">
        <f>AA105/T105</f>
        <v>0.34246836407989023</v>
      </c>
      <c r="AB106" s="591"/>
      <c r="AC106" s="524"/>
      <c r="AD106" s="356"/>
    </row>
    <row r="107" spans="1:30" x14ac:dyDescent="0.3">
      <c r="A107" s="243" t="s">
        <v>533</v>
      </c>
      <c r="B107" s="193"/>
      <c r="C107" s="193"/>
      <c r="D107" s="193"/>
      <c r="E107" s="193"/>
      <c r="F107" s="244"/>
      <c r="G107" s="193"/>
      <c r="H107" s="193"/>
      <c r="I107" s="2187">
        <v>0.25</v>
      </c>
      <c r="J107" s="245"/>
      <c r="K107" s="245"/>
      <c r="L107" s="245"/>
      <c r="M107" s="193"/>
      <c r="N107" s="246"/>
      <c r="O107" s="196"/>
      <c r="P107" s="246"/>
      <c r="Q107" s="194">
        <f>U105/4</f>
        <v>47472</v>
      </c>
      <c r="R107" s="288"/>
      <c r="S107" s="247">
        <f>Q107/Q112</f>
        <v>0.9047110840067083</v>
      </c>
      <c r="Y107" s="248"/>
      <c r="Z107" s="357">
        <f>I98+I99+K100</f>
        <v>22</v>
      </c>
      <c r="AA107" s="358">
        <f>I96+I97</f>
        <v>3</v>
      </c>
    </row>
    <row r="108" spans="1:30" x14ac:dyDescent="0.3">
      <c r="A108" s="251" t="s">
        <v>11</v>
      </c>
      <c r="B108" s="252"/>
      <c r="C108" s="252"/>
      <c r="D108" s="252"/>
      <c r="E108" s="252"/>
      <c r="F108" s="253"/>
      <c r="G108" s="252"/>
      <c r="H108" s="252"/>
      <c r="I108" s="254"/>
      <c r="J108" s="254"/>
      <c r="K108" s="254"/>
      <c r="L108" s="254"/>
      <c r="M108" s="252"/>
      <c r="N108" s="255"/>
      <c r="O108" s="256"/>
      <c r="P108" s="255"/>
      <c r="Q108" s="257">
        <f>V105/4</f>
        <v>0</v>
      </c>
      <c r="R108" s="290"/>
      <c r="S108" s="256">
        <f>Q108/Q112</f>
        <v>0</v>
      </c>
      <c r="T108" s="525">
        <f>Q105/M105</f>
        <v>2098.88</v>
      </c>
      <c r="U108" s="526" t="s">
        <v>535</v>
      </c>
      <c r="Z108" s="195">
        <f>Z107/M105</f>
        <v>0.88</v>
      </c>
      <c r="AA108" s="247">
        <f>AA107/M105</f>
        <v>0.12</v>
      </c>
    </row>
    <row r="109" spans="1:30" x14ac:dyDescent="0.3">
      <c r="A109" s="251" t="s">
        <v>536</v>
      </c>
      <c r="B109" s="252"/>
      <c r="C109" s="252"/>
      <c r="D109" s="252"/>
      <c r="E109" s="252"/>
      <c r="F109" s="253"/>
      <c r="G109" s="252"/>
      <c r="H109" s="252"/>
      <c r="I109" s="254"/>
      <c r="J109" s="254"/>
      <c r="K109" s="254"/>
      <c r="L109" s="254"/>
      <c r="M109" s="252"/>
      <c r="N109" s="255"/>
      <c r="O109" s="256"/>
      <c r="P109" s="255"/>
      <c r="Q109" s="257">
        <f>V106/4</f>
        <v>0</v>
      </c>
      <c r="R109" s="290"/>
      <c r="S109" s="262">
        <f>Q109/Q112</f>
        <v>0</v>
      </c>
      <c r="V109" s="263"/>
      <c r="X109" s="99"/>
      <c r="Z109" s="2265" t="s">
        <v>537</v>
      </c>
      <c r="AA109" s="2265"/>
    </row>
    <row r="110" spans="1:30" x14ac:dyDescent="0.3">
      <c r="A110" s="251" t="s">
        <v>529</v>
      </c>
      <c r="B110" s="252"/>
      <c r="C110" s="252"/>
      <c r="D110" s="252"/>
      <c r="E110" s="252"/>
      <c r="F110" s="253"/>
      <c r="G110" s="252"/>
      <c r="H110" s="252"/>
      <c r="I110" s="254"/>
      <c r="J110" s="254"/>
      <c r="K110" s="254"/>
      <c r="L110" s="254"/>
      <c r="M110" s="252"/>
      <c r="N110" s="255"/>
      <c r="O110" s="256"/>
      <c r="P110" s="255"/>
      <c r="Q110" s="257">
        <f>Y105/4</f>
        <v>5000</v>
      </c>
      <c r="R110" s="290"/>
      <c r="S110" s="262">
        <f>Q110/Q112</f>
        <v>9.5288915993291659E-2</v>
      </c>
      <c r="V110" s="263"/>
    </row>
    <row r="111" spans="1:30" x14ac:dyDescent="0.3">
      <c r="A111" s="251" t="s">
        <v>528</v>
      </c>
      <c r="B111" s="252"/>
      <c r="C111" s="252"/>
      <c r="D111" s="252"/>
      <c r="E111" s="252"/>
      <c r="F111" s="253"/>
      <c r="G111" s="252"/>
      <c r="H111" s="252"/>
      <c r="I111" s="254"/>
      <c r="J111" s="254"/>
      <c r="K111" s="254"/>
      <c r="L111" s="254"/>
      <c r="M111" s="252"/>
      <c r="N111" s="255"/>
      <c r="O111" s="256"/>
      <c r="P111" s="255"/>
      <c r="Q111" s="257">
        <f>X105/4</f>
        <v>0</v>
      </c>
      <c r="R111" s="290"/>
      <c r="S111" s="262">
        <f>Q111/Q112</f>
        <v>0</v>
      </c>
    </row>
    <row r="112" spans="1:30" x14ac:dyDescent="0.3">
      <c r="A112" s="251"/>
      <c r="B112" s="252"/>
      <c r="C112" s="252"/>
      <c r="D112" s="252"/>
      <c r="E112" s="252"/>
      <c r="F112" s="253"/>
      <c r="G112" s="252"/>
      <c r="H112" s="252"/>
      <c r="I112" s="254"/>
      <c r="J112" s="254"/>
      <c r="K112" s="254"/>
      <c r="L112" s="254"/>
      <c r="M112" s="252"/>
      <c r="N112" s="255"/>
      <c r="O112" s="256"/>
      <c r="P112" s="255"/>
      <c r="Q112" s="264">
        <f>SUM(Q107:Q111)</f>
        <v>52472</v>
      </c>
      <c r="R112" s="490"/>
      <c r="S112" s="262">
        <f>SUM(S107:S111)</f>
        <v>1</v>
      </c>
    </row>
    <row r="113" spans="1:30" x14ac:dyDescent="0.3">
      <c r="A113" s="188"/>
      <c r="N113" s="5"/>
      <c r="O113" s="6"/>
      <c r="P113" s="5"/>
      <c r="Q113" s="7"/>
      <c r="R113" s="7"/>
      <c r="S113" s="8"/>
      <c r="T113" s="5"/>
    </row>
    <row r="114" spans="1:30" x14ac:dyDescent="0.3">
      <c r="A114" s="188"/>
      <c r="N114" s="5"/>
      <c r="O114" s="6"/>
      <c r="P114" s="5"/>
      <c r="Q114" s="7"/>
      <c r="R114" s="7"/>
      <c r="S114" s="8"/>
      <c r="T114" s="5"/>
    </row>
    <row r="115" spans="1:30" x14ac:dyDescent="0.3">
      <c r="A115" s="188"/>
      <c r="N115" s="5"/>
      <c r="O115" s="6"/>
      <c r="P115" s="5"/>
      <c r="Q115" s="7"/>
      <c r="R115" s="7"/>
      <c r="S115" s="8"/>
      <c r="T115" s="5"/>
    </row>
    <row r="116" spans="1:30" ht="18" x14ac:dyDescent="0.35">
      <c r="A116" s="118" t="s">
        <v>597</v>
      </c>
      <c r="N116" s="5"/>
      <c r="O116" s="6"/>
      <c r="P116" s="5"/>
      <c r="Q116" s="7"/>
      <c r="R116" s="7"/>
      <c r="S116" s="8"/>
      <c r="T116" s="5"/>
    </row>
    <row r="117" spans="1:30" x14ac:dyDescent="0.3">
      <c r="A117" s="188"/>
      <c r="N117" s="5"/>
      <c r="O117" s="6"/>
      <c r="P117" s="5"/>
      <c r="Q117" s="7"/>
      <c r="R117" s="7"/>
      <c r="S117" s="8"/>
      <c r="T117" s="5"/>
    </row>
    <row r="118" spans="1:30" x14ac:dyDescent="0.3">
      <c r="A118" s="2335" t="s">
        <v>480</v>
      </c>
      <c r="B118" s="2336"/>
      <c r="C118" s="2336"/>
      <c r="D118" s="2336"/>
      <c r="E118" s="2336"/>
      <c r="F118" s="2336"/>
      <c r="G118" s="2336"/>
      <c r="H118" s="2336"/>
      <c r="I118" s="2336"/>
      <c r="J118" s="2336"/>
      <c r="K118" s="2336"/>
      <c r="L118" s="2336"/>
      <c r="M118" s="2336"/>
      <c r="N118" s="2336"/>
      <c r="O118" s="2336"/>
      <c r="P118" s="2336"/>
      <c r="Q118" s="2336"/>
      <c r="R118" s="2336"/>
      <c r="S118" s="2337"/>
      <c r="T118" s="2374" t="s">
        <v>584</v>
      </c>
      <c r="U118" s="2375"/>
      <c r="V118" s="2375"/>
      <c r="W118" s="2375"/>
      <c r="X118" s="2375"/>
      <c r="Y118" s="2375"/>
      <c r="Z118" s="2375"/>
      <c r="AA118" s="2375"/>
      <c r="AB118" s="2375"/>
      <c r="AC118" s="2375"/>
      <c r="AD118" s="2376"/>
    </row>
    <row r="119" spans="1:30" ht="15.6" x14ac:dyDescent="0.3">
      <c r="A119" s="2256" t="s">
        <v>482</v>
      </c>
      <c r="B119" s="2258" t="s">
        <v>483</v>
      </c>
      <c r="C119" s="2258" t="s">
        <v>484</v>
      </c>
      <c r="D119" s="2258" t="s">
        <v>555</v>
      </c>
      <c r="E119" s="2258" t="s">
        <v>556</v>
      </c>
      <c r="F119" s="2260" t="s">
        <v>487</v>
      </c>
      <c r="G119" s="2258" t="s">
        <v>557</v>
      </c>
      <c r="H119" s="2258" t="s">
        <v>489</v>
      </c>
      <c r="I119" s="2240" t="s">
        <v>490</v>
      </c>
      <c r="J119" s="2240"/>
      <c r="K119" s="2240"/>
      <c r="L119" s="2240"/>
      <c r="M119" s="305" t="s">
        <v>491</v>
      </c>
      <c r="N119" s="306" t="s">
        <v>558</v>
      </c>
      <c r="O119" s="307" t="s">
        <v>493</v>
      </c>
      <c r="P119" s="306" t="s">
        <v>558</v>
      </c>
      <c r="Q119" s="306" t="s">
        <v>559</v>
      </c>
      <c r="R119" s="512" t="s">
        <v>585</v>
      </c>
      <c r="S119" s="2343" t="s">
        <v>495</v>
      </c>
      <c r="T119" s="513" t="s">
        <v>496</v>
      </c>
      <c r="U119" s="2345" t="s">
        <v>497</v>
      </c>
      <c r="V119" s="2346"/>
      <c r="W119" s="2346"/>
      <c r="X119" s="2346"/>
      <c r="Y119" s="2347"/>
      <c r="Z119" s="2351" t="s">
        <v>498</v>
      </c>
      <c r="AA119" s="2352"/>
      <c r="AB119" s="2351" t="s">
        <v>499</v>
      </c>
      <c r="AC119" s="2355"/>
      <c r="AD119" s="2352"/>
    </row>
    <row r="120" spans="1:30" ht="15.6" x14ac:dyDescent="0.3">
      <c r="A120" s="2257"/>
      <c r="B120" s="2259"/>
      <c r="C120" s="2259"/>
      <c r="D120" s="2259"/>
      <c r="E120" s="2259"/>
      <c r="F120" s="2261"/>
      <c r="G120" s="2259"/>
      <c r="H120" s="2259"/>
      <c r="I120" s="310" t="s">
        <v>500</v>
      </c>
      <c r="J120" s="310" t="s">
        <v>501</v>
      </c>
      <c r="K120" s="310" t="s">
        <v>502</v>
      </c>
      <c r="L120" s="310" t="s">
        <v>503</v>
      </c>
      <c r="M120" s="311" t="s">
        <v>504</v>
      </c>
      <c r="N120" s="312" t="s">
        <v>505</v>
      </c>
      <c r="O120" s="313" t="s">
        <v>506</v>
      </c>
      <c r="P120" s="312" t="s">
        <v>507</v>
      </c>
      <c r="Q120" s="312" t="s">
        <v>560</v>
      </c>
      <c r="R120" s="312"/>
      <c r="S120" s="2344"/>
      <c r="T120" s="515" t="s">
        <v>508</v>
      </c>
      <c r="U120" s="2348"/>
      <c r="V120" s="2349"/>
      <c r="W120" s="2349"/>
      <c r="X120" s="2349"/>
      <c r="Y120" s="2350"/>
      <c r="Z120" s="2353"/>
      <c r="AA120" s="2354"/>
      <c r="AB120" s="2353"/>
      <c r="AC120" s="2356"/>
      <c r="AD120" s="2354"/>
    </row>
    <row r="121" spans="1:30" ht="18" x14ac:dyDescent="0.35">
      <c r="A121" s="2357" t="s">
        <v>561</v>
      </c>
      <c r="B121" s="2358"/>
      <c r="C121" s="2358"/>
      <c r="D121" s="2358"/>
      <c r="E121" s="2358"/>
      <c r="F121" s="2358"/>
      <c r="G121" s="2358"/>
      <c r="H121" s="2358"/>
      <c r="I121" s="2358"/>
      <c r="J121" s="2358"/>
      <c r="K121" s="2358"/>
      <c r="L121" s="2358"/>
      <c r="M121" s="2358"/>
      <c r="N121" s="2358"/>
      <c r="O121" s="2358"/>
      <c r="P121" s="2358"/>
      <c r="Q121" s="2358"/>
      <c r="R121" s="2358"/>
      <c r="S121" s="2358"/>
      <c r="T121" s="559"/>
      <c r="U121" s="596" t="s">
        <v>510</v>
      </c>
      <c r="V121" s="561" t="s">
        <v>11</v>
      </c>
      <c r="W121" s="561" t="s">
        <v>511</v>
      </c>
      <c r="X121" s="561" t="s">
        <v>512</v>
      </c>
      <c r="Y121" s="561" t="s">
        <v>513</v>
      </c>
      <c r="Z121" s="563" t="s">
        <v>514</v>
      </c>
      <c r="AA121" s="562" t="s">
        <v>515</v>
      </c>
      <c r="AB121" s="563" t="s">
        <v>81</v>
      </c>
      <c r="AC121" s="561" t="s">
        <v>16</v>
      </c>
      <c r="AD121" s="562" t="s">
        <v>5</v>
      </c>
    </row>
    <row r="122" spans="1:30" x14ac:dyDescent="0.3">
      <c r="A122" s="154"/>
      <c r="B122" s="462"/>
      <c r="C122" s="462"/>
      <c r="D122" s="462"/>
      <c r="E122" s="462"/>
      <c r="F122" s="463"/>
      <c r="G122" s="462"/>
      <c r="H122" s="462"/>
      <c r="I122" s="465"/>
      <c r="J122" s="465"/>
      <c r="K122" s="465"/>
      <c r="L122" s="465"/>
      <c r="M122" s="462"/>
      <c r="N122" s="468"/>
      <c r="O122" s="469"/>
      <c r="P122" s="468"/>
      <c r="Q122" s="468"/>
      <c r="R122" s="470"/>
      <c r="S122" s="532"/>
      <c r="T122" s="149"/>
      <c r="U122" s="7"/>
      <c r="Z122" s="280"/>
      <c r="AA122" s="152"/>
      <c r="AB122" s="280"/>
      <c r="AD122" s="152"/>
    </row>
    <row r="123" spans="1:30" x14ac:dyDescent="0.3">
      <c r="A123" s="157" t="s">
        <v>662</v>
      </c>
      <c r="B123" s="157" t="s">
        <v>82</v>
      </c>
      <c r="C123" s="157" t="s">
        <v>517</v>
      </c>
      <c r="D123" s="157" t="s">
        <v>21</v>
      </c>
      <c r="E123" s="157" t="s">
        <v>518</v>
      </c>
      <c r="F123" s="158" t="s">
        <v>588</v>
      </c>
      <c r="G123" s="157">
        <v>1</v>
      </c>
      <c r="H123" s="157" t="s">
        <v>24</v>
      </c>
      <c r="I123" s="159">
        <v>1</v>
      </c>
      <c r="J123" s="161"/>
      <c r="K123" s="161"/>
      <c r="L123" s="2209"/>
      <c r="M123" s="163">
        <v>1</v>
      </c>
      <c r="N123" s="164">
        <v>4480</v>
      </c>
      <c r="O123" s="165">
        <v>0.25</v>
      </c>
      <c r="P123" s="166">
        <f>N123*(1-O123)</f>
        <v>3360</v>
      </c>
      <c r="Q123" s="166">
        <f t="shared" ref="Q123:Q127" si="25">P123*M123*G123</f>
        <v>3360</v>
      </c>
      <c r="R123" s="206" t="e">
        <f>(Q123+#REF!+Q124+#REF!)/E100*1000</f>
        <v>#REF!</v>
      </c>
      <c r="S123" s="167">
        <f>Q123/$Q$135</f>
        <v>5.7204147300679298E-2</v>
      </c>
      <c r="T123" s="168">
        <f>Q123</f>
        <v>3360</v>
      </c>
      <c r="U123" s="7">
        <f t="shared" ref="U123:U126" si="26">T123</f>
        <v>3360</v>
      </c>
      <c r="V123" s="169"/>
      <c r="W123" s="169"/>
      <c r="X123" s="169"/>
      <c r="Y123" s="169"/>
      <c r="Z123" s="282"/>
      <c r="AA123" s="171">
        <f>T123</f>
        <v>3360</v>
      </c>
      <c r="AB123" s="282">
        <f>T123</f>
        <v>3360</v>
      </c>
      <c r="AD123" s="152"/>
    </row>
    <row r="124" spans="1:30" x14ac:dyDescent="0.3">
      <c r="A124" s="157" t="s">
        <v>662</v>
      </c>
      <c r="B124" s="157" t="s">
        <v>82</v>
      </c>
      <c r="C124" s="157" t="s">
        <v>517</v>
      </c>
      <c r="D124" s="157" t="s">
        <v>27</v>
      </c>
      <c r="E124" s="157" t="s">
        <v>520</v>
      </c>
      <c r="F124" s="158" t="s">
        <v>519</v>
      </c>
      <c r="G124" s="157">
        <v>13</v>
      </c>
      <c r="H124" s="157" t="s">
        <v>24</v>
      </c>
      <c r="I124" s="175">
        <v>13</v>
      </c>
      <c r="J124" s="176"/>
      <c r="K124" s="179"/>
      <c r="L124" s="180"/>
      <c r="M124" s="163">
        <v>1</v>
      </c>
      <c r="N124" s="166">
        <v>1560</v>
      </c>
      <c r="O124" s="173">
        <v>0.25</v>
      </c>
      <c r="P124" s="166">
        <f t="shared" ref="P124:P127" si="27">N124*(1-O124)</f>
        <v>1170</v>
      </c>
      <c r="Q124" s="166">
        <f t="shared" si="25"/>
        <v>15210</v>
      </c>
      <c r="R124" s="206" t="e">
        <f>(Q124+#REF!)/E101*1000</f>
        <v>#REF!</v>
      </c>
      <c r="S124" s="178">
        <f>Q124/$Q$135</f>
        <v>0.25895091679861076</v>
      </c>
      <c r="T124" s="168">
        <f t="shared" ref="T124:T129" si="28">Q124</f>
        <v>15210</v>
      </c>
      <c r="U124" s="7">
        <f t="shared" si="26"/>
        <v>15210</v>
      </c>
      <c r="W124" s="169"/>
      <c r="Z124" s="150">
        <f>T124</f>
        <v>15210</v>
      </c>
      <c r="AA124" s="171"/>
      <c r="AB124" s="282">
        <f t="shared" ref="AB124:AB127" si="29">T124</f>
        <v>15210</v>
      </c>
      <c r="AD124" s="152"/>
    </row>
    <row r="125" spans="1:30" x14ac:dyDescent="0.3">
      <c r="A125" s="157" t="s">
        <v>662</v>
      </c>
      <c r="B125" s="157" t="s">
        <v>82</v>
      </c>
      <c r="C125" s="157" t="s">
        <v>517</v>
      </c>
      <c r="D125" s="157" t="s">
        <v>26</v>
      </c>
      <c r="E125" s="157" t="s">
        <v>520</v>
      </c>
      <c r="F125" s="158" t="s">
        <v>43</v>
      </c>
      <c r="G125" s="157">
        <v>1</v>
      </c>
      <c r="H125" s="157" t="s">
        <v>24</v>
      </c>
      <c r="I125" s="182">
        <v>1</v>
      </c>
      <c r="J125" s="183"/>
      <c r="K125" s="183"/>
      <c r="L125" s="2239"/>
      <c r="M125" s="163">
        <v>1</v>
      </c>
      <c r="N125" s="166">
        <v>4068</v>
      </c>
      <c r="O125" s="173">
        <v>0.25</v>
      </c>
      <c r="P125" s="166">
        <f t="shared" si="27"/>
        <v>3051</v>
      </c>
      <c r="Q125" s="166">
        <f t="shared" si="25"/>
        <v>3051</v>
      </c>
      <c r="R125" s="206" t="e">
        <f>(Q125+#REF!+#REF!)/E101*1000</f>
        <v>#REF!</v>
      </c>
      <c r="S125" s="178">
        <f t="shared" ref="S125:S127" si="30">Q125/$Q$135</f>
        <v>5.194340875427754E-2</v>
      </c>
      <c r="T125" s="168">
        <f t="shared" si="28"/>
        <v>3051</v>
      </c>
      <c r="U125" s="7">
        <f t="shared" si="26"/>
        <v>3051</v>
      </c>
      <c r="Z125" s="282">
        <f>T125</f>
        <v>3051</v>
      </c>
      <c r="AA125" s="171"/>
      <c r="AB125" s="282">
        <f t="shared" si="29"/>
        <v>3051</v>
      </c>
      <c r="AD125" s="152"/>
    </row>
    <row r="126" spans="1:30" x14ac:dyDescent="0.3">
      <c r="A126" s="157" t="s">
        <v>662</v>
      </c>
      <c r="B126" s="157" t="s">
        <v>82</v>
      </c>
      <c r="C126" s="157" t="s">
        <v>517</v>
      </c>
      <c r="D126" s="157" t="s">
        <v>27</v>
      </c>
      <c r="E126" s="157" t="s">
        <v>520</v>
      </c>
      <c r="F126" s="158" t="s">
        <v>519</v>
      </c>
      <c r="G126" s="157">
        <v>13</v>
      </c>
      <c r="H126" s="157" t="s">
        <v>24</v>
      </c>
      <c r="I126" s="474"/>
      <c r="J126" s="1"/>
      <c r="K126" s="176">
        <v>13</v>
      </c>
      <c r="L126" s="177"/>
      <c r="M126" s="163">
        <v>1</v>
      </c>
      <c r="N126" s="166">
        <v>1560</v>
      </c>
      <c r="O126" s="173">
        <v>0.25</v>
      </c>
      <c r="P126" s="166">
        <f t="shared" si="27"/>
        <v>1170</v>
      </c>
      <c r="Q126" s="166">
        <f t="shared" si="25"/>
        <v>15210</v>
      </c>
      <c r="R126" s="206" t="e">
        <f>(Q126+#REF!)/E103*1000</f>
        <v>#REF!</v>
      </c>
      <c r="S126" s="178">
        <f t="shared" si="30"/>
        <v>0.25895091679861076</v>
      </c>
      <c r="T126" s="168">
        <f t="shared" si="28"/>
        <v>15210</v>
      </c>
      <c r="U126" s="7">
        <f t="shared" si="26"/>
        <v>15210</v>
      </c>
      <c r="W126" s="169"/>
      <c r="Z126" s="150">
        <f>T126</f>
        <v>15210</v>
      </c>
      <c r="AA126" s="171"/>
      <c r="AB126" s="282">
        <f t="shared" si="29"/>
        <v>15210</v>
      </c>
      <c r="AD126" s="152"/>
    </row>
    <row r="127" spans="1:30" x14ac:dyDescent="0.3">
      <c r="A127" s="157" t="s">
        <v>662</v>
      </c>
      <c r="B127" s="157" t="s">
        <v>82</v>
      </c>
      <c r="C127" s="157" t="s">
        <v>592</v>
      </c>
      <c r="D127" s="157" t="s">
        <v>50</v>
      </c>
      <c r="E127" s="157" t="s">
        <v>520</v>
      </c>
      <c r="F127" s="158" t="s">
        <v>551</v>
      </c>
      <c r="G127" s="157">
        <v>5</v>
      </c>
      <c r="H127" s="157" t="s">
        <v>24</v>
      </c>
      <c r="I127" s="182">
        <v>5</v>
      </c>
      <c r="J127" s="183"/>
      <c r="K127" s="183"/>
      <c r="L127" s="2239"/>
      <c r="M127" s="163">
        <v>1</v>
      </c>
      <c r="N127" s="473">
        <v>1016</v>
      </c>
      <c r="O127" s="165">
        <v>0.25</v>
      </c>
      <c r="P127" s="476">
        <f t="shared" si="27"/>
        <v>762</v>
      </c>
      <c r="Q127" s="473">
        <f t="shared" si="25"/>
        <v>3810</v>
      </c>
      <c r="R127" s="9"/>
      <c r="S127" s="178">
        <f t="shared" si="30"/>
        <v>6.4865417028448849E-2</v>
      </c>
      <c r="T127" s="168">
        <f t="shared" si="28"/>
        <v>3810</v>
      </c>
      <c r="U127" s="15"/>
      <c r="W127" s="169">
        <f>T127</f>
        <v>3810</v>
      </c>
      <c r="Z127" s="150">
        <f>T127</f>
        <v>3810</v>
      </c>
      <c r="AA127" s="171"/>
      <c r="AB127" s="282">
        <f t="shared" si="29"/>
        <v>3810</v>
      </c>
      <c r="AD127" s="152"/>
    </row>
    <row r="128" spans="1:30" x14ac:dyDescent="0.3">
      <c r="A128" s="157" t="s">
        <v>662</v>
      </c>
      <c r="B128" s="157" t="s">
        <v>78</v>
      </c>
      <c r="C128" s="157"/>
      <c r="D128" s="157" t="s">
        <v>32</v>
      </c>
      <c r="E128" s="157" t="s">
        <v>650</v>
      </c>
      <c r="F128" s="158"/>
      <c r="G128" s="157">
        <v>4</v>
      </c>
      <c r="H128" s="157" t="s">
        <v>58</v>
      </c>
      <c r="I128" s="175">
        <v>4</v>
      </c>
      <c r="J128" s="1"/>
      <c r="K128" s="183">
        <v>4</v>
      </c>
      <c r="L128" s="163"/>
      <c r="M128" s="163">
        <v>2</v>
      </c>
      <c r="N128" s="473">
        <f>265*8</f>
        <v>2120</v>
      </c>
      <c r="O128" s="165">
        <v>0.4</v>
      </c>
      <c r="P128" s="476">
        <f>N128*(1-O128)</f>
        <v>1272</v>
      </c>
      <c r="Q128" s="473">
        <f>P128*G128*M128</f>
        <v>10176</v>
      </c>
      <c r="R128" s="9"/>
      <c r="S128" s="632">
        <f>Q128/$Q$135</f>
        <v>0.17324684611062874</v>
      </c>
      <c r="T128" s="168">
        <f t="shared" si="28"/>
        <v>10176</v>
      </c>
      <c r="U128" s="15">
        <f t="shared" ref="U128" si="31">T128</f>
        <v>10176</v>
      </c>
      <c r="Z128" s="282"/>
      <c r="AA128" s="171"/>
      <c r="AB128" s="280"/>
      <c r="AC128" s="169">
        <f>T128</f>
        <v>10176</v>
      </c>
      <c r="AD128" s="152"/>
    </row>
    <row r="129" spans="1:30" x14ac:dyDescent="0.3">
      <c r="A129" s="157" t="s">
        <v>662</v>
      </c>
      <c r="B129" s="157" t="s">
        <v>41</v>
      </c>
      <c r="C129" s="157" t="s">
        <v>525</v>
      </c>
      <c r="D129" s="157" t="s">
        <v>79</v>
      </c>
      <c r="E129" s="157" t="s">
        <v>520</v>
      </c>
      <c r="F129" s="158" t="s">
        <v>521</v>
      </c>
      <c r="G129" s="157">
        <v>4</v>
      </c>
      <c r="H129" s="157" t="s">
        <v>24</v>
      </c>
      <c r="I129" s="182">
        <v>4</v>
      </c>
      <c r="J129" s="183"/>
      <c r="K129" s="183"/>
      <c r="L129" s="2239"/>
      <c r="M129" s="163">
        <v>1</v>
      </c>
      <c r="N129" s="473">
        <v>1600</v>
      </c>
      <c r="O129" s="165">
        <v>0.7</v>
      </c>
      <c r="P129" s="476">
        <f>N129*(1-O129)</f>
        <v>480.00000000000006</v>
      </c>
      <c r="Q129" s="473">
        <f>P129*G129*M129</f>
        <v>1920.0000000000002</v>
      </c>
      <c r="R129" s="9"/>
      <c r="S129" s="506">
        <f>Q129/$Q$135</f>
        <v>3.2688084171816748E-2</v>
      </c>
      <c r="T129" s="168">
        <f t="shared" si="28"/>
        <v>1920.0000000000002</v>
      </c>
      <c r="U129" s="15"/>
      <c r="W129" s="169">
        <f>T129</f>
        <v>1920.0000000000002</v>
      </c>
      <c r="Z129" s="150">
        <f>T129</f>
        <v>1920.0000000000002</v>
      </c>
      <c r="AA129" s="171"/>
      <c r="AB129" s="280"/>
      <c r="AD129" s="171">
        <f>T129</f>
        <v>1920.0000000000002</v>
      </c>
    </row>
    <row r="130" spans="1:30" x14ac:dyDescent="0.3">
      <c r="A130" s="157"/>
      <c r="B130" s="157"/>
      <c r="C130" s="157"/>
      <c r="D130" s="157"/>
      <c r="E130" s="157"/>
      <c r="F130" s="158"/>
      <c r="G130" s="157"/>
      <c r="H130" s="157"/>
      <c r="I130" s="474"/>
      <c r="J130" s="1"/>
      <c r="K130" s="1"/>
      <c r="L130" s="163"/>
      <c r="M130" s="163"/>
      <c r="N130" s="473"/>
      <c r="O130" s="165"/>
      <c r="P130" s="476"/>
      <c r="Q130" s="473"/>
      <c r="R130" s="9"/>
      <c r="S130" s="506"/>
      <c r="T130" s="478"/>
      <c r="U130" s="15"/>
      <c r="Z130" s="282"/>
      <c r="AA130" s="171"/>
      <c r="AB130" s="280"/>
      <c r="AD130" s="152"/>
    </row>
    <row r="131" spans="1:30" x14ac:dyDescent="0.3">
      <c r="A131" s="157"/>
      <c r="B131" s="157"/>
      <c r="C131" s="157"/>
      <c r="D131" s="157"/>
      <c r="E131" s="157"/>
      <c r="F131" s="158"/>
      <c r="G131" s="157"/>
      <c r="H131" s="157"/>
      <c r="I131" s="474"/>
      <c r="J131" s="1"/>
      <c r="K131" s="1"/>
      <c r="L131" s="163"/>
      <c r="M131" s="163"/>
      <c r="N131" s="473"/>
      <c r="O131" s="165"/>
      <c r="P131" s="476"/>
      <c r="Q131" s="473"/>
      <c r="R131" s="9"/>
      <c r="S131" s="506"/>
      <c r="T131" s="478"/>
      <c r="U131" s="15"/>
      <c r="Z131" s="282"/>
      <c r="AA131" s="171"/>
      <c r="AB131" s="280"/>
      <c r="AD131" s="152"/>
    </row>
    <row r="132" spans="1:30" x14ac:dyDescent="0.3">
      <c r="A132" s="190" t="s">
        <v>662</v>
      </c>
      <c r="B132" s="190" t="s">
        <v>528</v>
      </c>
      <c r="C132" s="190"/>
      <c r="D132" s="190"/>
      <c r="E132" s="190"/>
      <c r="F132" s="191"/>
      <c r="G132" s="190"/>
      <c r="H132" s="190"/>
      <c r="I132" s="192"/>
      <c r="J132" s="193"/>
      <c r="K132" s="193"/>
      <c r="L132" s="630"/>
      <c r="M132" s="630"/>
      <c r="N132" s="194"/>
      <c r="O132" s="195"/>
      <c r="P132" s="186"/>
      <c r="Q132" s="166"/>
      <c r="R132" s="288"/>
      <c r="S132" s="196"/>
      <c r="T132" s="168">
        <f t="shared" ref="T132" si="32">Q132*2</f>
        <v>0</v>
      </c>
      <c r="U132" s="7"/>
      <c r="X132" s="169">
        <f>T132</f>
        <v>0</v>
      </c>
      <c r="Z132" s="280"/>
      <c r="AA132" s="171"/>
      <c r="AB132" s="280"/>
      <c r="AD132" s="152"/>
    </row>
    <row r="133" spans="1:30" x14ac:dyDescent="0.3">
      <c r="A133" s="108" t="s">
        <v>662</v>
      </c>
      <c r="B133" s="108" t="s">
        <v>529</v>
      </c>
      <c r="C133" s="108"/>
      <c r="D133" s="108" t="s">
        <v>530</v>
      </c>
      <c r="E133" s="108"/>
      <c r="F133" s="479"/>
      <c r="G133" s="108"/>
      <c r="H133" s="108"/>
      <c r="I133" s="254"/>
      <c r="J133" s="254"/>
      <c r="K133" s="254"/>
      <c r="L133" s="254"/>
      <c r="M133" s="108"/>
      <c r="N133" s="257"/>
      <c r="O133" s="109"/>
      <c r="P133" s="290"/>
      <c r="Q133" s="257">
        <v>6000</v>
      </c>
      <c r="R133" s="480"/>
      <c r="S133" s="291">
        <f>Q133/Q135</f>
        <v>0.10215026303692731</v>
      </c>
      <c r="T133" s="168">
        <f>Q133</f>
        <v>6000</v>
      </c>
      <c r="U133" s="7"/>
      <c r="Y133" s="169">
        <f>T133</f>
        <v>6000</v>
      </c>
      <c r="Z133" s="280"/>
      <c r="AA133" s="152"/>
      <c r="AB133" s="280"/>
      <c r="AD133" s="152"/>
    </row>
    <row r="134" spans="1:30" x14ac:dyDescent="0.3">
      <c r="I134" s="115">
        <f>I135/M135</f>
        <v>0.62222222222222223</v>
      </c>
      <c r="J134" s="115"/>
      <c r="K134" s="115">
        <f>K135/M135</f>
        <v>0.37777777777777777</v>
      </c>
      <c r="T134" s="149"/>
      <c r="U134" s="7"/>
      <c r="Z134" s="280"/>
      <c r="AA134" s="152"/>
      <c r="AB134" s="280"/>
      <c r="AD134" s="152"/>
    </row>
    <row r="135" spans="1:30" x14ac:dyDescent="0.3">
      <c r="A135" s="326" t="s">
        <v>531</v>
      </c>
      <c r="B135" s="327"/>
      <c r="C135" s="327"/>
      <c r="D135" s="327"/>
      <c r="E135" s="327"/>
      <c r="F135" s="328"/>
      <c r="G135" s="327"/>
      <c r="H135" s="327"/>
      <c r="I135" s="327">
        <f>I125+I124+I123+I127+I128+I129</f>
        <v>28</v>
      </c>
      <c r="J135" s="327"/>
      <c r="K135" s="327">
        <f>K128+K126</f>
        <v>17</v>
      </c>
      <c r="L135" s="327"/>
      <c r="M135" s="327">
        <f>SUM(I135:L135)</f>
        <v>45</v>
      </c>
      <c r="N135" s="329"/>
      <c r="O135" s="330"/>
      <c r="P135" s="329"/>
      <c r="Q135" s="331">
        <f>SUM(Q123:Q134)</f>
        <v>58737</v>
      </c>
      <c r="R135" s="331"/>
      <c r="S135" s="332">
        <f>SUM(S123:S133)</f>
        <v>1</v>
      </c>
      <c r="T135" s="333">
        <f>SUM(T123:T134)</f>
        <v>58737</v>
      </c>
      <c r="U135" s="335">
        <f t="shared" ref="U135:AA135" si="33">SUM(U123:U133)</f>
        <v>47007</v>
      </c>
      <c r="V135" s="335">
        <f t="shared" si="33"/>
        <v>0</v>
      </c>
      <c r="W135" s="335">
        <f t="shared" si="33"/>
        <v>5730</v>
      </c>
      <c r="X135" s="335">
        <f t="shared" si="33"/>
        <v>0</v>
      </c>
      <c r="Y135" s="335">
        <f t="shared" si="33"/>
        <v>6000</v>
      </c>
      <c r="Z135" s="336">
        <f t="shared" si="33"/>
        <v>39201</v>
      </c>
      <c r="AA135" s="337">
        <f t="shared" si="33"/>
        <v>3360</v>
      </c>
      <c r="AB135" s="334">
        <f>SUM(AB123:AB134)</f>
        <v>40641</v>
      </c>
      <c r="AC135" s="335">
        <f>SUM(AC123:AC134)</f>
        <v>10176</v>
      </c>
      <c r="AD135" s="337">
        <f>SUM(AD123:AD134)</f>
        <v>1920.0000000000002</v>
      </c>
    </row>
    <row r="136" spans="1:30" x14ac:dyDescent="0.3">
      <c r="A136" s="342" t="s">
        <v>532</v>
      </c>
      <c r="B136" s="343"/>
      <c r="C136" s="343"/>
      <c r="D136" s="343"/>
      <c r="E136" s="343"/>
      <c r="F136" s="344"/>
      <c r="G136" s="343"/>
      <c r="H136" s="343"/>
      <c r="I136" s="343">
        <f>I125+I124+I123+I127+I128+I129</f>
        <v>28</v>
      </c>
      <c r="J136" s="343">
        <f>I125+I124+I123+I127+I129</f>
        <v>24</v>
      </c>
      <c r="K136" s="343">
        <f>I125+I123+K126+I127+K128+I129</f>
        <v>28</v>
      </c>
      <c r="L136" s="343">
        <f>I125+I123+K126+I127+I129</f>
        <v>24</v>
      </c>
      <c r="M136" s="343">
        <f>SUM(I136:L136)</f>
        <v>104</v>
      </c>
      <c r="N136" s="345"/>
      <c r="O136" s="346"/>
      <c r="P136" s="345"/>
      <c r="Q136" s="345"/>
      <c r="R136" s="345"/>
      <c r="S136" s="347"/>
      <c r="T136" s="348"/>
      <c r="U136" s="350">
        <f>U135/T135</f>
        <v>0.80029623576280706</v>
      </c>
      <c r="V136" s="350">
        <f>V135/T135</f>
        <v>0</v>
      </c>
      <c r="W136" s="350">
        <f>W135/T135</f>
        <v>9.7553501200265597E-2</v>
      </c>
      <c r="X136" s="350">
        <f>X135/T135</f>
        <v>0</v>
      </c>
      <c r="Y136" s="350">
        <f>Y135/T135</f>
        <v>0.10215026303692731</v>
      </c>
      <c r="Z136" s="351">
        <f>Z135/T135</f>
        <v>0.66739874355176465</v>
      </c>
      <c r="AA136" s="352">
        <f>AA135/T135</f>
        <v>5.7204147300679298E-2</v>
      </c>
      <c r="AB136" s="591"/>
      <c r="AC136" s="524"/>
      <c r="AD136" s="356"/>
    </row>
    <row r="137" spans="1:30" x14ac:dyDescent="0.3">
      <c r="A137" s="243" t="s">
        <v>533</v>
      </c>
      <c r="B137" s="193"/>
      <c r="C137" s="193"/>
      <c r="D137" s="193"/>
      <c r="E137" s="193"/>
      <c r="F137" s="244"/>
      <c r="G137" s="193"/>
      <c r="H137" s="193"/>
      <c r="I137" s="2182">
        <f>I136/M136</f>
        <v>0.26923076923076922</v>
      </c>
      <c r="J137" s="2182">
        <f>J136/M136</f>
        <v>0.23076923076923078</v>
      </c>
      <c r="K137" s="245"/>
      <c r="L137" s="245"/>
      <c r="M137" s="193"/>
      <c r="N137" s="246"/>
      <c r="O137" s="196"/>
      <c r="P137" s="246"/>
      <c r="Q137" s="194">
        <f>U135</f>
        <v>47007</v>
      </c>
      <c r="R137" s="288"/>
      <c r="S137" s="247">
        <f>Q137/Q142</f>
        <v>0.80029623576280706</v>
      </c>
      <c r="Y137" s="248">
        <f>SUM(U123:Y134)</f>
        <v>58737</v>
      </c>
      <c r="Z137" s="357">
        <f>I124+I125+K126+I129+I127</f>
        <v>36</v>
      </c>
      <c r="AA137" s="358">
        <f>I123</f>
        <v>1</v>
      </c>
    </row>
    <row r="138" spans="1:30" x14ac:dyDescent="0.3">
      <c r="A138" s="251" t="s">
        <v>11</v>
      </c>
      <c r="B138" s="252"/>
      <c r="C138" s="252"/>
      <c r="D138" s="252"/>
      <c r="E138" s="252"/>
      <c r="F138" s="253"/>
      <c r="G138" s="252"/>
      <c r="H138" s="252"/>
      <c r="I138" s="254"/>
      <c r="J138" s="254"/>
      <c r="K138" s="254"/>
      <c r="L138" s="254"/>
      <c r="M138" s="252"/>
      <c r="N138" s="255"/>
      <c r="O138" s="256"/>
      <c r="P138" s="255"/>
      <c r="Q138" s="257">
        <f>V135</f>
        <v>0</v>
      </c>
      <c r="R138" s="290"/>
      <c r="S138" s="256">
        <f>Q138/Q142</f>
        <v>0</v>
      </c>
      <c r="T138" s="525">
        <f>Q135/M135</f>
        <v>1305.2666666666667</v>
      </c>
      <c r="U138" s="526" t="s">
        <v>535</v>
      </c>
      <c r="Z138" s="195">
        <f>Z137/M135</f>
        <v>0.8</v>
      </c>
      <c r="AA138" s="247">
        <f>AA137/M135</f>
        <v>2.2222222222222223E-2</v>
      </c>
    </row>
    <row r="139" spans="1:30" x14ac:dyDescent="0.3">
      <c r="A139" s="251" t="s">
        <v>536</v>
      </c>
      <c r="B139" s="252"/>
      <c r="C139" s="252"/>
      <c r="D139" s="252"/>
      <c r="E139" s="252"/>
      <c r="F139" s="253"/>
      <c r="G139" s="252"/>
      <c r="H139" s="252"/>
      <c r="I139" s="254"/>
      <c r="J139" s="254"/>
      <c r="K139" s="254"/>
      <c r="L139" s="254"/>
      <c r="M139" s="252"/>
      <c r="N139" s="255"/>
      <c r="O139" s="256"/>
      <c r="P139" s="255"/>
      <c r="Q139" s="257">
        <f>W135</f>
        <v>5730</v>
      </c>
      <c r="R139" s="290"/>
      <c r="S139" s="262">
        <f>Q139/Q142</f>
        <v>9.7553501200265597E-2</v>
      </c>
      <c r="V139" s="263"/>
      <c r="X139" s="99"/>
      <c r="Z139" s="2265" t="s">
        <v>537</v>
      </c>
      <c r="AA139" s="2265"/>
    </row>
    <row r="140" spans="1:30" x14ac:dyDescent="0.3">
      <c r="A140" s="251" t="s">
        <v>529</v>
      </c>
      <c r="B140" s="252"/>
      <c r="C140" s="252"/>
      <c r="D140" s="252"/>
      <c r="E140" s="252"/>
      <c r="F140" s="253"/>
      <c r="G140" s="252"/>
      <c r="H140" s="252"/>
      <c r="I140" s="254"/>
      <c r="J140" s="254"/>
      <c r="K140" s="254"/>
      <c r="L140" s="254"/>
      <c r="M140" s="252"/>
      <c r="N140" s="255"/>
      <c r="O140" s="256"/>
      <c r="P140" s="255"/>
      <c r="Q140" s="257">
        <f>Y135</f>
        <v>6000</v>
      </c>
      <c r="R140" s="290"/>
      <c r="S140" s="262">
        <f>Q140/Q142</f>
        <v>0.10215026303692731</v>
      </c>
      <c r="V140" s="263"/>
    </row>
    <row r="141" spans="1:30" x14ac:dyDescent="0.3">
      <c r="A141" s="251" t="s">
        <v>528</v>
      </c>
      <c r="B141" s="252"/>
      <c r="C141" s="252"/>
      <c r="D141" s="252"/>
      <c r="E141" s="252"/>
      <c r="F141" s="253"/>
      <c r="G141" s="252"/>
      <c r="H141" s="252"/>
      <c r="I141" s="254"/>
      <c r="J141" s="254"/>
      <c r="K141" s="254"/>
      <c r="L141" s="254"/>
      <c r="M141" s="252"/>
      <c r="N141" s="255"/>
      <c r="O141" s="256"/>
      <c r="P141" s="255"/>
      <c r="Q141" s="257">
        <f>X135</f>
        <v>0</v>
      </c>
      <c r="R141" s="290"/>
      <c r="S141" s="262">
        <f>Q141/Q142</f>
        <v>0</v>
      </c>
    </row>
    <row r="142" spans="1:30" x14ac:dyDescent="0.3">
      <c r="A142" s="251"/>
      <c r="B142" s="252"/>
      <c r="C142" s="252"/>
      <c r="D142" s="252"/>
      <c r="E142" s="252"/>
      <c r="F142" s="253"/>
      <c r="G142" s="252"/>
      <c r="H142" s="252"/>
      <c r="I142" s="254"/>
      <c r="J142" s="254"/>
      <c r="K142" s="254"/>
      <c r="L142" s="254"/>
      <c r="M142" s="252"/>
      <c r="N142" s="255"/>
      <c r="O142" s="256"/>
      <c r="P142" s="255"/>
      <c r="Q142" s="264">
        <f>SUM(Q137:Q141)</f>
        <v>58737</v>
      </c>
      <c r="R142" s="490"/>
      <c r="S142" s="262">
        <f>SUM(S137:S141)</f>
        <v>1</v>
      </c>
    </row>
    <row r="145" spans="1:30" x14ac:dyDescent="0.3">
      <c r="E145" s="1" t="s">
        <v>562</v>
      </c>
      <c r="F145" s="2" t="s">
        <v>666</v>
      </c>
    </row>
    <row r="146" spans="1:30" x14ac:dyDescent="0.3">
      <c r="E146" s="1" t="s">
        <v>473</v>
      </c>
      <c r="F146" s="2" t="s">
        <v>667</v>
      </c>
    </row>
    <row r="147" spans="1:30" x14ac:dyDescent="0.3">
      <c r="E147" s="1" t="s">
        <v>475</v>
      </c>
      <c r="F147" s="2" t="s">
        <v>668</v>
      </c>
    </row>
    <row r="148" spans="1:30" x14ac:dyDescent="0.3">
      <c r="E148" s="1" t="s">
        <v>477</v>
      </c>
      <c r="F148" s="2" t="s">
        <v>669</v>
      </c>
    </row>
    <row r="149" spans="1:30" ht="18" x14ac:dyDescent="0.35">
      <c r="A149" s="118" t="s">
        <v>567</v>
      </c>
    </row>
    <row r="150" spans="1:30" x14ac:dyDescent="0.3">
      <c r="S150" s="98"/>
    </row>
    <row r="151" spans="1:30" x14ac:dyDescent="0.3">
      <c r="A151" s="2335" t="s">
        <v>480</v>
      </c>
      <c r="B151" s="2336"/>
      <c r="C151" s="2336"/>
      <c r="D151" s="2336"/>
      <c r="E151" s="2336"/>
      <c r="F151" s="2336"/>
      <c r="G151" s="2336"/>
      <c r="H151" s="2336"/>
      <c r="I151" s="2336"/>
      <c r="J151" s="2336"/>
      <c r="K151" s="2336"/>
      <c r="L151" s="2336"/>
      <c r="M151" s="2336"/>
      <c r="N151" s="2336"/>
      <c r="O151" s="2336"/>
      <c r="P151" s="2336"/>
      <c r="Q151" s="2336"/>
      <c r="R151" s="2336"/>
      <c r="S151" s="2337"/>
      <c r="T151" s="2374" t="s">
        <v>584</v>
      </c>
      <c r="U151" s="2375"/>
      <c r="V151" s="2375"/>
      <c r="W151" s="2375"/>
      <c r="X151" s="2375"/>
      <c r="Y151" s="2375"/>
      <c r="Z151" s="2375"/>
      <c r="AA151" s="2375"/>
      <c r="AB151" s="2375"/>
      <c r="AC151" s="2375"/>
      <c r="AD151" s="2376"/>
    </row>
    <row r="152" spans="1:30" ht="15.6" x14ac:dyDescent="0.3">
      <c r="A152" s="2227" t="s">
        <v>482</v>
      </c>
      <c r="B152" s="2215" t="s">
        <v>483</v>
      </c>
      <c r="C152" s="2215" t="s">
        <v>484</v>
      </c>
      <c r="D152" s="2215" t="s">
        <v>555</v>
      </c>
      <c r="E152" s="2215" t="s">
        <v>556</v>
      </c>
      <c r="F152" s="2213" t="s">
        <v>487</v>
      </c>
      <c r="G152" s="2215" t="s">
        <v>557</v>
      </c>
      <c r="H152" s="2215" t="s">
        <v>489</v>
      </c>
      <c r="I152" s="2217" t="s">
        <v>490</v>
      </c>
      <c r="J152" s="373"/>
      <c r="K152" s="373"/>
      <c r="L152" s="2218"/>
      <c r="M152" s="374" t="s">
        <v>491</v>
      </c>
      <c r="N152" s="375" t="s">
        <v>558</v>
      </c>
      <c r="O152" s="376" t="s">
        <v>493</v>
      </c>
      <c r="P152" s="375" t="s">
        <v>558</v>
      </c>
      <c r="Q152" s="375" t="s">
        <v>559</v>
      </c>
      <c r="R152" s="534" t="s">
        <v>585</v>
      </c>
      <c r="S152" s="2327" t="s">
        <v>495</v>
      </c>
      <c r="T152" s="535" t="s">
        <v>496</v>
      </c>
      <c r="U152" s="2329" t="s">
        <v>497</v>
      </c>
      <c r="V152" s="2330"/>
      <c r="W152" s="2330"/>
      <c r="X152" s="2330"/>
      <c r="Y152" s="2331"/>
      <c r="Z152" s="2317" t="s">
        <v>498</v>
      </c>
      <c r="AA152" s="2319"/>
      <c r="AB152" s="2317" t="s">
        <v>499</v>
      </c>
      <c r="AC152" s="2318"/>
      <c r="AD152" s="2319"/>
    </row>
    <row r="153" spans="1:30" ht="15.6" x14ac:dyDescent="0.3">
      <c r="A153" s="2341"/>
      <c r="B153" s="2326"/>
      <c r="C153" s="2326"/>
      <c r="D153" s="2326"/>
      <c r="E153" s="2326"/>
      <c r="F153" s="2342"/>
      <c r="G153" s="2326"/>
      <c r="H153" s="2326"/>
      <c r="I153" s="536" t="s">
        <v>500</v>
      </c>
      <c r="J153" s="536" t="s">
        <v>501</v>
      </c>
      <c r="K153" s="536" t="s">
        <v>502</v>
      </c>
      <c r="L153" s="536" t="s">
        <v>503</v>
      </c>
      <c r="M153" s="537" t="s">
        <v>504</v>
      </c>
      <c r="N153" s="538" t="s">
        <v>505</v>
      </c>
      <c r="O153" s="539" t="s">
        <v>506</v>
      </c>
      <c r="P153" s="538" t="s">
        <v>507</v>
      </c>
      <c r="Q153" s="538" t="s">
        <v>560</v>
      </c>
      <c r="R153" s="538"/>
      <c r="S153" s="2328"/>
      <c r="T153" s="540" t="s">
        <v>508</v>
      </c>
      <c r="U153" s="2332"/>
      <c r="V153" s="2333"/>
      <c r="W153" s="2333"/>
      <c r="X153" s="2333"/>
      <c r="Y153" s="2334"/>
      <c r="Z153" s="2320"/>
      <c r="AA153" s="2322"/>
      <c r="AB153" s="2320"/>
      <c r="AC153" s="2321"/>
      <c r="AD153" s="2322"/>
    </row>
    <row r="154" spans="1:30" ht="18" x14ac:dyDescent="0.35">
      <c r="A154" s="2379" t="s">
        <v>568</v>
      </c>
      <c r="B154" s="2380"/>
      <c r="C154" s="2380"/>
      <c r="D154" s="2380"/>
      <c r="E154" s="2380"/>
      <c r="F154" s="2380"/>
      <c r="G154" s="2380"/>
      <c r="H154" s="2380"/>
      <c r="I154" s="2380"/>
      <c r="J154" s="2380"/>
      <c r="K154" s="2380"/>
      <c r="L154" s="2380"/>
      <c r="M154" s="2380"/>
      <c r="N154" s="2380"/>
      <c r="O154" s="2380"/>
      <c r="P154" s="2380"/>
      <c r="Q154" s="2380"/>
      <c r="R154" s="2380"/>
      <c r="S154" s="2381"/>
      <c r="T154" s="559"/>
      <c r="U154" s="596" t="s">
        <v>510</v>
      </c>
      <c r="V154" s="561" t="s">
        <v>11</v>
      </c>
      <c r="W154" s="561" t="s">
        <v>511</v>
      </c>
      <c r="X154" s="561" t="s">
        <v>512</v>
      </c>
      <c r="Y154" s="561" t="s">
        <v>513</v>
      </c>
      <c r="Z154" s="563" t="s">
        <v>514</v>
      </c>
      <c r="AA154" s="562" t="s">
        <v>515</v>
      </c>
      <c r="AB154" s="563" t="s">
        <v>81</v>
      </c>
      <c r="AC154" s="561" t="s">
        <v>16</v>
      </c>
      <c r="AD154" s="562" t="s">
        <v>5</v>
      </c>
    </row>
    <row r="155" spans="1:30" x14ac:dyDescent="0.3">
      <c r="A155" s="153"/>
      <c r="B155" s="462"/>
      <c r="C155" s="462"/>
      <c r="D155" s="462"/>
      <c r="E155" s="462"/>
      <c r="F155" s="463"/>
      <c r="G155" s="462"/>
      <c r="H155" s="462"/>
      <c r="I155" s="465"/>
      <c r="J155" s="465"/>
      <c r="K155" s="465"/>
      <c r="L155" s="465"/>
      <c r="M155" s="462"/>
      <c r="N155" s="468"/>
      <c r="O155" s="469"/>
      <c r="P155" s="468"/>
      <c r="Q155" s="468"/>
      <c r="R155" s="468"/>
      <c r="S155" s="634"/>
      <c r="T155" s="149"/>
      <c r="Z155" s="280"/>
      <c r="AA155" s="152"/>
      <c r="AB155" s="280"/>
      <c r="AD155" s="152"/>
    </row>
    <row r="156" spans="1:30" x14ac:dyDescent="0.3">
      <c r="A156" s="156" t="s">
        <v>662</v>
      </c>
      <c r="B156" s="157" t="s">
        <v>82</v>
      </c>
      <c r="C156" s="157" t="s">
        <v>517</v>
      </c>
      <c r="D156" s="157" t="s">
        <v>21</v>
      </c>
      <c r="E156" s="157" t="s">
        <v>518</v>
      </c>
      <c r="F156" s="158" t="s">
        <v>43</v>
      </c>
      <c r="G156" s="157">
        <v>2</v>
      </c>
      <c r="H156" s="157" t="s">
        <v>24</v>
      </c>
      <c r="I156" s="159">
        <v>2</v>
      </c>
      <c r="J156" s="161"/>
      <c r="K156" s="161"/>
      <c r="L156" s="2209"/>
      <c r="M156" s="163">
        <v>1</v>
      </c>
      <c r="N156" s="164">
        <v>4480</v>
      </c>
      <c r="O156" s="165">
        <v>0.25</v>
      </c>
      <c r="P156" s="166">
        <f>N156*(1-O156)</f>
        <v>3360</v>
      </c>
      <c r="Q156" s="166">
        <f t="shared" ref="Q156:Q159" si="34">P156*M156*G156</f>
        <v>6720</v>
      </c>
      <c r="R156" s="206" t="e">
        <f>(Q156+#REF!+Q157+#REF!)/E140*1000</f>
        <v>#REF!</v>
      </c>
      <c r="S156" s="318">
        <f>Q156/$Q$167</f>
        <v>0.20898121656922503</v>
      </c>
      <c r="T156" s="168">
        <f>Q156*2</f>
        <v>13440</v>
      </c>
      <c r="U156" s="7">
        <f t="shared" ref="U156:U158" si="35">T156</f>
        <v>13440</v>
      </c>
      <c r="V156" s="169"/>
      <c r="W156" s="169"/>
      <c r="X156" s="169"/>
      <c r="Y156" s="169"/>
      <c r="Z156" s="282"/>
      <c r="AA156" s="171">
        <f>T156</f>
        <v>13440</v>
      </c>
      <c r="AB156" s="282">
        <f>T156</f>
        <v>13440</v>
      </c>
      <c r="AD156" s="152"/>
    </row>
    <row r="157" spans="1:30" x14ac:dyDescent="0.3">
      <c r="A157" s="156" t="s">
        <v>662</v>
      </c>
      <c r="B157" s="157" t="s">
        <v>82</v>
      </c>
      <c r="C157" s="157" t="s">
        <v>517</v>
      </c>
      <c r="D157" s="157" t="s">
        <v>27</v>
      </c>
      <c r="E157" s="157" t="s">
        <v>520</v>
      </c>
      <c r="F157" s="158" t="s">
        <v>521</v>
      </c>
      <c r="G157" s="157">
        <v>6</v>
      </c>
      <c r="H157" s="157" t="s">
        <v>24</v>
      </c>
      <c r="I157" s="175">
        <v>6</v>
      </c>
      <c r="J157" s="176"/>
      <c r="K157" s="179"/>
      <c r="L157" s="180"/>
      <c r="M157" s="163">
        <v>1</v>
      </c>
      <c r="N157" s="166">
        <v>1560</v>
      </c>
      <c r="O157" s="173">
        <v>0.25</v>
      </c>
      <c r="P157" s="166">
        <f t="shared" ref="P157:P159" si="36">N157*(1-O157)</f>
        <v>1170</v>
      </c>
      <c r="Q157" s="166">
        <f t="shared" si="34"/>
        <v>7020</v>
      </c>
      <c r="R157" s="206" t="e">
        <f>(Q157+#REF!)/E141*1000</f>
        <v>#REF!</v>
      </c>
      <c r="S157" s="320">
        <f>Q157/$Q$167</f>
        <v>0.21831073516606542</v>
      </c>
      <c r="T157" s="168">
        <f t="shared" ref="T157:T161" si="37">Q157*2</f>
        <v>14040</v>
      </c>
      <c r="U157" s="7">
        <f t="shared" si="35"/>
        <v>14040</v>
      </c>
      <c r="W157" s="169"/>
      <c r="Z157" s="150">
        <f>T157</f>
        <v>14040</v>
      </c>
      <c r="AA157" s="171"/>
      <c r="AB157" s="282">
        <f t="shared" ref="AB157:AB159" si="38">T157</f>
        <v>14040</v>
      </c>
      <c r="AD157" s="152"/>
    </row>
    <row r="158" spans="1:30" x14ac:dyDescent="0.3">
      <c r="A158" s="156" t="s">
        <v>662</v>
      </c>
      <c r="B158" s="157" t="s">
        <v>82</v>
      </c>
      <c r="C158" s="157" t="s">
        <v>517</v>
      </c>
      <c r="D158" s="157" t="s">
        <v>26</v>
      </c>
      <c r="E158" s="157" t="s">
        <v>520</v>
      </c>
      <c r="F158" s="158" t="s">
        <v>589</v>
      </c>
      <c r="G158" s="157">
        <v>2</v>
      </c>
      <c r="H158" s="157" t="s">
        <v>24</v>
      </c>
      <c r="I158" s="182">
        <v>2</v>
      </c>
      <c r="J158" s="183"/>
      <c r="K158" s="183"/>
      <c r="L158" s="2239"/>
      <c r="M158" s="163">
        <v>1</v>
      </c>
      <c r="N158" s="166">
        <v>4068</v>
      </c>
      <c r="O158" s="173">
        <v>0.25</v>
      </c>
      <c r="P158" s="166">
        <f t="shared" si="36"/>
        <v>3051</v>
      </c>
      <c r="Q158" s="166">
        <f t="shared" si="34"/>
        <v>6102</v>
      </c>
      <c r="R158" s="206" t="e">
        <f>(Q158+#REF!+#REF!)/E141*1000</f>
        <v>#REF!</v>
      </c>
      <c r="S158" s="320">
        <f t="shared" ref="S158:S161" si="39">Q158/$Q$167</f>
        <v>0.18976240825973381</v>
      </c>
      <c r="T158" s="168">
        <f t="shared" si="37"/>
        <v>12204</v>
      </c>
      <c r="U158" s="7">
        <f t="shared" si="35"/>
        <v>12204</v>
      </c>
      <c r="Z158" s="282">
        <f>T158</f>
        <v>12204</v>
      </c>
      <c r="AA158" s="171"/>
      <c r="AB158" s="282">
        <f t="shared" si="38"/>
        <v>12204</v>
      </c>
      <c r="AD158" s="152"/>
    </row>
    <row r="159" spans="1:30" x14ac:dyDescent="0.3">
      <c r="A159" s="156" t="s">
        <v>662</v>
      </c>
      <c r="B159" s="157" t="s">
        <v>82</v>
      </c>
      <c r="C159" s="157" t="s">
        <v>592</v>
      </c>
      <c r="D159" s="157" t="s">
        <v>50</v>
      </c>
      <c r="E159" s="157" t="s">
        <v>520</v>
      </c>
      <c r="F159" s="158" t="s">
        <v>588</v>
      </c>
      <c r="G159" s="157">
        <v>3</v>
      </c>
      <c r="H159" s="157" t="s">
        <v>24</v>
      </c>
      <c r="I159" s="182">
        <v>3</v>
      </c>
      <c r="J159" s="183"/>
      <c r="K159" s="183"/>
      <c r="L159" s="2239"/>
      <c r="M159" s="163">
        <v>1</v>
      </c>
      <c r="N159" s="473">
        <v>1016</v>
      </c>
      <c r="O159" s="165">
        <v>0.25</v>
      </c>
      <c r="P159" s="476">
        <f t="shared" si="36"/>
        <v>762</v>
      </c>
      <c r="Q159" s="473">
        <f t="shared" si="34"/>
        <v>2286</v>
      </c>
      <c r="R159" s="9"/>
      <c r="S159" s="320">
        <f t="shared" si="39"/>
        <v>7.1090931707923868E-2</v>
      </c>
      <c r="T159" s="168">
        <f t="shared" si="37"/>
        <v>4572</v>
      </c>
      <c r="U159" s="15"/>
      <c r="W159" s="169">
        <f>T159</f>
        <v>4572</v>
      </c>
      <c r="Z159" s="150">
        <f>T159</f>
        <v>4572</v>
      </c>
      <c r="AA159" s="171"/>
      <c r="AB159" s="282">
        <f t="shared" si="38"/>
        <v>4572</v>
      </c>
      <c r="AD159" s="152"/>
    </row>
    <row r="160" spans="1:30" x14ac:dyDescent="0.3">
      <c r="A160" s="156" t="s">
        <v>662</v>
      </c>
      <c r="B160" s="157" t="s">
        <v>78</v>
      </c>
      <c r="C160" s="157"/>
      <c r="D160" s="157" t="s">
        <v>32</v>
      </c>
      <c r="E160" s="157" t="s">
        <v>650</v>
      </c>
      <c r="F160" s="158"/>
      <c r="G160" s="157">
        <v>2</v>
      </c>
      <c r="H160" s="157" t="s">
        <v>58</v>
      </c>
      <c r="I160" s="175">
        <v>2</v>
      </c>
      <c r="J160" s="1"/>
      <c r="K160" s="183">
        <v>2</v>
      </c>
      <c r="L160" s="163"/>
      <c r="M160" s="163">
        <v>2</v>
      </c>
      <c r="N160" s="473">
        <f>265*8</f>
        <v>2120</v>
      </c>
      <c r="O160" s="165">
        <v>0.4</v>
      </c>
      <c r="P160" s="476">
        <f>N160*(1-O160)</f>
        <v>1272</v>
      </c>
      <c r="Q160" s="473">
        <f>P160*G160*M160</f>
        <v>5088</v>
      </c>
      <c r="R160" s="9"/>
      <c r="S160" s="629">
        <f>Q160/$Q$167</f>
        <v>0.15822863540241325</v>
      </c>
      <c r="T160" s="168">
        <f t="shared" si="37"/>
        <v>10176</v>
      </c>
      <c r="U160" s="15">
        <f t="shared" ref="U160" si="40">T160</f>
        <v>10176</v>
      </c>
      <c r="Z160" s="282"/>
      <c r="AA160" s="171"/>
      <c r="AB160" s="280"/>
      <c r="AC160" s="169">
        <f>T160</f>
        <v>10176</v>
      </c>
      <c r="AD160" s="152"/>
    </row>
    <row r="161" spans="1:30" x14ac:dyDescent="0.3">
      <c r="A161" s="156" t="s">
        <v>662</v>
      </c>
      <c r="B161" s="157" t="s">
        <v>41</v>
      </c>
      <c r="C161" s="157" t="s">
        <v>525</v>
      </c>
      <c r="D161" s="157" t="s">
        <v>79</v>
      </c>
      <c r="E161" s="157" t="s">
        <v>520</v>
      </c>
      <c r="F161" s="158" t="s">
        <v>551</v>
      </c>
      <c r="G161" s="157">
        <v>3</v>
      </c>
      <c r="H161" s="157" t="s">
        <v>24</v>
      </c>
      <c r="I161" s="182">
        <v>3</v>
      </c>
      <c r="J161" s="183"/>
      <c r="K161" s="183"/>
      <c r="L161" s="2239"/>
      <c r="M161" s="163">
        <v>1</v>
      </c>
      <c r="N161" s="473">
        <v>1600</v>
      </c>
      <c r="O161" s="165">
        <v>0.7</v>
      </c>
      <c r="P161" s="476">
        <f>N161*(1-O161)</f>
        <v>480.00000000000006</v>
      </c>
      <c r="Q161" s="473">
        <f>P161*G161*M161</f>
        <v>1440.0000000000002</v>
      </c>
      <c r="R161" s="9"/>
      <c r="S161" s="320">
        <f t="shared" si="39"/>
        <v>4.4781689264833939E-2</v>
      </c>
      <c r="T161" s="168">
        <f t="shared" si="37"/>
        <v>2880.0000000000005</v>
      </c>
      <c r="U161" s="15"/>
      <c r="W161" s="169">
        <f>T161</f>
        <v>2880.0000000000005</v>
      </c>
      <c r="Z161" s="150">
        <f>T161</f>
        <v>2880.0000000000005</v>
      </c>
      <c r="AA161" s="171"/>
      <c r="AB161" s="280"/>
      <c r="AD161" s="171">
        <f>T161</f>
        <v>2880.0000000000005</v>
      </c>
    </row>
    <row r="162" spans="1:30" x14ac:dyDescent="0.3">
      <c r="A162" s="156"/>
      <c r="B162" s="157"/>
      <c r="C162" s="157"/>
      <c r="D162" s="157"/>
      <c r="E162" s="157"/>
      <c r="F162" s="158"/>
      <c r="G162" s="157"/>
      <c r="H162" s="157"/>
      <c r="I162" s="474"/>
      <c r="J162" s="1"/>
      <c r="K162" s="1"/>
      <c r="L162" s="163"/>
      <c r="M162" s="163"/>
      <c r="N162" s="473"/>
      <c r="O162" s="165"/>
      <c r="P162" s="476"/>
      <c r="Q162" s="473"/>
      <c r="R162" s="9"/>
      <c r="S162" s="477"/>
      <c r="T162" s="478"/>
      <c r="U162" s="15"/>
      <c r="Z162" s="282"/>
      <c r="AA162" s="171"/>
      <c r="AB162" s="280"/>
      <c r="AD162" s="152"/>
    </row>
    <row r="163" spans="1:30" x14ac:dyDescent="0.3">
      <c r="A163" s="156"/>
      <c r="B163" s="157"/>
      <c r="C163" s="157"/>
      <c r="D163" s="157"/>
      <c r="E163" s="157"/>
      <c r="F163" s="158"/>
      <c r="G163" s="157"/>
      <c r="H163" s="157"/>
      <c r="I163" s="474"/>
      <c r="J163" s="1"/>
      <c r="K163" s="1"/>
      <c r="L163" s="163"/>
      <c r="M163" s="163"/>
      <c r="N163" s="473"/>
      <c r="O163" s="165"/>
      <c r="P163" s="476"/>
      <c r="Q163" s="473"/>
      <c r="R163" s="9"/>
      <c r="S163" s="477"/>
      <c r="T163" s="478"/>
      <c r="U163" s="15"/>
      <c r="Z163" s="282"/>
      <c r="AA163" s="171"/>
      <c r="AB163" s="280"/>
      <c r="AD163" s="152"/>
    </row>
    <row r="164" spans="1:30" x14ac:dyDescent="0.3">
      <c r="A164" s="189" t="s">
        <v>662</v>
      </c>
      <c r="B164" s="190" t="s">
        <v>528</v>
      </c>
      <c r="C164" s="190"/>
      <c r="D164" s="190"/>
      <c r="E164" s="190"/>
      <c r="F164" s="191"/>
      <c r="G164" s="190"/>
      <c r="H164" s="190"/>
      <c r="I164" s="192"/>
      <c r="J164" s="193"/>
      <c r="K164" s="193"/>
      <c r="L164" s="630"/>
      <c r="M164" s="630"/>
      <c r="N164" s="194"/>
      <c r="O164" s="195"/>
      <c r="P164" s="186"/>
      <c r="Q164" s="166"/>
      <c r="R164" s="288"/>
      <c r="S164" s="323"/>
      <c r="T164" s="168">
        <f t="shared" ref="T164" si="41">Q164*2</f>
        <v>0</v>
      </c>
      <c r="U164" s="7"/>
      <c r="X164" s="169">
        <f>T164</f>
        <v>0</v>
      </c>
      <c r="Z164" s="280"/>
      <c r="AA164" s="171"/>
      <c r="AB164" s="280"/>
      <c r="AD164" s="152"/>
    </row>
    <row r="165" spans="1:30" x14ac:dyDescent="0.3">
      <c r="A165" s="365" t="s">
        <v>662</v>
      </c>
      <c r="B165" s="108" t="s">
        <v>529</v>
      </c>
      <c r="C165" s="108"/>
      <c r="D165" s="108" t="s">
        <v>530</v>
      </c>
      <c r="E165" s="108"/>
      <c r="F165" s="479"/>
      <c r="G165" s="108"/>
      <c r="H165" s="108"/>
      <c r="I165" s="254"/>
      <c r="J165" s="254"/>
      <c r="K165" s="254"/>
      <c r="L165" s="254"/>
      <c r="M165" s="108"/>
      <c r="N165" s="257"/>
      <c r="O165" s="109"/>
      <c r="P165" s="290"/>
      <c r="Q165" s="257">
        <v>3500</v>
      </c>
      <c r="R165" s="480"/>
      <c r="S165" s="367">
        <f>Q165/Q167</f>
        <v>0.1088443836298047</v>
      </c>
      <c r="T165" s="168">
        <f>Q165*2</f>
        <v>7000</v>
      </c>
      <c r="U165" s="7"/>
      <c r="Y165" s="169">
        <f>T165</f>
        <v>7000</v>
      </c>
      <c r="Z165" s="280"/>
      <c r="AA165" s="152"/>
      <c r="AB165" s="280"/>
      <c r="AD165" s="152"/>
    </row>
    <row r="166" spans="1:30" x14ac:dyDescent="0.3">
      <c r="A166" s="368"/>
      <c r="B166" s="369"/>
      <c r="C166" s="369"/>
      <c r="D166" s="369"/>
      <c r="E166" s="369"/>
      <c r="F166" s="370"/>
      <c r="G166" s="369"/>
      <c r="H166" s="369"/>
      <c r="I166" s="2184">
        <f>I167/M167</f>
        <v>0.9</v>
      </c>
      <c r="J166" s="208"/>
      <c r="K166" s="2184">
        <f>K167/M167</f>
        <v>0.1</v>
      </c>
      <c r="L166" s="208"/>
      <c r="M166" s="369"/>
      <c r="N166" s="371"/>
      <c r="O166" s="372"/>
      <c r="P166" s="371"/>
      <c r="Q166" s="371"/>
      <c r="R166" s="371"/>
      <c r="S166" s="261"/>
      <c r="T166" s="149"/>
      <c r="U166" s="7"/>
      <c r="Z166" s="280"/>
      <c r="AA166" s="152"/>
      <c r="AB166" s="280"/>
      <c r="AD166" s="152"/>
    </row>
    <row r="167" spans="1:30" x14ac:dyDescent="0.3">
      <c r="A167" s="396" t="s">
        <v>531</v>
      </c>
      <c r="B167" s="373"/>
      <c r="C167" s="373"/>
      <c r="D167" s="373"/>
      <c r="E167" s="373"/>
      <c r="F167" s="397"/>
      <c r="G167" s="373"/>
      <c r="H167" s="373"/>
      <c r="I167" s="373">
        <f>I158+I157+I156+I159+I160+I161</f>
        <v>18</v>
      </c>
      <c r="J167" s="373"/>
      <c r="K167" s="373">
        <f>K160</f>
        <v>2</v>
      </c>
      <c r="L167" s="373"/>
      <c r="M167" s="373">
        <f>SUM(I167:L167)</f>
        <v>20</v>
      </c>
      <c r="N167" s="398"/>
      <c r="O167" s="399"/>
      <c r="P167" s="398"/>
      <c r="Q167" s="400">
        <f>SUM(Q156:Q166)</f>
        <v>32156</v>
      </c>
      <c r="R167" s="400"/>
      <c r="S167" s="401">
        <f>SUM(S156:S165)</f>
        <v>1</v>
      </c>
      <c r="T167" s="402">
        <f>SUM(T156:T166)</f>
        <v>64312</v>
      </c>
      <c r="U167" s="404">
        <f t="shared" ref="U167:AA167" si="42">SUM(U156:U165)</f>
        <v>49860</v>
      </c>
      <c r="V167" s="404">
        <f t="shared" si="42"/>
        <v>0</v>
      </c>
      <c r="W167" s="404">
        <f t="shared" si="42"/>
        <v>7452</v>
      </c>
      <c r="X167" s="404">
        <f t="shared" si="42"/>
        <v>0</v>
      </c>
      <c r="Y167" s="404">
        <f t="shared" si="42"/>
        <v>7000</v>
      </c>
      <c r="Z167" s="406">
        <f t="shared" si="42"/>
        <v>33696</v>
      </c>
      <c r="AA167" s="405">
        <f t="shared" si="42"/>
        <v>13440</v>
      </c>
      <c r="AB167" s="403">
        <f>SUM(AB156:AB166)</f>
        <v>44256</v>
      </c>
      <c r="AC167" s="404">
        <f>SUM(AC156:AC166)</f>
        <v>10176</v>
      </c>
      <c r="AD167" s="405">
        <f>SUM(AD156:AD166)</f>
        <v>2880.0000000000005</v>
      </c>
    </row>
    <row r="168" spans="1:30" x14ac:dyDescent="0.3">
      <c r="A168" s="410" t="s">
        <v>532</v>
      </c>
      <c r="B168" s="411"/>
      <c r="C168" s="411"/>
      <c r="D168" s="411"/>
      <c r="E168" s="411"/>
      <c r="F168" s="412"/>
      <c r="G168" s="411"/>
      <c r="H168" s="411"/>
      <c r="I168" s="411">
        <f>I158+I157+I156+I159+I160+I161</f>
        <v>18</v>
      </c>
      <c r="J168" s="411">
        <f>I158+I157+I156+I159+I161</f>
        <v>16</v>
      </c>
      <c r="K168" s="411">
        <f>I158+I156+I159+K160+I161</f>
        <v>12</v>
      </c>
      <c r="L168" s="411">
        <f>I158+I156+I159+I161</f>
        <v>10</v>
      </c>
      <c r="M168" s="411">
        <f>SUM(I168:L168)</f>
        <v>56</v>
      </c>
      <c r="N168" s="413"/>
      <c r="O168" s="414"/>
      <c r="P168" s="413"/>
      <c r="Q168" s="413"/>
      <c r="R168" s="413"/>
      <c r="S168" s="415"/>
      <c r="T168" s="416"/>
      <c r="U168" s="638">
        <f>U167/T167</f>
        <v>0.7752829953974375</v>
      </c>
      <c r="V168" s="418">
        <f>V167/T167</f>
        <v>0</v>
      </c>
      <c r="W168" s="418">
        <f>W167/T167</f>
        <v>0.1158726209727578</v>
      </c>
      <c r="X168" s="418">
        <f>X167/T167</f>
        <v>0</v>
      </c>
      <c r="Y168" s="418">
        <f>Y167/T167</f>
        <v>0.1088443836298047</v>
      </c>
      <c r="Z168" s="420">
        <f>Z167/T167</f>
        <v>0.523945764398557</v>
      </c>
      <c r="AA168" s="419">
        <f>AA167/T167</f>
        <v>0.20898121656922503</v>
      </c>
      <c r="AB168" s="599"/>
      <c r="AC168" s="550"/>
      <c r="AD168" s="424"/>
    </row>
    <row r="169" spans="1:30" x14ac:dyDescent="0.3">
      <c r="A169" s="243" t="s">
        <v>533</v>
      </c>
      <c r="B169" s="193"/>
      <c r="C169" s="193"/>
      <c r="D169" s="193"/>
      <c r="E169" s="193"/>
      <c r="F169" s="244"/>
      <c r="G169" s="193"/>
      <c r="H169" s="193"/>
      <c r="I169" s="2182">
        <f>I168/M168</f>
        <v>0.32142857142857145</v>
      </c>
      <c r="J169" s="2182">
        <f>J168/M168</f>
        <v>0.2857142857142857</v>
      </c>
      <c r="K169" s="2182">
        <f>K168/M168</f>
        <v>0.21428571428571427</v>
      </c>
      <c r="L169" s="2182">
        <f>L168/M168</f>
        <v>0.17857142857142858</v>
      </c>
      <c r="M169" s="193"/>
      <c r="N169" s="246"/>
      <c r="O169" s="196"/>
      <c r="P169" s="246"/>
      <c r="Q169" s="194">
        <f>U167/2</f>
        <v>24930</v>
      </c>
      <c r="R169" s="288"/>
      <c r="S169" s="247">
        <f>Q169/Q174</f>
        <v>0.7752829953974375</v>
      </c>
      <c r="Y169" s="248"/>
      <c r="Z169" s="357">
        <f>I157+I158+I161+I159</f>
        <v>14</v>
      </c>
      <c r="AA169" s="358">
        <f>I156</f>
        <v>2</v>
      </c>
    </row>
    <row r="170" spans="1:30" x14ac:dyDescent="0.3">
      <c r="A170" s="251" t="s">
        <v>11</v>
      </c>
      <c r="B170" s="252"/>
      <c r="C170" s="252"/>
      <c r="D170" s="252"/>
      <c r="E170" s="252"/>
      <c r="F170" s="253"/>
      <c r="G170" s="252"/>
      <c r="H170" s="252"/>
      <c r="I170" s="254"/>
      <c r="J170" s="254"/>
      <c r="K170" s="254"/>
      <c r="L170" s="254"/>
      <c r="M170" s="252"/>
      <c r="N170" s="255"/>
      <c r="O170" s="256"/>
      <c r="P170" s="255"/>
      <c r="Q170" s="257">
        <f>V167/2</f>
        <v>0</v>
      </c>
      <c r="R170" s="290"/>
      <c r="S170" s="256">
        <f>Q170/Q174</f>
        <v>0</v>
      </c>
      <c r="T170" s="551">
        <f>Q167/M167</f>
        <v>1607.8</v>
      </c>
      <c r="U170" s="426" t="s">
        <v>535</v>
      </c>
      <c r="Z170" s="195">
        <f>Z169/M167</f>
        <v>0.7</v>
      </c>
      <c r="AA170" s="247">
        <f>AA169/M167</f>
        <v>0.1</v>
      </c>
    </row>
    <row r="171" spans="1:30" x14ac:dyDescent="0.3">
      <c r="A171" s="251" t="s">
        <v>536</v>
      </c>
      <c r="B171" s="252"/>
      <c r="C171" s="252"/>
      <c r="D171" s="252"/>
      <c r="E171" s="252"/>
      <c r="F171" s="253"/>
      <c r="G171" s="252"/>
      <c r="H171" s="252"/>
      <c r="I171" s="254"/>
      <c r="J171" s="254"/>
      <c r="K171" s="254"/>
      <c r="L171" s="254"/>
      <c r="M171" s="252"/>
      <c r="N171" s="255"/>
      <c r="O171" s="256"/>
      <c r="P171" s="255"/>
      <c r="Q171" s="257">
        <f>W167/2</f>
        <v>3726</v>
      </c>
      <c r="R171" s="290"/>
      <c r="S171" s="262">
        <f>Q171/Q174</f>
        <v>0.1158726209727578</v>
      </c>
      <c r="V171" s="263"/>
      <c r="X171" s="99"/>
      <c r="Z171" s="2265" t="s">
        <v>537</v>
      </c>
      <c r="AA171" s="2265"/>
    </row>
    <row r="172" spans="1:30" x14ac:dyDescent="0.3">
      <c r="A172" s="251" t="s">
        <v>529</v>
      </c>
      <c r="B172" s="252"/>
      <c r="C172" s="252"/>
      <c r="D172" s="252"/>
      <c r="E172" s="252"/>
      <c r="F172" s="253"/>
      <c r="G172" s="252"/>
      <c r="H172" s="252"/>
      <c r="I172" s="254"/>
      <c r="J172" s="254"/>
      <c r="K172" s="254"/>
      <c r="L172" s="254"/>
      <c r="M172" s="252"/>
      <c r="N172" s="255"/>
      <c r="O172" s="256"/>
      <c r="P172" s="255"/>
      <c r="Q172" s="257">
        <f>Y167/2</f>
        <v>3500</v>
      </c>
      <c r="R172" s="290"/>
      <c r="S172" s="262">
        <f>Q172/Q174</f>
        <v>0.1088443836298047</v>
      </c>
      <c r="V172" s="263"/>
    </row>
    <row r="173" spans="1:30" x14ac:dyDescent="0.3">
      <c r="A173" s="251" t="s">
        <v>528</v>
      </c>
      <c r="B173" s="252"/>
      <c r="C173" s="252"/>
      <c r="D173" s="252"/>
      <c r="E173" s="252"/>
      <c r="F173" s="253"/>
      <c r="G173" s="252"/>
      <c r="H173" s="252"/>
      <c r="I173" s="254"/>
      <c r="J173" s="254"/>
      <c r="K173" s="254"/>
      <c r="L173" s="254"/>
      <c r="M173" s="252"/>
      <c r="N173" s="255"/>
      <c r="O173" s="256"/>
      <c r="P173" s="255"/>
      <c r="Q173" s="257">
        <f>X167/2</f>
        <v>0</v>
      </c>
      <c r="R173" s="290"/>
      <c r="S173" s="262">
        <f>Q173/Q174</f>
        <v>0</v>
      </c>
    </row>
    <row r="174" spans="1:30" x14ac:dyDescent="0.3">
      <c r="A174" s="251"/>
      <c r="B174" s="252"/>
      <c r="C174" s="252"/>
      <c r="D174" s="252"/>
      <c r="E174" s="252"/>
      <c r="F174" s="253"/>
      <c r="G174" s="252"/>
      <c r="H174" s="252"/>
      <c r="I174" s="254"/>
      <c r="J174" s="254"/>
      <c r="K174" s="254"/>
      <c r="L174" s="254"/>
      <c r="M174" s="252"/>
      <c r="N174" s="255"/>
      <c r="O174" s="256"/>
      <c r="P174" s="255"/>
      <c r="Q174" s="264">
        <f>SUM(Q169:Q173)</f>
        <v>32156</v>
      </c>
      <c r="R174" s="490"/>
      <c r="S174" s="262">
        <f>SUM(S169:S173)</f>
        <v>1</v>
      </c>
    </row>
    <row r="175" spans="1:30" x14ac:dyDescent="0.3">
      <c r="D175" s="304"/>
      <c r="E175" s="304"/>
      <c r="G175" s="304"/>
      <c r="H175" s="304"/>
    </row>
    <row r="176" spans="1:30" ht="18" x14ac:dyDescent="0.35">
      <c r="D176" s="304"/>
      <c r="E176" s="304"/>
      <c r="G176" s="304"/>
      <c r="H176" s="304"/>
      <c r="AA176" s="303">
        <f>SUM(AB177:AE177)</f>
        <v>513363</v>
      </c>
      <c r="AB176" s="563" t="s">
        <v>81</v>
      </c>
      <c r="AC176" s="561" t="s">
        <v>16</v>
      </c>
      <c r="AD176" s="562" t="s">
        <v>5</v>
      </c>
    </row>
    <row r="177" spans="1:30" ht="18" x14ac:dyDescent="0.35">
      <c r="A177" s="430" t="s">
        <v>569</v>
      </c>
      <c r="B177" s="431"/>
      <c r="C177" s="431"/>
      <c r="D177" s="432"/>
      <c r="E177" s="432"/>
      <c r="F177" s="433"/>
      <c r="G177" s="432"/>
      <c r="H177" s="432"/>
      <c r="I177" s="434"/>
      <c r="J177" s="434"/>
      <c r="K177" s="434"/>
      <c r="L177" s="434"/>
      <c r="M177" s="431"/>
      <c r="N177" s="435"/>
      <c r="O177" s="436"/>
      <c r="P177" s="435"/>
      <c r="Q177" s="435"/>
      <c r="R177" s="436"/>
      <c r="S177" s="437"/>
      <c r="T177" s="435">
        <f>T167+T135+T105+T73+T44</f>
        <v>566863</v>
      </c>
      <c r="AA177" s="137" t="s">
        <v>601</v>
      </c>
      <c r="AB177" s="435">
        <f>AB167+AB135+AB105+AB73+AB44</f>
        <v>475635</v>
      </c>
      <c r="AC177" s="435">
        <f t="shared" ref="AC177:AD177" si="43">AC167+AC135+AC105+AC73+AC44</f>
        <v>30528</v>
      </c>
      <c r="AD177" s="435">
        <f t="shared" si="43"/>
        <v>7200.0000000000018</v>
      </c>
    </row>
    <row r="178" spans="1:30" x14ac:dyDescent="0.3">
      <c r="S178" s="3" t="s">
        <v>571</v>
      </c>
      <c r="T178" s="99">
        <f>D19-T177</f>
        <v>69186.04999999993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64"/>
  <sheetViews>
    <sheetView topLeftCell="A13" workbookViewId="0">
      <selection activeCell="H32" sqref="H32:H37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1166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328</v>
      </c>
      <c r="C2" t="s">
        <v>355</v>
      </c>
      <c r="D2" t="s">
        <v>356</v>
      </c>
      <c r="E2" s="1" t="s">
        <v>357</v>
      </c>
      <c r="F2" s="1" t="s">
        <v>21</v>
      </c>
      <c r="G2" s="2186">
        <v>2</v>
      </c>
      <c r="H2" s="2186">
        <f>VLOOKUP(G2,Pesos!A:B,2,0)</f>
        <v>0.8</v>
      </c>
      <c r="I2" s="1"/>
      <c r="J2" s="1" t="s">
        <v>308</v>
      </c>
      <c r="K2" s="1">
        <v>3</v>
      </c>
      <c r="L2" s="1">
        <v>6</v>
      </c>
      <c r="M2" s="1">
        <v>2</v>
      </c>
      <c r="N2" s="1" t="s">
        <v>24</v>
      </c>
      <c r="O2" s="1">
        <v>2</v>
      </c>
      <c r="P2" s="1"/>
      <c r="Q2" s="1"/>
      <c r="R2" s="1"/>
      <c r="S2" s="1">
        <v>1</v>
      </c>
      <c r="T2" s="15">
        <v>4480</v>
      </c>
      <c r="U2" s="29">
        <v>0.25</v>
      </c>
      <c r="V2" s="25">
        <f>T2*(1-U2)</f>
        <v>3360</v>
      </c>
      <c r="W2" s="25">
        <f t="shared" ref="W2:W7" si="0">V2*S2*M2</f>
        <v>6720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328</v>
      </c>
      <c r="C3" t="s">
        <v>355</v>
      </c>
      <c r="D3" t="s">
        <v>356</v>
      </c>
      <c r="E3" s="1" t="s">
        <v>357</v>
      </c>
      <c r="F3" s="1" t="s">
        <v>21</v>
      </c>
      <c r="G3" s="2186">
        <v>2</v>
      </c>
      <c r="H3" s="2186">
        <f>VLOOKUP(G3,Pesos!A:B,2,0)</f>
        <v>0.8</v>
      </c>
      <c r="J3" s="1" t="s">
        <v>308</v>
      </c>
      <c r="K3" s="1">
        <v>3</v>
      </c>
      <c r="L3" s="1">
        <v>6</v>
      </c>
      <c r="M3" s="1">
        <v>1</v>
      </c>
      <c r="N3" s="1" t="s">
        <v>24</v>
      </c>
      <c r="O3" s="1">
        <v>1</v>
      </c>
      <c r="S3" s="1">
        <v>1</v>
      </c>
      <c r="T3" s="5">
        <v>15000</v>
      </c>
      <c r="U3" s="29">
        <v>0.25</v>
      </c>
      <c r="V3" s="26">
        <f>T3*(1-U3)</f>
        <v>11250</v>
      </c>
      <c r="W3" s="26">
        <f t="shared" si="0"/>
        <v>11250</v>
      </c>
      <c r="X3" s="6"/>
      <c r="Y3" s="22"/>
      <c r="Z3" s="1"/>
    </row>
    <row r="4" spans="1:32" x14ac:dyDescent="0.3">
      <c r="A4" t="s">
        <v>327</v>
      </c>
      <c r="B4" t="s">
        <v>328</v>
      </c>
      <c r="C4" t="s">
        <v>355</v>
      </c>
      <c r="D4" t="s">
        <v>356</v>
      </c>
      <c r="E4" s="1" t="s">
        <v>357</v>
      </c>
      <c r="F4" s="1" t="s">
        <v>21</v>
      </c>
      <c r="G4" s="2186">
        <v>2</v>
      </c>
      <c r="H4" s="2186">
        <f>VLOOKUP(G4,Pesos!A:B,2,0)</f>
        <v>0.8</v>
      </c>
      <c r="J4" s="1" t="s">
        <v>308</v>
      </c>
      <c r="K4" s="1">
        <v>3</v>
      </c>
      <c r="L4" s="1">
        <v>6</v>
      </c>
      <c r="M4" s="1">
        <v>1</v>
      </c>
      <c r="N4" s="1" t="s">
        <v>24</v>
      </c>
      <c r="O4" s="1">
        <v>1</v>
      </c>
      <c r="S4" s="1">
        <v>1</v>
      </c>
      <c r="T4" s="5">
        <v>32960</v>
      </c>
      <c r="U4" s="29">
        <v>0.25</v>
      </c>
      <c r="V4" s="26">
        <f t="shared" ref="V4:V16" si="1">T4*(1-U4)</f>
        <v>24720</v>
      </c>
      <c r="W4" s="26">
        <f t="shared" si="0"/>
        <v>24720</v>
      </c>
      <c r="X4" s="6"/>
      <c r="Y4" s="22"/>
      <c r="Z4" s="1"/>
    </row>
    <row r="5" spans="1:32" x14ac:dyDescent="0.3">
      <c r="A5" t="s">
        <v>327</v>
      </c>
      <c r="B5" t="s">
        <v>328</v>
      </c>
      <c r="C5" t="s">
        <v>355</v>
      </c>
      <c r="D5" t="s">
        <v>356</v>
      </c>
      <c r="E5" s="1" t="s">
        <v>357</v>
      </c>
      <c r="F5" s="1" t="s">
        <v>27</v>
      </c>
      <c r="G5" s="2186">
        <v>1</v>
      </c>
      <c r="H5" s="2186">
        <f>VLOOKUP(G5,Pesos!A:B,2,0)</f>
        <v>0.9</v>
      </c>
      <c r="I5" s="1" t="s">
        <v>308</v>
      </c>
      <c r="K5" s="1">
        <v>8</v>
      </c>
      <c r="L5" s="2" t="s">
        <v>256</v>
      </c>
      <c r="M5" s="1">
        <v>10</v>
      </c>
      <c r="N5" s="1" t="s">
        <v>63</v>
      </c>
      <c r="O5" s="1">
        <v>10</v>
      </c>
      <c r="S5" s="1">
        <v>1</v>
      </c>
      <c r="T5" s="5">
        <v>1560</v>
      </c>
      <c r="U5" s="29">
        <v>0.25</v>
      </c>
      <c r="V5" s="26">
        <f t="shared" si="1"/>
        <v>1170</v>
      </c>
      <c r="W5" s="26">
        <f t="shared" si="0"/>
        <v>11700</v>
      </c>
      <c r="X5" s="18"/>
      <c r="Y5" s="22"/>
      <c r="Z5" s="1"/>
    </row>
    <row r="6" spans="1:32" x14ac:dyDescent="0.3">
      <c r="A6" t="s">
        <v>327</v>
      </c>
      <c r="B6" t="s">
        <v>328</v>
      </c>
      <c r="C6" t="s">
        <v>355</v>
      </c>
      <c r="D6" t="s">
        <v>356</v>
      </c>
      <c r="E6" s="1" t="s">
        <v>357</v>
      </c>
      <c r="F6" s="1" t="s">
        <v>26</v>
      </c>
      <c r="G6" s="2186">
        <v>3</v>
      </c>
      <c r="H6" s="2186">
        <f>VLOOKUP(G6,Pesos!A:B,2,0)</f>
        <v>0.7</v>
      </c>
      <c r="I6" s="1" t="s">
        <v>308</v>
      </c>
      <c r="K6" s="1">
        <v>2</v>
      </c>
      <c r="L6" s="2" t="s">
        <v>229</v>
      </c>
      <c r="M6" s="1">
        <v>2</v>
      </c>
      <c r="N6" s="1" t="s">
        <v>24</v>
      </c>
      <c r="O6" s="1">
        <v>2</v>
      </c>
      <c r="S6" s="1">
        <v>1</v>
      </c>
      <c r="T6" s="5">
        <v>4068</v>
      </c>
      <c r="U6" s="29">
        <v>0.25</v>
      </c>
      <c r="V6" s="26">
        <f t="shared" si="1"/>
        <v>3051</v>
      </c>
      <c r="W6" s="26">
        <f t="shared" si="0"/>
        <v>6102</v>
      </c>
      <c r="X6" s="6"/>
      <c r="Y6" s="22"/>
      <c r="Z6" s="1"/>
    </row>
    <row r="7" spans="1:32" x14ac:dyDescent="0.3">
      <c r="A7" t="s">
        <v>327</v>
      </c>
      <c r="B7" t="s">
        <v>328</v>
      </c>
      <c r="C7" t="s">
        <v>355</v>
      </c>
      <c r="D7" t="s">
        <v>356</v>
      </c>
      <c r="E7" s="1" t="s">
        <v>357</v>
      </c>
      <c r="F7" s="1" t="s">
        <v>27</v>
      </c>
      <c r="G7" s="2186">
        <v>1</v>
      </c>
      <c r="H7" s="2186">
        <f>VLOOKUP(G7,Pesos!A:B,2,0)</f>
        <v>0.9</v>
      </c>
      <c r="I7" s="1" t="s">
        <v>308</v>
      </c>
      <c r="K7" s="1">
        <v>8</v>
      </c>
      <c r="L7" s="2" t="s">
        <v>256</v>
      </c>
      <c r="M7" s="1">
        <v>10</v>
      </c>
      <c r="N7" s="1" t="s">
        <v>63</v>
      </c>
      <c r="O7" s="1">
        <v>10</v>
      </c>
      <c r="S7" s="1">
        <v>1</v>
      </c>
      <c r="T7" s="5">
        <v>1560</v>
      </c>
      <c r="U7" s="29">
        <v>0.25</v>
      </c>
      <c r="V7" s="26">
        <f t="shared" ref="V7" si="2">T7*(1-U7)</f>
        <v>1170</v>
      </c>
      <c r="W7" s="26">
        <f t="shared" si="0"/>
        <v>11700</v>
      </c>
      <c r="X7" s="6"/>
      <c r="Y7" s="22"/>
      <c r="Z7" s="1"/>
    </row>
    <row r="8" spans="1:32" x14ac:dyDescent="0.3">
      <c r="G8" s="2186"/>
      <c r="H8" s="2186"/>
      <c r="L8" s="2"/>
      <c r="M8" s="1"/>
      <c r="T8" s="5"/>
      <c r="U8" s="24"/>
      <c r="V8" s="26"/>
      <c r="W8" s="26"/>
      <c r="X8" s="6"/>
      <c r="Y8" s="22"/>
      <c r="Z8" s="1"/>
    </row>
    <row r="9" spans="1:32" x14ac:dyDescent="0.3">
      <c r="A9" t="s">
        <v>340</v>
      </c>
      <c r="B9" t="s">
        <v>328</v>
      </c>
      <c r="C9" t="s">
        <v>355</v>
      </c>
      <c r="D9" t="s">
        <v>356</v>
      </c>
      <c r="E9" s="1" t="s">
        <v>357</v>
      </c>
      <c r="F9" s="1" t="s">
        <v>21</v>
      </c>
      <c r="G9" s="2186">
        <v>1</v>
      </c>
      <c r="H9" s="2186">
        <f>VLOOKUP(G9,Pesos!A:B,2,0)</f>
        <v>0.9</v>
      </c>
      <c r="J9" s="1" t="s">
        <v>308</v>
      </c>
      <c r="K9" s="1">
        <v>3</v>
      </c>
      <c r="L9" s="2" t="s">
        <v>354</v>
      </c>
      <c r="M9" s="1">
        <v>1</v>
      </c>
      <c r="N9" s="1" t="s">
        <v>24</v>
      </c>
      <c r="O9" s="1">
        <v>1</v>
      </c>
      <c r="S9" s="1">
        <v>1</v>
      </c>
      <c r="T9" s="15">
        <v>4480</v>
      </c>
      <c r="U9" s="29">
        <v>0.25</v>
      </c>
      <c r="V9" s="26">
        <f>T9*(1-U9)</f>
        <v>3360</v>
      </c>
      <c r="W9" s="26">
        <f t="shared" ref="W9:W16" si="3">V9*S9*M9</f>
        <v>3360</v>
      </c>
      <c r="X9" s="6"/>
      <c r="Y9" s="22"/>
      <c r="Z9" s="1"/>
    </row>
    <row r="10" spans="1:32" x14ac:dyDescent="0.3">
      <c r="A10" t="s">
        <v>340</v>
      </c>
      <c r="B10" t="s">
        <v>328</v>
      </c>
      <c r="C10" t="s">
        <v>355</v>
      </c>
      <c r="D10" t="s">
        <v>356</v>
      </c>
      <c r="E10" s="1" t="s">
        <v>357</v>
      </c>
      <c r="F10" s="1" t="s">
        <v>21</v>
      </c>
      <c r="G10" s="2186">
        <v>1</v>
      </c>
      <c r="H10" s="2186">
        <f>VLOOKUP(G10,Pesos!A:B,2,0)</f>
        <v>0.9</v>
      </c>
      <c r="J10" s="1" t="s">
        <v>308</v>
      </c>
      <c r="K10" s="1">
        <v>3</v>
      </c>
      <c r="L10" s="2" t="s">
        <v>354</v>
      </c>
      <c r="M10" s="1">
        <v>1</v>
      </c>
      <c r="N10" s="1" t="s">
        <v>24</v>
      </c>
      <c r="O10" s="1">
        <v>1</v>
      </c>
      <c r="S10" s="1">
        <v>1</v>
      </c>
      <c r="T10" s="5">
        <v>15000</v>
      </c>
      <c r="U10" s="24">
        <v>0.25</v>
      </c>
      <c r="V10" s="26">
        <f t="shared" si="1"/>
        <v>11250</v>
      </c>
      <c r="W10" s="26">
        <f t="shared" si="3"/>
        <v>11250</v>
      </c>
      <c r="X10" s="6"/>
      <c r="Y10" s="22"/>
      <c r="Z10" s="1"/>
    </row>
    <row r="11" spans="1:32" x14ac:dyDescent="0.3">
      <c r="A11" t="s">
        <v>340</v>
      </c>
      <c r="B11" t="s">
        <v>328</v>
      </c>
      <c r="C11" t="s">
        <v>355</v>
      </c>
      <c r="D11" t="s">
        <v>356</v>
      </c>
      <c r="E11" s="1" t="s">
        <v>357</v>
      </c>
      <c r="F11" s="1" t="s">
        <v>27</v>
      </c>
      <c r="G11" s="2186">
        <v>2</v>
      </c>
      <c r="H11" s="2186">
        <f>VLOOKUP(G11,Pesos!A:B,2,0)</f>
        <v>0.8</v>
      </c>
      <c r="I11" s="1" t="s">
        <v>308</v>
      </c>
      <c r="K11" s="1">
        <v>8</v>
      </c>
      <c r="L11" s="2" t="s">
        <v>256</v>
      </c>
      <c r="M11" s="1">
        <v>13</v>
      </c>
      <c r="N11" s="1" t="s">
        <v>63</v>
      </c>
      <c r="O11" s="1">
        <v>13</v>
      </c>
      <c r="S11" s="1">
        <v>1</v>
      </c>
      <c r="T11" s="5">
        <v>1560</v>
      </c>
      <c r="U11" s="24">
        <v>0.25</v>
      </c>
      <c r="V11" s="26">
        <f t="shared" si="1"/>
        <v>1170</v>
      </c>
      <c r="W11" s="26">
        <f t="shared" si="3"/>
        <v>15210</v>
      </c>
      <c r="X11" s="6"/>
      <c r="Y11" s="22"/>
      <c r="Z11" s="1"/>
    </row>
    <row r="12" spans="1:32" x14ac:dyDescent="0.3">
      <c r="A12" t="s">
        <v>340</v>
      </c>
      <c r="B12" t="s">
        <v>328</v>
      </c>
      <c r="C12" t="s">
        <v>355</v>
      </c>
      <c r="D12" t="s">
        <v>356</v>
      </c>
      <c r="E12" s="1" t="s">
        <v>357</v>
      </c>
      <c r="F12" s="1" t="s">
        <v>26</v>
      </c>
      <c r="G12" s="2186">
        <v>5</v>
      </c>
      <c r="H12" s="2186">
        <f>VLOOKUP(G12,Pesos!A:B,2,0)</f>
        <v>0.5</v>
      </c>
      <c r="I12" s="1" t="s">
        <v>308</v>
      </c>
      <c r="K12" s="1">
        <v>2</v>
      </c>
      <c r="L12" s="2" t="s">
        <v>229</v>
      </c>
      <c r="M12" s="1">
        <v>2</v>
      </c>
      <c r="N12" s="1" t="s">
        <v>58</v>
      </c>
      <c r="O12" s="1">
        <v>2</v>
      </c>
      <c r="S12" s="1">
        <v>1</v>
      </c>
      <c r="T12" s="5">
        <v>4068</v>
      </c>
      <c r="U12" s="24">
        <v>0.25</v>
      </c>
      <c r="V12" s="26">
        <f t="shared" si="1"/>
        <v>3051</v>
      </c>
      <c r="W12" s="26">
        <f t="shared" si="3"/>
        <v>6102</v>
      </c>
      <c r="X12" s="6"/>
      <c r="Y12" s="22"/>
      <c r="Z12" s="1"/>
    </row>
    <row r="13" spans="1:32" x14ac:dyDescent="0.3">
      <c r="A13" t="s">
        <v>340</v>
      </c>
      <c r="B13" t="s">
        <v>328</v>
      </c>
      <c r="C13" t="s">
        <v>355</v>
      </c>
      <c r="D13" t="s">
        <v>356</v>
      </c>
      <c r="E13" s="1" t="s">
        <v>357</v>
      </c>
      <c r="F13" s="1" t="s">
        <v>27</v>
      </c>
      <c r="G13" s="2186">
        <v>2</v>
      </c>
      <c r="H13" s="2186">
        <f>VLOOKUP(G13,Pesos!A:B,2,0)</f>
        <v>0.8</v>
      </c>
      <c r="I13" s="1" t="s">
        <v>308</v>
      </c>
      <c r="K13" s="1">
        <v>8</v>
      </c>
      <c r="L13" s="2" t="s">
        <v>256</v>
      </c>
      <c r="M13" s="1">
        <v>13</v>
      </c>
      <c r="N13" s="1" t="s">
        <v>63</v>
      </c>
      <c r="Q13" s="1">
        <v>13</v>
      </c>
      <c r="S13" s="1">
        <v>1</v>
      </c>
      <c r="T13" s="5">
        <v>1560</v>
      </c>
      <c r="U13" s="24">
        <v>0.25</v>
      </c>
      <c r="V13" s="26">
        <f t="shared" si="1"/>
        <v>1170</v>
      </c>
      <c r="W13" s="26">
        <f t="shared" si="3"/>
        <v>15210</v>
      </c>
      <c r="X13" s="6"/>
      <c r="Y13" s="22"/>
      <c r="Z13" s="1"/>
    </row>
    <row r="14" spans="1:32" x14ac:dyDescent="0.3">
      <c r="A14" t="s">
        <v>340</v>
      </c>
      <c r="B14" t="s">
        <v>328</v>
      </c>
      <c r="C14" t="s">
        <v>355</v>
      </c>
      <c r="D14" t="s">
        <v>356</v>
      </c>
      <c r="E14" s="1" t="s">
        <v>357</v>
      </c>
      <c r="F14" s="1" t="s">
        <v>50</v>
      </c>
      <c r="G14" s="2186">
        <v>3</v>
      </c>
      <c r="H14" s="2186">
        <f>VLOOKUP(G14,Pesos!A:B,2,0)</f>
        <v>0.7</v>
      </c>
      <c r="I14" s="1" t="s">
        <v>308</v>
      </c>
      <c r="K14" s="1">
        <v>5</v>
      </c>
      <c r="L14" s="2" t="s">
        <v>203</v>
      </c>
      <c r="M14" s="1">
        <v>7</v>
      </c>
      <c r="N14" s="1" t="s">
        <v>24</v>
      </c>
      <c r="O14" s="1">
        <v>7</v>
      </c>
      <c r="S14" s="1">
        <v>1</v>
      </c>
      <c r="T14" s="9">
        <v>1016</v>
      </c>
      <c r="U14" s="29">
        <v>0.25</v>
      </c>
      <c r="V14" s="26">
        <f t="shared" ref="V14" si="4">T14*(1-U14)</f>
        <v>762</v>
      </c>
      <c r="W14" s="26">
        <f t="shared" si="3"/>
        <v>5334</v>
      </c>
      <c r="X14" s="6"/>
      <c r="Y14" s="22"/>
      <c r="Z14" s="1"/>
    </row>
    <row r="15" spans="1:32" x14ac:dyDescent="0.3">
      <c r="A15" t="s">
        <v>340</v>
      </c>
      <c r="B15" t="s">
        <v>328</v>
      </c>
      <c r="C15" t="s">
        <v>355</v>
      </c>
      <c r="D15" t="s">
        <v>356</v>
      </c>
      <c r="E15" s="1" t="s">
        <v>357</v>
      </c>
      <c r="F15" s="1" t="s">
        <v>32</v>
      </c>
      <c r="G15" s="2186">
        <v>4</v>
      </c>
      <c r="H15" s="2186">
        <f>VLOOKUP(G15,Pesos!A:B,2,0)</f>
        <v>0.6</v>
      </c>
      <c r="I15" s="1" t="s">
        <v>308</v>
      </c>
      <c r="K15" s="1">
        <v>3</v>
      </c>
      <c r="L15" s="2" t="s">
        <v>263</v>
      </c>
      <c r="M15" s="1">
        <v>4</v>
      </c>
      <c r="N15" s="1" t="s">
        <v>167</v>
      </c>
      <c r="O15" s="1">
        <v>4</v>
      </c>
      <c r="Q15" s="1">
        <v>4</v>
      </c>
      <c r="S15" s="1">
        <v>2</v>
      </c>
      <c r="T15" s="9">
        <f>265*8</f>
        <v>2120</v>
      </c>
      <c r="U15" s="29">
        <v>0.4</v>
      </c>
      <c r="V15" s="26">
        <f t="shared" si="1"/>
        <v>1272</v>
      </c>
      <c r="W15" s="26">
        <f t="shared" si="3"/>
        <v>10176</v>
      </c>
      <c r="X15" s="6"/>
      <c r="Y15" s="22"/>
      <c r="Z15" s="1"/>
    </row>
    <row r="16" spans="1:32" x14ac:dyDescent="0.3">
      <c r="A16" t="s">
        <v>340</v>
      </c>
      <c r="B16" t="s">
        <v>328</v>
      </c>
      <c r="C16" t="s">
        <v>355</v>
      </c>
      <c r="D16" t="s">
        <v>356</v>
      </c>
      <c r="E16" s="1" t="s">
        <v>41</v>
      </c>
      <c r="F16" s="1" t="s">
        <v>79</v>
      </c>
      <c r="G16" s="2186">
        <v>6</v>
      </c>
      <c r="H16" s="2186">
        <f>VLOOKUP(G16,Pesos!A:B,2,0)</f>
        <v>0.4</v>
      </c>
      <c r="I16" s="1" t="s">
        <v>308</v>
      </c>
      <c r="K16" s="1">
        <v>5</v>
      </c>
      <c r="L16" s="2" t="s">
        <v>203</v>
      </c>
      <c r="M16" s="1">
        <v>5</v>
      </c>
      <c r="N16" s="1" t="s">
        <v>24</v>
      </c>
      <c r="O16" s="1">
        <v>5</v>
      </c>
      <c r="S16" s="1">
        <v>1</v>
      </c>
      <c r="T16" s="9">
        <v>1600</v>
      </c>
      <c r="U16" s="29">
        <v>0.7</v>
      </c>
      <c r="V16" s="26">
        <f t="shared" si="1"/>
        <v>480.00000000000006</v>
      </c>
      <c r="W16" s="26">
        <f t="shared" si="3"/>
        <v>2400.0000000000005</v>
      </c>
      <c r="X16" s="6"/>
      <c r="Y16" s="22"/>
      <c r="Z16" s="1"/>
    </row>
    <row r="17" spans="1:26" x14ac:dyDescent="0.3">
      <c r="G17" s="2186"/>
      <c r="H17" s="2186"/>
      <c r="L17" s="2"/>
      <c r="M17" s="1"/>
      <c r="T17" s="5"/>
      <c r="U17" s="24"/>
      <c r="X17" s="22"/>
      <c r="Y17" s="22"/>
      <c r="Z17" s="1"/>
    </row>
    <row r="18" spans="1:26" x14ac:dyDescent="0.3">
      <c r="A18" t="s">
        <v>342</v>
      </c>
      <c r="B18" t="s">
        <v>328</v>
      </c>
      <c r="C18" t="s">
        <v>355</v>
      </c>
      <c r="D18" t="s">
        <v>356</v>
      </c>
      <c r="E18" s="1" t="s">
        <v>82</v>
      </c>
      <c r="F18" s="1" t="s">
        <v>21</v>
      </c>
      <c r="G18" s="2186">
        <v>2</v>
      </c>
      <c r="H18" s="2186">
        <f>VLOOKUP(G18,Pesos!A:B,2,0)</f>
        <v>0.8</v>
      </c>
      <c r="J18" s="1" t="s">
        <v>308</v>
      </c>
      <c r="K18" s="1">
        <v>2</v>
      </c>
      <c r="L18" s="1">
        <v>4</v>
      </c>
      <c r="M18" s="1">
        <v>2</v>
      </c>
      <c r="N18" s="1" t="s">
        <v>24</v>
      </c>
      <c r="O18" s="1">
        <v>2</v>
      </c>
      <c r="S18" s="1">
        <v>1</v>
      </c>
      <c r="T18" s="15">
        <v>4480</v>
      </c>
      <c r="U18" s="29">
        <v>0.25</v>
      </c>
      <c r="V18" s="25">
        <f>T18*(1-U18)</f>
        <v>3360</v>
      </c>
      <c r="W18" s="25">
        <f>V18*S18*M18</f>
        <v>6720</v>
      </c>
      <c r="X18" s="18"/>
    </row>
    <row r="19" spans="1:26" x14ac:dyDescent="0.3">
      <c r="A19" t="s">
        <v>342</v>
      </c>
      <c r="B19" t="s">
        <v>328</v>
      </c>
      <c r="C19" t="s">
        <v>355</v>
      </c>
      <c r="D19" t="s">
        <v>356</v>
      </c>
      <c r="E19" s="1" t="s">
        <v>82</v>
      </c>
      <c r="F19" s="1" t="s">
        <v>21</v>
      </c>
      <c r="G19" s="2186">
        <v>2</v>
      </c>
      <c r="H19" s="2186">
        <f>VLOOKUP(G19,Pesos!A:B,2,0)</f>
        <v>0.8</v>
      </c>
      <c r="J19" s="1" t="s">
        <v>308</v>
      </c>
      <c r="K19" s="1">
        <v>2</v>
      </c>
      <c r="L19" s="1">
        <v>4</v>
      </c>
      <c r="M19" s="1">
        <v>1</v>
      </c>
      <c r="N19" s="1" t="s">
        <v>24</v>
      </c>
      <c r="O19" s="1">
        <v>1</v>
      </c>
      <c r="S19" s="1">
        <v>1</v>
      </c>
      <c r="T19" s="7">
        <v>15000</v>
      </c>
      <c r="U19" s="24">
        <v>0.25</v>
      </c>
      <c r="V19" s="26">
        <f>T19*(1-U19)</f>
        <v>11250</v>
      </c>
      <c r="W19" s="26">
        <f>V19*S19*M19</f>
        <v>11250</v>
      </c>
      <c r="X19" s="6"/>
    </row>
    <row r="20" spans="1:26" x14ac:dyDescent="0.3">
      <c r="A20" t="s">
        <v>342</v>
      </c>
      <c r="B20" t="s">
        <v>328</v>
      </c>
      <c r="C20" t="s">
        <v>355</v>
      </c>
      <c r="D20" t="s">
        <v>356</v>
      </c>
      <c r="E20" s="1" t="s">
        <v>82</v>
      </c>
      <c r="F20" s="1" t="s">
        <v>27</v>
      </c>
      <c r="G20" s="2186">
        <v>1</v>
      </c>
      <c r="H20" s="2186">
        <f>VLOOKUP(G20,Pesos!A:B,2,0)</f>
        <v>0.9</v>
      </c>
      <c r="I20" s="1" t="s">
        <v>308</v>
      </c>
      <c r="K20" s="1">
        <v>6</v>
      </c>
      <c r="L20" s="2" t="s">
        <v>331</v>
      </c>
      <c r="M20" s="1">
        <v>10</v>
      </c>
      <c r="N20" s="1" t="s">
        <v>63</v>
      </c>
      <c r="O20" s="1">
        <v>10</v>
      </c>
      <c r="S20" s="1">
        <v>1</v>
      </c>
      <c r="T20" s="7">
        <v>1560</v>
      </c>
      <c r="U20" s="24">
        <v>0.25</v>
      </c>
      <c r="V20" s="26">
        <f t="shared" ref="V20:V21" si="5">T20*(1-U20)</f>
        <v>1170</v>
      </c>
      <c r="W20" s="26">
        <f t="shared" ref="W20:W22" si="6">V20*S20*M20</f>
        <v>11700</v>
      </c>
      <c r="X20" s="6"/>
    </row>
    <row r="21" spans="1:26" x14ac:dyDescent="0.3">
      <c r="A21" t="s">
        <v>342</v>
      </c>
      <c r="B21" t="s">
        <v>328</v>
      </c>
      <c r="C21" t="s">
        <v>355</v>
      </c>
      <c r="D21" t="s">
        <v>356</v>
      </c>
      <c r="E21" s="1" t="s">
        <v>82</v>
      </c>
      <c r="F21" s="1" t="s">
        <v>26</v>
      </c>
      <c r="G21" s="2186">
        <v>3</v>
      </c>
      <c r="H21" s="2186">
        <f>VLOOKUP(G21,Pesos!A:B,2,0)</f>
        <v>0.7</v>
      </c>
      <c r="I21" s="1" t="s">
        <v>308</v>
      </c>
      <c r="K21" s="1">
        <v>1</v>
      </c>
      <c r="L21" s="2" t="s">
        <v>333</v>
      </c>
      <c r="M21" s="1">
        <v>2</v>
      </c>
      <c r="N21" s="1" t="s">
        <v>24</v>
      </c>
      <c r="O21" s="1">
        <v>2</v>
      </c>
      <c r="S21" s="1">
        <v>1</v>
      </c>
      <c r="T21" s="7">
        <v>4068</v>
      </c>
      <c r="U21" s="24">
        <v>0.25</v>
      </c>
      <c r="V21" s="26">
        <f t="shared" si="5"/>
        <v>3051</v>
      </c>
      <c r="W21" s="26">
        <f t="shared" si="6"/>
        <v>6102</v>
      </c>
      <c r="X21" s="6"/>
    </row>
    <row r="22" spans="1:26" x14ac:dyDescent="0.3">
      <c r="A22" t="s">
        <v>342</v>
      </c>
      <c r="B22" t="s">
        <v>328</v>
      </c>
      <c r="C22" t="s">
        <v>355</v>
      </c>
      <c r="D22" t="s">
        <v>356</v>
      </c>
      <c r="E22" s="1" t="s">
        <v>82</v>
      </c>
      <c r="F22" s="1" t="s">
        <v>27</v>
      </c>
      <c r="G22" s="2186">
        <v>1</v>
      </c>
      <c r="H22" s="2186">
        <f>VLOOKUP(G22,Pesos!A:B,2,0)</f>
        <v>0.9</v>
      </c>
      <c r="I22" s="1" t="s">
        <v>308</v>
      </c>
      <c r="K22" s="1">
        <v>6</v>
      </c>
      <c r="L22" s="2" t="s">
        <v>331</v>
      </c>
      <c r="M22" s="1">
        <v>10</v>
      </c>
      <c r="N22" s="1" t="s">
        <v>63</v>
      </c>
      <c r="O22" s="1">
        <v>10</v>
      </c>
      <c r="S22" s="1">
        <v>1</v>
      </c>
      <c r="T22" s="7">
        <v>1560</v>
      </c>
      <c r="U22" s="24">
        <v>0.25</v>
      </c>
      <c r="V22" s="26">
        <f>T22*(1-U22)</f>
        <v>1170</v>
      </c>
      <c r="W22" s="26">
        <f t="shared" si="6"/>
        <v>11700</v>
      </c>
      <c r="X22" s="6"/>
    </row>
    <row r="23" spans="1:26" x14ac:dyDescent="0.3">
      <c r="G23" s="2186"/>
      <c r="H23" s="2186"/>
      <c r="L23" s="2"/>
      <c r="M23" s="1"/>
      <c r="T23" s="5"/>
      <c r="U23" s="24"/>
      <c r="V23" s="26"/>
      <c r="W23" s="26"/>
      <c r="X23" s="6"/>
    </row>
    <row r="24" spans="1:26" x14ac:dyDescent="0.3">
      <c r="A24" t="s">
        <v>343</v>
      </c>
      <c r="B24" t="s">
        <v>328</v>
      </c>
      <c r="C24" t="s">
        <v>355</v>
      </c>
      <c r="D24" t="s">
        <v>356</v>
      </c>
      <c r="E24" s="1" t="s">
        <v>82</v>
      </c>
      <c r="F24" s="1" t="s">
        <v>21</v>
      </c>
      <c r="G24" s="2186">
        <v>1</v>
      </c>
      <c r="H24" s="2186">
        <f>VLOOKUP(G24,Pesos!A:B,2,0)</f>
        <v>0.9</v>
      </c>
      <c r="J24" s="1" t="s">
        <v>308</v>
      </c>
      <c r="K24" s="1">
        <v>2</v>
      </c>
      <c r="L24" s="1">
        <v>4</v>
      </c>
      <c r="M24" s="1">
        <v>1</v>
      </c>
      <c r="N24" s="1" t="s">
        <v>24</v>
      </c>
      <c r="O24" s="1">
        <v>1</v>
      </c>
      <c r="S24" s="1">
        <v>1</v>
      </c>
      <c r="T24" s="15">
        <v>4480</v>
      </c>
      <c r="U24" s="29">
        <v>0.25</v>
      </c>
      <c r="V24" s="26">
        <f>T24*(1-U24)</f>
        <v>3360</v>
      </c>
      <c r="W24" s="26">
        <f t="shared" ref="W24:W30" si="7">V24*S24*M24</f>
        <v>3360</v>
      </c>
      <c r="X24" s="6"/>
    </row>
    <row r="25" spans="1:26" x14ac:dyDescent="0.3">
      <c r="A25" t="s">
        <v>343</v>
      </c>
      <c r="B25" t="s">
        <v>328</v>
      </c>
      <c r="C25" t="s">
        <v>355</v>
      </c>
      <c r="D25" t="s">
        <v>356</v>
      </c>
      <c r="E25" s="1" t="s">
        <v>82</v>
      </c>
      <c r="F25" s="1" t="s">
        <v>27</v>
      </c>
      <c r="G25" s="2186">
        <v>2</v>
      </c>
      <c r="H25" s="2186">
        <f>VLOOKUP(G25,Pesos!A:B,2,0)</f>
        <v>0.8</v>
      </c>
      <c r="I25" s="1" t="s">
        <v>308</v>
      </c>
      <c r="K25" s="1">
        <v>6</v>
      </c>
      <c r="L25" s="1">
        <v>12</v>
      </c>
      <c r="M25" s="1">
        <v>13</v>
      </c>
      <c r="N25" s="1" t="s">
        <v>63</v>
      </c>
      <c r="O25" s="1">
        <v>13</v>
      </c>
      <c r="S25" s="1">
        <v>1</v>
      </c>
      <c r="T25" s="5">
        <v>1560</v>
      </c>
      <c r="U25" s="24">
        <v>0.25</v>
      </c>
      <c r="V25" s="26">
        <f t="shared" ref="V25:V30" si="8">T25*(1-U25)</f>
        <v>1170</v>
      </c>
      <c r="W25" s="26">
        <f t="shared" si="7"/>
        <v>15210</v>
      </c>
      <c r="X25" s="6"/>
    </row>
    <row r="26" spans="1:26" x14ac:dyDescent="0.3">
      <c r="A26" t="s">
        <v>343</v>
      </c>
      <c r="B26" t="s">
        <v>328</v>
      </c>
      <c r="C26" t="s">
        <v>355</v>
      </c>
      <c r="D26" t="s">
        <v>356</v>
      </c>
      <c r="E26" s="1" t="s">
        <v>82</v>
      </c>
      <c r="F26" s="1" t="s">
        <v>26</v>
      </c>
      <c r="G26" s="2186">
        <v>4</v>
      </c>
      <c r="H26" s="2186">
        <f>VLOOKUP(G26,Pesos!A:B,2,0)</f>
        <v>0.6</v>
      </c>
      <c r="I26" s="1" t="s">
        <v>308</v>
      </c>
      <c r="K26" s="1">
        <v>1</v>
      </c>
      <c r="L26" s="1">
        <v>3</v>
      </c>
      <c r="M26" s="1">
        <v>1</v>
      </c>
      <c r="N26" s="1" t="s">
        <v>24</v>
      </c>
      <c r="O26" s="1">
        <v>1</v>
      </c>
      <c r="R26" s="18"/>
      <c r="S26" s="1">
        <v>1</v>
      </c>
      <c r="T26" s="5">
        <v>4068</v>
      </c>
      <c r="U26" s="24">
        <v>0.25</v>
      </c>
      <c r="V26" s="26">
        <f t="shared" si="8"/>
        <v>3051</v>
      </c>
      <c r="W26" s="26">
        <f t="shared" si="7"/>
        <v>3051</v>
      </c>
      <c r="X26" s="6"/>
    </row>
    <row r="27" spans="1:26" x14ac:dyDescent="0.3">
      <c r="A27" t="s">
        <v>343</v>
      </c>
      <c r="B27" t="s">
        <v>328</v>
      </c>
      <c r="C27" t="s">
        <v>355</v>
      </c>
      <c r="D27" t="s">
        <v>356</v>
      </c>
      <c r="E27" s="1" t="s">
        <v>82</v>
      </c>
      <c r="F27" s="1" t="s">
        <v>27</v>
      </c>
      <c r="G27" s="2186">
        <v>2</v>
      </c>
      <c r="H27" s="2186">
        <f>VLOOKUP(G27,Pesos!A:B,2,0)</f>
        <v>0.8</v>
      </c>
      <c r="I27" s="1" t="s">
        <v>308</v>
      </c>
      <c r="K27" s="1">
        <v>6</v>
      </c>
      <c r="L27" s="1">
        <v>12</v>
      </c>
      <c r="M27" s="1">
        <v>13</v>
      </c>
      <c r="N27" s="1" t="s">
        <v>63</v>
      </c>
      <c r="Q27" s="1">
        <v>13</v>
      </c>
      <c r="R27" s="6"/>
      <c r="S27" s="1">
        <v>1</v>
      </c>
      <c r="T27" s="5">
        <v>1560</v>
      </c>
      <c r="U27" s="24">
        <v>0.25</v>
      </c>
      <c r="V27" s="26">
        <f t="shared" si="8"/>
        <v>1170</v>
      </c>
      <c r="W27" s="26">
        <f t="shared" si="7"/>
        <v>15210</v>
      </c>
      <c r="X27" s="6"/>
    </row>
    <row r="28" spans="1:26" x14ac:dyDescent="0.3">
      <c r="A28" t="s">
        <v>343</v>
      </c>
      <c r="B28" t="s">
        <v>328</v>
      </c>
      <c r="C28" t="s">
        <v>355</v>
      </c>
      <c r="D28" t="s">
        <v>356</v>
      </c>
      <c r="E28" s="1" t="s">
        <v>82</v>
      </c>
      <c r="F28" s="1" t="s">
        <v>50</v>
      </c>
      <c r="G28" s="2186">
        <v>3</v>
      </c>
      <c r="H28" s="2186">
        <f>VLOOKUP(G28,Pesos!A:B,2,0)</f>
        <v>0.7</v>
      </c>
      <c r="I28" s="1" t="s">
        <v>308</v>
      </c>
      <c r="K28" s="1">
        <v>3</v>
      </c>
      <c r="L28" s="1">
        <v>6</v>
      </c>
      <c r="M28" s="1">
        <v>5</v>
      </c>
      <c r="N28" s="1" t="s">
        <v>24</v>
      </c>
      <c r="O28" s="1">
        <v>5</v>
      </c>
      <c r="R28" s="6"/>
      <c r="S28" s="1">
        <v>1</v>
      </c>
      <c r="T28" s="9">
        <v>1016</v>
      </c>
      <c r="U28" s="29">
        <v>0.25</v>
      </c>
      <c r="V28" s="26">
        <f t="shared" si="8"/>
        <v>762</v>
      </c>
      <c r="W28" s="26">
        <f t="shared" si="7"/>
        <v>3810</v>
      </c>
      <c r="X28" s="6"/>
    </row>
    <row r="29" spans="1:26" x14ac:dyDescent="0.3">
      <c r="A29" t="s">
        <v>343</v>
      </c>
      <c r="B29" t="s">
        <v>328</v>
      </c>
      <c r="C29" t="s">
        <v>355</v>
      </c>
      <c r="D29" t="s">
        <v>356</v>
      </c>
      <c r="E29" s="1" t="s">
        <v>78</v>
      </c>
      <c r="F29" s="1" t="s">
        <v>32</v>
      </c>
      <c r="G29" s="2186">
        <v>5</v>
      </c>
      <c r="H29" s="2186">
        <f>VLOOKUP(G29,Pesos!A:B,2,0)</f>
        <v>0.5</v>
      </c>
      <c r="I29" s="1" t="s">
        <v>308</v>
      </c>
      <c r="K29" s="1">
        <v>2</v>
      </c>
      <c r="L29" s="1">
        <v>6</v>
      </c>
      <c r="M29" s="1">
        <v>4</v>
      </c>
      <c r="N29" s="1" t="s">
        <v>58</v>
      </c>
      <c r="O29" s="1">
        <v>4</v>
      </c>
      <c r="Q29" s="1">
        <v>4</v>
      </c>
      <c r="R29" s="18"/>
      <c r="S29" s="1">
        <v>2</v>
      </c>
      <c r="T29" s="9">
        <f>265*8</f>
        <v>2120</v>
      </c>
      <c r="U29" s="29">
        <v>0.4</v>
      </c>
      <c r="V29" s="26">
        <f t="shared" si="8"/>
        <v>1272</v>
      </c>
      <c r="W29" s="26">
        <f t="shared" si="7"/>
        <v>10176</v>
      </c>
      <c r="X29" s="6"/>
    </row>
    <row r="30" spans="1:26" x14ac:dyDescent="0.3">
      <c r="A30" t="s">
        <v>343</v>
      </c>
      <c r="B30" t="s">
        <v>328</v>
      </c>
      <c r="C30" t="s">
        <v>355</v>
      </c>
      <c r="D30" t="s">
        <v>356</v>
      </c>
      <c r="E30" s="1" t="s">
        <v>41</v>
      </c>
      <c r="F30" s="1" t="s">
        <v>79</v>
      </c>
      <c r="G30" s="2186">
        <v>6</v>
      </c>
      <c r="H30" s="2186">
        <f>VLOOKUP(G30,Pesos!A:B,2,0)</f>
        <v>0.4</v>
      </c>
      <c r="I30" s="1" t="s">
        <v>308</v>
      </c>
      <c r="K30" s="1">
        <v>4</v>
      </c>
      <c r="L30" s="1">
        <v>8</v>
      </c>
      <c r="M30" s="1">
        <v>4</v>
      </c>
      <c r="N30" s="1" t="s">
        <v>24</v>
      </c>
      <c r="O30" s="1">
        <v>4</v>
      </c>
      <c r="R30" s="18"/>
      <c r="S30" s="1">
        <v>1</v>
      </c>
      <c r="T30" s="9">
        <v>1600</v>
      </c>
      <c r="U30" s="29">
        <v>0.7</v>
      </c>
      <c r="V30" s="26">
        <f t="shared" si="8"/>
        <v>480.00000000000006</v>
      </c>
      <c r="W30" s="26">
        <f t="shared" si="7"/>
        <v>1920.0000000000002</v>
      </c>
      <c r="X30" s="6"/>
    </row>
    <row r="31" spans="1:26" x14ac:dyDescent="0.3">
      <c r="G31" s="2186"/>
      <c r="H31" s="2186"/>
      <c r="K31" s="2"/>
      <c r="M31" s="2"/>
      <c r="R31" s="18"/>
      <c r="T31" s="5"/>
      <c r="U31" s="24"/>
      <c r="V31" s="26"/>
      <c r="W31" s="26"/>
      <c r="X31" s="6"/>
    </row>
    <row r="32" spans="1:26" x14ac:dyDescent="0.3">
      <c r="A32" t="s">
        <v>326</v>
      </c>
      <c r="B32" t="s">
        <v>328</v>
      </c>
      <c r="C32" t="s">
        <v>355</v>
      </c>
      <c r="D32" t="s">
        <v>356</v>
      </c>
      <c r="E32" s="1" t="s">
        <v>82</v>
      </c>
      <c r="F32" s="1" t="s">
        <v>21</v>
      </c>
      <c r="G32" s="2186">
        <v>1</v>
      </c>
      <c r="H32" s="2186">
        <f>VLOOKUP(G32,Pesos!A:B,2,0)</f>
        <v>0.9</v>
      </c>
      <c r="J32" s="1" t="s">
        <v>308</v>
      </c>
      <c r="K32" s="2" t="s">
        <v>38</v>
      </c>
      <c r="L32" s="1">
        <v>3</v>
      </c>
      <c r="M32" s="1">
        <v>2</v>
      </c>
      <c r="N32" s="1" t="s">
        <v>24</v>
      </c>
      <c r="O32" s="1">
        <v>2</v>
      </c>
      <c r="S32" s="1">
        <v>1</v>
      </c>
      <c r="T32" s="15">
        <v>4480</v>
      </c>
      <c r="U32" s="29">
        <v>0.25</v>
      </c>
      <c r="V32" s="26">
        <f>T32*(1-U32)</f>
        <v>3360</v>
      </c>
      <c r="W32" s="26">
        <f t="shared" ref="W32:W37" si="9">V32*S32*M32</f>
        <v>6720</v>
      </c>
    </row>
    <row r="33" spans="1:24" x14ac:dyDescent="0.3">
      <c r="A33" t="s">
        <v>326</v>
      </c>
      <c r="B33" t="s">
        <v>328</v>
      </c>
      <c r="C33" t="s">
        <v>355</v>
      </c>
      <c r="D33" t="s">
        <v>356</v>
      </c>
      <c r="E33" s="1" t="s">
        <v>82</v>
      </c>
      <c r="F33" s="1" t="s">
        <v>27</v>
      </c>
      <c r="G33" s="2186">
        <v>2</v>
      </c>
      <c r="H33" s="2186">
        <f>VLOOKUP(G33,Pesos!A:B,2,0)</f>
        <v>0.8</v>
      </c>
      <c r="I33" s="1" t="s">
        <v>308</v>
      </c>
      <c r="K33" s="2" t="s">
        <v>346</v>
      </c>
      <c r="L33" s="1">
        <v>8</v>
      </c>
      <c r="M33" s="1">
        <v>6</v>
      </c>
      <c r="N33" s="1" t="s">
        <v>63</v>
      </c>
      <c r="O33" s="1">
        <v>6</v>
      </c>
      <c r="S33" s="1">
        <v>1</v>
      </c>
      <c r="T33" s="5">
        <v>1560</v>
      </c>
      <c r="U33" s="24">
        <v>0.25</v>
      </c>
      <c r="V33" s="26">
        <f t="shared" ref="V33:V37" si="10">T33*(1-U33)</f>
        <v>1170</v>
      </c>
      <c r="W33" s="26">
        <f t="shared" si="9"/>
        <v>7020</v>
      </c>
    </row>
    <row r="34" spans="1:24" x14ac:dyDescent="0.3">
      <c r="A34" t="s">
        <v>326</v>
      </c>
      <c r="B34" t="s">
        <v>328</v>
      </c>
      <c r="C34" t="s">
        <v>355</v>
      </c>
      <c r="D34" t="s">
        <v>356</v>
      </c>
      <c r="E34" s="1" t="s">
        <v>82</v>
      </c>
      <c r="F34" s="1" t="s">
        <v>26</v>
      </c>
      <c r="G34" s="2186">
        <v>5</v>
      </c>
      <c r="H34" s="2186">
        <f>VLOOKUP(G34,Pesos!A:B,2,0)</f>
        <v>0.5</v>
      </c>
      <c r="I34" s="1" t="s">
        <v>308</v>
      </c>
      <c r="K34" s="2" t="s">
        <v>38</v>
      </c>
      <c r="L34" s="1">
        <v>2</v>
      </c>
      <c r="M34" s="1">
        <v>2</v>
      </c>
      <c r="N34" s="1" t="s">
        <v>24</v>
      </c>
      <c r="O34" s="1">
        <v>2</v>
      </c>
      <c r="S34" s="1">
        <v>1</v>
      </c>
      <c r="T34" s="5">
        <v>4068</v>
      </c>
      <c r="U34" s="24">
        <v>0.25</v>
      </c>
      <c r="V34" s="26">
        <f t="shared" si="10"/>
        <v>3051</v>
      </c>
      <c r="W34" s="26">
        <f t="shared" si="9"/>
        <v>6102</v>
      </c>
    </row>
    <row r="35" spans="1:24" x14ac:dyDescent="0.3">
      <c r="A35" t="s">
        <v>326</v>
      </c>
      <c r="B35" t="s">
        <v>328</v>
      </c>
      <c r="C35" t="s">
        <v>355</v>
      </c>
      <c r="D35" t="s">
        <v>356</v>
      </c>
      <c r="E35" s="1" t="s">
        <v>82</v>
      </c>
      <c r="F35" s="1" t="s">
        <v>50</v>
      </c>
      <c r="G35" s="2186">
        <v>3</v>
      </c>
      <c r="H35" s="2186">
        <f>VLOOKUP(G35,Pesos!A:B,2,0)</f>
        <v>0.7</v>
      </c>
      <c r="I35" s="1" t="s">
        <v>308</v>
      </c>
      <c r="K35" s="2" t="s">
        <v>332</v>
      </c>
      <c r="L35" s="1">
        <v>4</v>
      </c>
      <c r="M35" s="1">
        <v>3</v>
      </c>
      <c r="N35" s="1" t="s">
        <v>24</v>
      </c>
      <c r="O35" s="1">
        <v>3</v>
      </c>
      <c r="S35" s="1">
        <v>1</v>
      </c>
      <c r="T35" s="9">
        <v>1016</v>
      </c>
      <c r="U35" s="29">
        <v>0.25</v>
      </c>
      <c r="V35" s="26">
        <f t="shared" si="10"/>
        <v>762</v>
      </c>
      <c r="W35" s="26">
        <f t="shared" si="9"/>
        <v>2286</v>
      </c>
    </row>
    <row r="36" spans="1:24" x14ac:dyDescent="0.3">
      <c r="A36" t="s">
        <v>326</v>
      </c>
      <c r="B36" t="s">
        <v>328</v>
      </c>
      <c r="C36" t="s">
        <v>355</v>
      </c>
      <c r="D36" t="s">
        <v>356</v>
      </c>
      <c r="E36" s="1" t="s">
        <v>78</v>
      </c>
      <c r="F36" s="1" t="s">
        <v>32</v>
      </c>
      <c r="G36" s="2186">
        <v>4</v>
      </c>
      <c r="H36" s="2186">
        <f>VLOOKUP(G36,Pesos!A:B,2,0)</f>
        <v>0.6</v>
      </c>
      <c r="I36" s="1" t="s">
        <v>308</v>
      </c>
      <c r="K36" s="2" t="s">
        <v>38</v>
      </c>
      <c r="L36" s="1">
        <v>3</v>
      </c>
      <c r="M36" s="1">
        <v>2</v>
      </c>
      <c r="N36" s="1" t="s">
        <v>58</v>
      </c>
      <c r="O36" s="1">
        <v>2</v>
      </c>
      <c r="Q36" s="1">
        <v>2</v>
      </c>
      <c r="S36" s="1">
        <v>2</v>
      </c>
      <c r="T36" s="9">
        <f>265*8</f>
        <v>2120</v>
      </c>
      <c r="U36" s="29">
        <v>0.4</v>
      </c>
      <c r="V36" s="26">
        <f t="shared" si="10"/>
        <v>1272</v>
      </c>
      <c r="W36" s="26">
        <f t="shared" si="9"/>
        <v>5088</v>
      </c>
      <c r="X36" s="6"/>
    </row>
    <row r="37" spans="1:24" x14ac:dyDescent="0.3">
      <c r="A37" t="s">
        <v>326</v>
      </c>
      <c r="B37" t="s">
        <v>328</v>
      </c>
      <c r="C37" t="s">
        <v>355</v>
      </c>
      <c r="D37" t="s">
        <v>356</v>
      </c>
      <c r="E37" s="1" t="s">
        <v>41</v>
      </c>
      <c r="F37" s="1" t="s">
        <v>79</v>
      </c>
      <c r="G37" s="2186">
        <v>6</v>
      </c>
      <c r="H37" s="2186">
        <f>VLOOKUP(G37,Pesos!A:B,2,0)</f>
        <v>0.4</v>
      </c>
      <c r="I37" s="1" t="s">
        <v>308</v>
      </c>
      <c r="K37" s="1">
        <v>3</v>
      </c>
      <c r="L37" s="1">
        <v>6</v>
      </c>
      <c r="M37" s="1">
        <v>3</v>
      </c>
      <c r="N37" s="1" t="s">
        <v>24</v>
      </c>
      <c r="O37" s="1">
        <v>3</v>
      </c>
      <c r="S37" s="1">
        <v>1</v>
      </c>
      <c r="T37" s="9">
        <v>1600</v>
      </c>
      <c r="U37" s="29">
        <v>0.7</v>
      </c>
      <c r="V37" s="26">
        <f t="shared" si="10"/>
        <v>480.00000000000006</v>
      </c>
      <c r="W37" s="26">
        <f t="shared" si="9"/>
        <v>1440.0000000000002</v>
      </c>
    </row>
    <row r="38" spans="1:24" x14ac:dyDescent="0.3">
      <c r="M38" s="2"/>
      <c r="U38" s="29"/>
      <c r="V38" s="26"/>
      <c r="W38" s="26"/>
    </row>
    <row r="39" spans="1:24" x14ac:dyDescent="0.3">
      <c r="M39" s="2"/>
      <c r="T39" s="9"/>
      <c r="U39" s="29"/>
      <c r="V39" s="26"/>
      <c r="W39" s="26"/>
    </row>
    <row r="40" spans="1:24" x14ac:dyDescent="0.3">
      <c r="M40" s="2"/>
      <c r="T40" s="9"/>
      <c r="U40" s="29"/>
      <c r="V40" s="26"/>
      <c r="W40" s="26"/>
    </row>
    <row r="42" spans="1:24" x14ac:dyDescent="0.3">
      <c r="M42" s="1"/>
      <c r="T42" s="5"/>
      <c r="U42" s="24"/>
      <c r="V42" s="26"/>
      <c r="W42" s="26"/>
    </row>
    <row r="43" spans="1:24" x14ac:dyDescent="0.3">
      <c r="A43" s="47"/>
      <c r="D43" s="43" t="s">
        <v>1158</v>
      </c>
      <c r="E43" s="43" t="s">
        <v>1159</v>
      </c>
      <c r="F43" s="43" t="s">
        <v>1160</v>
      </c>
      <c r="G43" s="43"/>
      <c r="M43" s="1"/>
      <c r="T43" s="5"/>
      <c r="U43" s="24"/>
      <c r="V43" s="26"/>
      <c r="W43" s="26"/>
    </row>
    <row r="44" spans="1:24" x14ac:dyDescent="0.3">
      <c r="A44" s="47" t="s">
        <v>1161</v>
      </c>
      <c r="B44" s="2174"/>
      <c r="C44" s="2174"/>
      <c r="D44" s="2181">
        <f>E44*(1-10%)</f>
        <v>2723.9538461538464</v>
      </c>
      <c r="E44" s="427">
        <f>'PORTO VELHO'!T47</f>
        <v>3026.6153846153848</v>
      </c>
      <c r="F44" s="427">
        <f>E44*(1+15%)</f>
        <v>3480.6076923076921</v>
      </c>
      <c r="G44" s="427"/>
      <c r="M44" s="1"/>
      <c r="T44" s="5"/>
      <c r="U44" s="24"/>
      <c r="V44" s="26"/>
      <c r="W44" s="26"/>
    </row>
    <row r="45" spans="1:24" x14ac:dyDescent="0.3">
      <c r="A45" s="47" t="s">
        <v>1162</v>
      </c>
      <c r="B45" s="2174"/>
      <c r="C45" s="2174"/>
      <c r="D45" s="2181">
        <f>E45*(1-25%)</f>
        <v>1148.1299999999999</v>
      </c>
      <c r="E45" s="427">
        <f>'PORTO VELHO'!T76</f>
        <v>1530.84</v>
      </c>
      <c r="F45" s="427">
        <f>E45*(1+5%)</f>
        <v>1607.3820000000001</v>
      </c>
      <c r="G45" s="427"/>
      <c r="M45" s="1"/>
      <c r="T45" s="5"/>
      <c r="U45" s="24"/>
      <c r="V45" s="26"/>
      <c r="W45" s="26"/>
    </row>
    <row r="46" spans="1:24" x14ac:dyDescent="0.3">
      <c r="A46" s="47" t="s">
        <v>550</v>
      </c>
      <c r="B46" s="2174"/>
      <c r="C46" s="2174"/>
      <c r="D46" s="2181">
        <f>E46*(1-15%)</f>
        <v>1784.048</v>
      </c>
      <c r="E46" s="427">
        <f>'PORTO VELHO'!T108</f>
        <v>2098.88</v>
      </c>
      <c r="F46" s="427">
        <f>E46*(1+15%)</f>
        <v>2413.712</v>
      </c>
      <c r="G46" s="427"/>
      <c r="M46" s="1"/>
      <c r="T46" s="5"/>
      <c r="U46" s="24"/>
      <c r="V46" s="26"/>
      <c r="W46" s="26"/>
    </row>
    <row r="47" spans="1:24" x14ac:dyDescent="0.3">
      <c r="A47" s="47" t="s">
        <v>679</v>
      </c>
      <c r="B47" s="2174"/>
      <c r="C47" s="2174"/>
      <c r="D47" s="2181">
        <f>E47*(1-25%)</f>
        <v>978.95</v>
      </c>
      <c r="E47" s="427">
        <f>'PORTO VELHO'!T138</f>
        <v>1305.2666666666667</v>
      </c>
      <c r="F47" s="427">
        <f>E47*(1+5%)</f>
        <v>1370.53</v>
      </c>
      <c r="G47" s="427"/>
      <c r="M47" s="1"/>
      <c r="T47" s="5"/>
      <c r="U47" s="24"/>
      <c r="V47" s="26"/>
      <c r="W47" s="26"/>
    </row>
    <row r="48" spans="1:24" x14ac:dyDescent="0.3">
      <c r="A48" s="47" t="s">
        <v>568</v>
      </c>
      <c r="B48" s="2174"/>
      <c r="C48" s="2174"/>
      <c r="D48" s="2181">
        <f>E48*(1-25%)</f>
        <v>1205.8499999999999</v>
      </c>
      <c r="E48" s="427">
        <f>'PORTO VELHO'!T170</f>
        <v>1607.8</v>
      </c>
      <c r="F48" s="427">
        <f>E48*(1+5%)</f>
        <v>1688.19</v>
      </c>
      <c r="G48" s="427"/>
      <c r="M48" s="1"/>
      <c r="T48" s="5"/>
      <c r="U48" s="24"/>
      <c r="V48" s="26"/>
      <c r="W48" s="26"/>
    </row>
    <row r="49" spans="1:23" x14ac:dyDescent="0.3">
      <c r="A49" s="47"/>
      <c r="B49" s="47"/>
      <c r="C49" s="47"/>
      <c r="D49" s="48"/>
      <c r="M49" s="1"/>
      <c r="T49" s="5"/>
      <c r="U49" s="24"/>
      <c r="V49" s="26"/>
      <c r="W49" s="26"/>
    </row>
    <row r="50" spans="1:23" x14ac:dyDescent="0.3">
      <c r="A50" s="47"/>
      <c r="B50" s="46"/>
      <c r="C50" s="46"/>
      <c r="D50" s="2314" t="s">
        <v>1163</v>
      </c>
      <c r="E50" s="2315"/>
      <c r="F50" s="2315"/>
      <c r="G50" s="2316"/>
      <c r="H50" s="43"/>
      <c r="I50" s="43"/>
      <c r="M50" s="1"/>
      <c r="T50" s="9"/>
      <c r="U50" s="29"/>
      <c r="V50" s="26"/>
      <c r="W50" s="26"/>
    </row>
    <row r="51" spans="1:23" x14ac:dyDescent="0.3">
      <c r="A51" s="47" t="s">
        <v>1161</v>
      </c>
      <c r="B51" s="2175"/>
      <c r="C51" s="2175"/>
      <c r="D51" s="304">
        <v>0.61538461538461542</v>
      </c>
      <c r="F51" s="3">
        <v>0.38461538461538464</v>
      </c>
      <c r="H51" s="304"/>
      <c r="M51" s="1"/>
      <c r="T51" s="9"/>
      <c r="U51" s="29"/>
      <c r="V51" s="26"/>
      <c r="W51" s="26"/>
    </row>
    <row r="52" spans="1:23" x14ac:dyDescent="0.3">
      <c r="A52" s="47" t="s">
        <v>1162</v>
      </c>
      <c r="B52" s="2175"/>
      <c r="C52" s="2175"/>
      <c r="D52" s="2175">
        <v>0.66</v>
      </c>
      <c r="E52" s="304"/>
      <c r="F52" s="304">
        <v>0.34</v>
      </c>
      <c r="G52" s="304"/>
      <c r="H52" s="304"/>
      <c r="I52" s="6"/>
      <c r="M52" s="1"/>
      <c r="T52" s="9"/>
      <c r="U52" s="29"/>
      <c r="V52" s="26"/>
      <c r="W52" s="26"/>
    </row>
    <row r="53" spans="1:23" x14ac:dyDescent="0.3">
      <c r="A53" s="47" t="s">
        <v>550</v>
      </c>
      <c r="B53" s="2175"/>
      <c r="C53" s="2175"/>
      <c r="D53" s="2175">
        <v>0.6</v>
      </c>
      <c r="E53" s="304"/>
      <c r="F53" s="304">
        <v>0.4</v>
      </c>
      <c r="G53" s="304"/>
      <c r="H53" s="6"/>
      <c r="I53" s="304"/>
      <c r="M53" s="1"/>
      <c r="T53" s="9"/>
      <c r="U53" s="29"/>
      <c r="V53" s="26"/>
      <c r="W53" s="26"/>
    </row>
    <row r="54" spans="1:23" x14ac:dyDescent="0.3">
      <c r="A54" s="47" t="s">
        <v>679</v>
      </c>
      <c r="B54" s="2175"/>
      <c r="C54" s="2175"/>
      <c r="D54" s="2175">
        <v>0.62</v>
      </c>
      <c r="E54" s="304"/>
      <c r="F54" s="304">
        <v>0.38</v>
      </c>
      <c r="G54" s="304"/>
      <c r="H54" s="6"/>
      <c r="I54" s="304"/>
      <c r="M54" s="1"/>
      <c r="T54" s="9"/>
      <c r="U54" s="29"/>
      <c r="V54" s="26"/>
      <c r="W54" s="26"/>
    </row>
    <row r="55" spans="1:23" x14ac:dyDescent="0.3">
      <c r="A55" s="47" t="s">
        <v>568</v>
      </c>
      <c r="B55" s="47"/>
      <c r="C55" s="47"/>
      <c r="D55" s="2175">
        <v>0.9</v>
      </c>
      <c r="F55" s="304">
        <v>0.1</v>
      </c>
      <c r="H55" s="304"/>
    </row>
    <row r="56" spans="1:23" x14ac:dyDescent="0.3">
      <c r="A56" s="47"/>
      <c r="B56" s="47"/>
      <c r="C56" s="47"/>
      <c r="D56" s="48"/>
      <c r="M56" s="1"/>
      <c r="T56" s="5"/>
      <c r="U56" s="24"/>
      <c r="V56" s="26"/>
      <c r="W56" s="26"/>
    </row>
    <row r="57" spans="1:23" x14ac:dyDescent="0.3">
      <c r="A57" s="47"/>
      <c r="B57" s="47"/>
      <c r="C57" s="47"/>
      <c r="D57" s="48"/>
      <c r="M57" s="1"/>
      <c r="T57" s="5"/>
      <c r="U57" s="24"/>
      <c r="V57" s="26"/>
      <c r="W57" s="26"/>
    </row>
    <row r="58" spans="1:23" x14ac:dyDescent="0.3">
      <c r="A58" s="47"/>
      <c r="B58" s="47"/>
      <c r="C58" s="47"/>
      <c r="D58" s="48"/>
      <c r="M58" s="1"/>
      <c r="T58" s="5"/>
      <c r="U58" s="24"/>
      <c r="V58" s="26"/>
      <c r="W58" s="26"/>
    </row>
    <row r="59" spans="1:23" x14ac:dyDescent="0.3">
      <c r="A59" s="47"/>
      <c r="B59" s="46"/>
      <c r="C59" s="46"/>
      <c r="D59" s="2314" t="s">
        <v>1164</v>
      </c>
      <c r="E59" s="2315"/>
      <c r="F59" s="2315"/>
      <c r="G59" s="2316"/>
      <c r="H59" s="43"/>
      <c r="I59" s="43"/>
      <c r="M59" s="1"/>
      <c r="T59" s="5"/>
      <c r="U59" s="24"/>
      <c r="V59" s="26"/>
      <c r="W59" s="26"/>
    </row>
    <row r="60" spans="1:23" x14ac:dyDescent="0.3">
      <c r="A60" s="47" t="s">
        <v>1161</v>
      </c>
      <c r="B60" s="2175"/>
      <c r="C60" s="2175"/>
      <c r="D60" s="2175">
        <v>0.25</v>
      </c>
      <c r="E60" s="2175">
        <v>0.25</v>
      </c>
      <c r="F60" s="2175">
        <v>0.25</v>
      </c>
      <c r="G60" s="2175">
        <v>0.25</v>
      </c>
      <c r="H60" s="2175"/>
      <c r="I60" s="2175"/>
      <c r="M60" s="1"/>
      <c r="T60" s="5"/>
      <c r="U60" s="24"/>
      <c r="V60" s="26"/>
      <c r="W60" s="26"/>
    </row>
    <row r="61" spans="1:23" x14ac:dyDescent="0.3">
      <c r="A61" s="47" t="s">
        <v>1162</v>
      </c>
      <c r="B61" s="6"/>
      <c r="C61" s="6"/>
      <c r="D61" s="6">
        <v>0.27</v>
      </c>
      <c r="E61" s="2175">
        <v>0.23</v>
      </c>
      <c r="F61" s="2175">
        <v>0.27</v>
      </c>
      <c r="G61" s="2175">
        <v>0.23</v>
      </c>
      <c r="H61" s="2175"/>
      <c r="I61" s="2175"/>
      <c r="J61" s="2175"/>
      <c r="M61" s="1"/>
      <c r="T61" s="5"/>
      <c r="U61" s="24"/>
      <c r="V61" s="26"/>
      <c r="W61" s="26"/>
    </row>
    <row r="62" spans="1:23" x14ac:dyDescent="0.3">
      <c r="A62" s="47" t="s">
        <v>550</v>
      </c>
      <c r="B62" s="2175"/>
      <c r="C62" s="2175"/>
      <c r="D62" s="2175">
        <v>0.34</v>
      </c>
      <c r="E62" s="2175">
        <v>0.33</v>
      </c>
      <c r="F62" s="2175">
        <v>0.33</v>
      </c>
      <c r="G62" s="2175"/>
      <c r="H62" s="2175"/>
      <c r="I62" s="2175"/>
      <c r="J62" s="2175"/>
      <c r="M62" s="1"/>
      <c r="T62" s="9"/>
      <c r="U62" s="29"/>
      <c r="V62" s="26"/>
      <c r="W62" s="26"/>
    </row>
    <row r="63" spans="1:23" x14ac:dyDescent="0.3">
      <c r="A63" s="47" t="s">
        <v>679</v>
      </c>
      <c r="B63" s="2175"/>
      <c r="C63" s="2175"/>
      <c r="D63" s="6">
        <v>0.35</v>
      </c>
      <c r="E63" s="2175">
        <v>0.32</v>
      </c>
      <c r="F63" s="2175">
        <v>0.33</v>
      </c>
      <c r="G63" s="2175"/>
      <c r="H63" s="2175"/>
      <c r="I63" s="2175"/>
      <c r="J63" s="2175"/>
      <c r="M63" s="1"/>
      <c r="T63" s="9"/>
      <c r="U63" s="29"/>
      <c r="V63" s="26"/>
      <c r="W63" s="26"/>
    </row>
    <row r="64" spans="1:23" x14ac:dyDescent="0.3">
      <c r="A64" s="47" t="s">
        <v>568</v>
      </c>
      <c r="B64" s="47"/>
      <c r="C64" s="47"/>
      <c r="D64" s="6">
        <v>0.35</v>
      </c>
      <c r="E64" s="2175">
        <v>0.32</v>
      </c>
      <c r="F64" s="2175">
        <v>0.33</v>
      </c>
      <c r="G64" s="304"/>
      <c r="H64" s="304"/>
      <c r="I64" s="304"/>
      <c r="J64" s="3"/>
      <c r="M64" s="1"/>
      <c r="T64" s="9"/>
      <c r="U64" s="29"/>
      <c r="V64" s="26"/>
      <c r="W64" s="2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77"/>
  <sheetViews>
    <sheetView workbookViewId="0"/>
  </sheetViews>
  <sheetFormatPr defaultRowHeight="14.4" x14ac:dyDescent="0.3"/>
  <sheetData>
    <row r="1" spans="1:9" ht="21" x14ac:dyDescent="0.4">
      <c r="A1" s="92" t="s">
        <v>1184</v>
      </c>
    </row>
    <row r="2" spans="1:9" x14ac:dyDescent="0.3">
      <c r="A2" t="s">
        <v>452</v>
      </c>
    </row>
    <row r="3" spans="1:9" x14ac:dyDescent="0.3">
      <c r="B3" s="95"/>
    </row>
    <row r="4" spans="1:9" x14ac:dyDescent="0.3">
      <c r="B4" s="95"/>
    </row>
    <row r="5" spans="1:9" x14ac:dyDescent="0.3">
      <c r="B5" s="96"/>
      <c r="C5" s="97"/>
      <c r="F5" s="98"/>
      <c r="G5" s="98"/>
      <c r="H5" s="98"/>
      <c r="I5" s="99"/>
    </row>
    <row r="6" spans="1:9" x14ac:dyDescent="0.3">
      <c r="A6" s="100" t="s">
        <v>1185</v>
      </c>
      <c r="B6" s="101">
        <v>263071.01</v>
      </c>
      <c r="C6" s="102"/>
      <c r="F6" s="98"/>
      <c r="G6" s="98"/>
      <c r="H6" s="98"/>
      <c r="I6" s="99"/>
    </row>
    <row r="7" spans="1:9" x14ac:dyDescent="0.3">
      <c r="A7" s="100" t="s">
        <v>1186</v>
      </c>
      <c r="B7" s="101">
        <v>263071.01</v>
      </c>
      <c r="C7" s="97"/>
      <c r="F7" s="98"/>
      <c r="G7" s="98"/>
      <c r="H7" s="98"/>
      <c r="I7" s="99"/>
    </row>
    <row r="8" spans="1:9" x14ac:dyDescent="0.3">
      <c r="C8" s="97"/>
      <c r="F8" s="98"/>
      <c r="G8" s="98"/>
      <c r="H8" s="98"/>
      <c r="I8" s="99"/>
    </row>
    <row r="9" spans="1:9" x14ac:dyDescent="0.3">
      <c r="A9" s="103" t="s">
        <v>1187</v>
      </c>
      <c r="B9" s="104">
        <v>757201.25</v>
      </c>
      <c r="C9" s="105"/>
      <c r="F9" s="98"/>
      <c r="G9" s="98"/>
      <c r="H9" s="98"/>
      <c r="I9" s="99"/>
    </row>
    <row r="10" spans="1:9" x14ac:dyDescent="0.3">
      <c r="A10" s="100" t="s">
        <v>1188</v>
      </c>
      <c r="B10" s="101">
        <v>757201.25</v>
      </c>
      <c r="C10" s="3"/>
      <c r="F10" s="98"/>
      <c r="G10" s="98"/>
      <c r="H10" s="98"/>
      <c r="I10" s="99"/>
    </row>
    <row r="11" spans="1:9" x14ac:dyDescent="0.3">
      <c r="D11" s="449"/>
      <c r="E11" s="450"/>
      <c r="F11" s="98"/>
      <c r="G11" s="98"/>
      <c r="H11" s="98"/>
      <c r="I11" s="99"/>
    </row>
    <row r="12" spans="1:9" x14ac:dyDescent="0.3">
      <c r="F12" s="98"/>
      <c r="G12" s="98"/>
      <c r="H12" s="98"/>
      <c r="I12" s="99"/>
    </row>
    <row r="13" spans="1:9" x14ac:dyDescent="0.3">
      <c r="A13" s="4" t="s">
        <v>457</v>
      </c>
      <c r="F13" s="98"/>
      <c r="G13" s="98"/>
      <c r="H13" s="98"/>
      <c r="I13" s="99"/>
    </row>
    <row r="14" spans="1:9" x14ac:dyDescent="0.3">
      <c r="A14" s="106" t="s">
        <v>458</v>
      </c>
      <c r="B14" s="106"/>
      <c r="C14" s="106" t="s">
        <v>459</v>
      </c>
      <c r="D14" s="106" t="s">
        <v>460</v>
      </c>
      <c r="E14" s="106" t="s">
        <v>461</v>
      </c>
      <c r="F14" s="98"/>
      <c r="G14" s="98"/>
      <c r="H14" s="98"/>
      <c r="I14" s="99"/>
    </row>
    <row r="15" spans="1:9" x14ac:dyDescent="0.3">
      <c r="A15" s="107" t="s">
        <v>576</v>
      </c>
      <c r="B15" s="108" t="s">
        <v>463</v>
      </c>
      <c r="C15" s="109">
        <v>0.37</v>
      </c>
      <c r="D15" s="110">
        <f>B9*C15</f>
        <v>280164.46250000002</v>
      </c>
      <c r="E15" s="110">
        <f>D15/3</f>
        <v>93388.154166666674</v>
      </c>
      <c r="F15" s="98"/>
      <c r="G15" s="98"/>
      <c r="H15" s="98"/>
      <c r="I15" s="99"/>
    </row>
    <row r="16" spans="1:9" x14ac:dyDescent="0.3">
      <c r="A16" s="107" t="s">
        <v>464</v>
      </c>
      <c r="B16" s="108" t="s">
        <v>465</v>
      </c>
      <c r="C16" s="109">
        <v>0.49</v>
      </c>
      <c r="D16" s="110">
        <f>B9*C16</f>
        <v>371028.61249999999</v>
      </c>
      <c r="E16" s="110">
        <f>D16/5</f>
        <v>74205.722500000003</v>
      </c>
      <c r="F16" s="98"/>
      <c r="G16" s="98"/>
      <c r="H16" s="98"/>
      <c r="I16" s="99"/>
    </row>
    <row r="17" spans="1:32" x14ac:dyDescent="0.3">
      <c r="A17" s="107" t="s">
        <v>466</v>
      </c>
      <c r="B17" s="108">
        <v>2</v>
      </c>
      <c r="C17" s="109">
        <v>0.14000000000000001</v>
      </c>
      <c r="D17" s="110">
        <f>B9*C17</f>
        <v>106008.175</v>
      </c>
      <c r="E17" s="110">
        <f>D17/2</f>
        <v>53004.087500000001</v>
      </c>
      <c r="F17" s="98"/>
      <c r="G17" s="98"/>
      <c r="H17" s="98"/>
      <c r="I17" s="99"/>
    </row>
    <row r="18" spans="1:32" x14ac:dyDescent="0.3">
      <c r="B18" s="1" t="s">
        <v>577</v>
      </c>
      <c r="C18" s="3">
        <f>SUM(C15:C17)</f>
        <v>1</v>
      </c>
      <c r="D18" s="112">
        <f>SUM(D15:D17)</f>
        <v>757201.25</v>
      </c>
      <c r="F18" s="98"/>
      <c r="G18" s="98"/>
      <c r="H18" s="98"/>
      <c r="I18" s="99"/>
    </row>
    <row r="19" spans="1:32" x14ac:dyDescent="0.3">
      <c r="F19" s="98"/>
      <c r="G19" s="98"/>
      <c r="H19" s="98"/>
      <c r="I19" s="99"/>
    </row>
    <row r="20" spans="1:32" x14ac:dyDescent="0.3">
      <c r="F20" s="98"/>
      <c r="G20" s="98"/>
      <c r="H20" s="98"/>
      <c r="I20" s="99"/>
    </row>
    <row r="21" spans="1:32" ht="15.6" x14ac:dyDescent="0.3">
      <c r="A21" s="556" t="s">
        <v>578</v>
      </c>
      <c r="B21" s="557">
        <v>364756</v>
      </c>
      <c r="Q21" s="115"/>
      <c r="R21" s="115"/>
    </row>
    <row r="22" spans="1:32" ht="15.6" x14ac:dyDescent="0.3">
      <c r="A22" s="556" t="s">
        <v>468</v>
      </c>
      <c r="B22" s="557">
        <v>183526</v>
      </c>
      <c r="E22" s="1" t="s">
        <v>470</v>
      </c>
      <c r="F22" s="2" t="s">
        <v>670</v>
      </c>
      <c r="H22" s="1" t="s">
        <v>472</v>
      </c>
      <c r="J22" s="2" t="s">
        <v>671</v>
      </c>
      <c r="K22" s="2"/>
      <c r="L22" s="2"/>
    </row>
    <row r="23" spans="1:32" x14ac:dyDescent="0.3">
      <c r="E23" s="1" t="s">
        <v>473</v>
      </c>
      <c r="F23" s="2" t="s">
        <v>83</v>
      </c>
      <c r="H23" s="1" t="s">
        <v>473</v>
      </c>
      <c r="J23" s="2" t="s">
        <v>672</v>
      </c>
      <c r="K23" s="2"/>
      <c r="L23" s="2"/>
    </row>
    <row r="24" spans="1:32" x14ac:dyDescent="0.3">
      <c r="E24" s="1" t="s">
        <v>475</v>
      </c>
      <c r="F24" s="2" t="s">
        <v>84</v>
      </c>
      <c r="H24" s="1" t="s">
        <v>475</v>
      </c>
      <c r="J24" s="2" t="s">
        <v>673</v>
      </c>
      <c r="K24" s="2"/>
      <c r="L24" s="2"/>
      <c r="P24" s="115"/>
    </row>
    <row r="25" spans="1:32" x14ac:dyDescent="0.3">
      <c r="E25" s="1" t="s">
        <v>477</v>
      </c>
      <c r="F25" s="2" t="s">
        <v>674</v>
      </c>
      <c r="H25" s="1" t="s">
        <v>477</v>
      </c>
      <c r="J25" s="2" t="s">
        <v>675</v>
      </c>
      <c r="K25" s="2"/>
      <c r="L25" s="2"/>
      <c r="O25" s="98"/>
      <c r="T25" s="116"/>
    </row>
    <row r="26" spans="1:32" x14ac:dyDescent="0.3">
      <c r="O26" s="98"/>
      <c r="P26" s="117"/>
    </row>
    <row r="27" spans="1:32" x14ac:dyDescent="0.3">
      <c r="O27" s="119"/>
      <c r="S27" s="98"/>
    </row>
    <row r="28" spans="1:32" ht="18" x14ac:dyDescent="0.35">
      <c r="A28" s="118" t="s">
        <v>479</v>
      </c>
      <c r="O28" s="98"/>
      <c r="P28" s="117"/>
    </row>
    <row r="29" spans="1:32" x14ac:dyDescent="0.3">
      <c r="O29" s="119"/>
      <c r="S29" s="98"/>
    </row>
    <row r="30" spans="1:32" x14ac:dyDescent="0.3">
      <c r="A30" s="2335" t="s">
        <v>480</v>
      </c>
      <c r="B30" s="2336"/>
      <c r="C30" s="2336"/>
      <c r="D30" s="2336"/>
      <c r="E30" s="2336"/>
      <c r="F30" s="2336"/>
      <c r="G30" s="2336"/>
      <c r="H30" s="2336"/>
      <c r="I30" s="2336"/>
      <c r="J30" s="2336"/>
      <c r="K30" s="2336"/>
      <c r="L30" s="2336"/>
      <c r="M30" s="2336"/>
      <c r="N30" s="2336"/>
      <c r="O30" s="2336"/>
      <c r="P30" s="2336"/>
      <c r="Q30" s="2336"/>
      <c r="R30" s="2336"/>
      <c r="S30" s="2337"/>
      <c r="T30" s="2374" t="s">
        <v>584</v>
      </c>
      <c r="U30" s="2375"/>
      <c r="V30" s="2375"/>
      <c r="W30" s="2375"/>
      <c r="X30" s="2375"/>
      <c r="Y30" s="2375"/>
      <c r="Z30" s="2375"/>
      <c r="AA30" s="2375"/>
      <c r="AB30" s="2375"/>
      <c r="AC30" s="2375"/>
      <c r="AD30" s="2375"/>
      <c r="AE30" s="2375"/>
      <c r="AF30" s="2376"/>
    </row>
    <row r="31" spans="1:32" ht="15.6" x14ac:dyDescent="0.3">
      <c r="A31" s="2284" t="s">
        <v>482</v>
      </c>
      <c r="B31" s="2286" t="s">
        <v>483</v>
      </c>
      <c r="C31" s="2286" t="s">
        <v>484</v>
      </c>
      <c r="D31" s="2286" t="s">
        <v>485</v>
      </c>
      <c r="E31" s="2286" t="s">
        <v>486</v>
      </c>
      <c r="F31" s="2288" t="s">
        <v>487</v>
      </c>
      <c r="G31" s="2286" t="s">
        <v>488</v>
      </c>
      <c r="H31" s="2286" t="s">
        <v>489</v>
      </c>
      <c r="I31" s="2266" t="s">
        <v>490</v>
      </c>
      <c r="J31" s="2266"/>
      <c r="K31" s="2266"/>
      <c r="L31" s="2266"/>
      <c r="M31" s="265" t="s">
        <v>491</v>
      </c>
      <c r="N31" s="266" t="s">
        <v>492</v>
      </c>
      <c r="O31" s="267" t="s">
        <v>493</v>
      </c>
      <c r="P31" s="266" t="s">
        <v>492</v>
      </c>
      <c r="Q31" s="266" t="s">
        <v>494</v>
      </c>
      <c r="R31" s="491" t="s">
        <v>585</v>
      </c>
      <c r="S31" s="2267" t="s">
        <v>495</v>
      </c>
      <c r="T31" s="124" t="s">
        <v>496</v>
      </c>
      <c r="U31" s="2364" t="s">
        <v>497</v>
      </c>
      <c r="V31" s="2365"/>
      <c r="W31" s="2365"/>
      <c r="X31" s="2365"/>
      <c r="Y31" s="2366"/>
      <c r="Z31" s="2361" t="s">
        <v>498</v>
      </c>
      <c r="AA31" s="2363"/>
      <c r="AB31" s="2362"/>
      <c r="AC31" s="2362"/>
      <c r="AD31" s="2362"/>
      <c r="AE31" s="2362"/>
      <c r="AF31" s="2363"/>
    </row>
    <row r="32" spans="1:32" ht="15.6" x14ac:dyDescent="0.3">
      <c r="A32" s="2285"/>
      <c r="B32" s="2287"/>
      <c r="C32" s="2287"/>
      <c r="D32" s="2287"/>
      <c r="E32" s="2287"/>
      <c r="F32" s="2289"/>
      <c r="G32" s="2287"/>
      <c r="H32" s="2287"/>
      <c r="I32" s="269" t="s">
        <v>500</v>
      </c>
      <c r="J32" s="269" t="s">
        <v>501</v>
      </c>
      <c r="K32" s="269" t="s">
        <v>502</v>
      </c>
      <c r="L32" s="269" t="s">
        <v>503</v>
      </c>
      <c r="M32" s="270" t="s">
        <v>504</v>
      </c>
      <c r="N32" s="271" t="s">
        <v>505</v>
      </c>
      <c r="O32" s="272" t="s">
        <v>506</v>
      </c>
      <c r="P32" s="271" t="s">
        <v>507</v>
      </c>
      <c r="Q32" s="271" t="s">
        <v>507</v>
      </c>
      <c r="R32" s="558"/>
      <c r="S32" s="2268"/>
      <c r="T32" s="130" t="s">
        <v>508</v>
      </c>
      <c r="U32" s="2298"/>
      <c r="V32" s="2299"/>
      <c r="W32" s="2299"/>
      <c r="X32" s="2299"/>
      <c r="Y32" s="2300"/>
      <c r="Z32" s="2303"/>
      <c r="AA32" s="2304"/>
      <c r="AB32" s="2307"/>
      <c r="AC32" s="2307"/>
      <c r="AD32" s="2307"/>
      <c r="AE32" s="2307"/>
      <c r="AF32" s="2304"/>
    </row>
    <row r="33" spans="1:32" ht="18" x14ac:dyDescent="0.35">
      <c r="A33" s="2262" t="s">
        <v>509</v>
      </c>
      <c r="B33" s="2263"/>
      <c r="C33" s="2263"/>
      <c r="D33" s="2263"/>
      <c r="E33" s="2263"/>
      <c r="F33" s="2263"/>
      <c r="G33" s="2263"/>
      <c r="H33" s="2263"/>
      <c r="I33" s="2263"/>
      <c r="J33" s="2263"/>
      <c r="K33" s="2263"/>
      <c r="L33" s="2263"/>
      <c r="M33" s="2263"/>
      <c r="N33" s="2263"/>
      <c r="O33" s="2263"/>
      <c r="P33" s="2263"/>
      <c r="Q33" s="2263"/>
      <c r="R33" s="2263"/>
      <c r="S33" s="2264"/>
      <c r="T33" s="559"/>
      <c r="U33" s="560" t="s">
        <v>510</v>
      </c>
      <c r="V33" s="561" t="s">
        <v>11</v>
      </c>
      <c r="W33" s="561" t="s">
        <v>511</v>
      </c>
      <c r="X33" s="561" t="s">
        <v>512</v>
      </c>
      <c r="Y33" s="562" t="s">
        <v>513</v>
      </c>
      <c r="Z33" s="563" t="s">
        <v>514</v>
      </c>
      <c r="AA33" s="562" t="s">
        <v>515</v>
      </c>
      <c r="AB33" s="563" t="s">
        <v>85</v>
      </c>
      <c r="AC33" s="561" t="s">
        <v>86</v>
      </c>
      <c r="AD33" s="561" t="s">
        <v>19</v>
      </c>
      <c r="AE33" s="561" t="s">
        <v>5</v>
      </c>
      <c r="AF33" s="562" t="s">
        <v>72</v>
      </c>
    </row>
    <row r="34" spans="1:32" x14ac:dyDescent="0.3">
      <c r="A34" s="151"/>
      <c r="B34" s="157"/>
      <c r="C34" s="157"/>
      <c r="D34" s="157"/>
      <c r="E34" s="157"/>
      <c r="F34" s="158"/>
      <c r="G34" s="157"/>
      <c r="H34" s="157"/>
      <c r="I34" s="188"/>
      <c r="L34" s="286"/>
      <c r="M34" s="163"/>
      <c r="N34" s="166"/>
      <c r="O34" s="173"/>
      <c r="P34" s="166"/>
      <c r="Q34" s="166"/>
      <c r="R34" s="206"/>
      <c r="S34" s="318"/>
      <c r="T34" s="149"/>
      <c r="U34" s="150"/>
      <c r="Y34" s="152"/>
      <c r="Z34" s="280"/>
      <c r="AA34" s="152"/>
      <c r="AB34" s="280"/>
      <c r="AD34" s="465"/>
      <c r="AF34" s="152"/>
    </row>
    <row r="35" spans="1:32" x14ac:dyDescent="0.3">
      <c r="A35" s="156" t="s">
        <v>676</v>
      </c>
      <c r="B35" s="157" t="s">
        <v>87</v>
      </c>
      <c r="C35" s="157" t="s">
        <v>517</v>
      </c>
      <c r="D35" s="157" t="s">
        <v>88</v>
      </c>
      <c r="E35" s="157" t="s">
        <v>518</v>
      </c>
      <c r="F35" s="158" t="s">
        <v>587</v>
      </c>
      <c r="G35" s="157">
        <v>2</v>
      </c>
      <c r="H35" s="157" t="s">
        <v>24</v>
      </c>
      <c r="I35" s="159">
        <v>2</v>
      </c>
      <c r="J35" s="161"/>
      <c r="K35" s="161"/>
      <c r="L35" s="2209"/>
      <c r="M35" s="163">
        <v>1</v>
      </c>
      <c r="N35" s="164">
        <v>4480</v>
      </c>
      <c r="O35" s="165">
        <v>0.2</v>
      </c>
      <c r="P35" s="166">
        <f>N35*(1-O35)</f>
        <v>3584</v>
      </c>
      <c r="Q35" s="166">
        <f t="shared" ref="Q35:Q39" si="0">P35*M35*G35</f>
        <v>7168</v>
      </c>
      <c r="R35" s="206" t="e">
        <f>(Q35+#REF!+Q36+#REF!)/E10*1000</f>
        <v>#REF!</v>
      </c>
      <c r="S35" s="318">
        <f>Q35/$Q$44</f>
        <v>0.12870604458745116</v>
      </c>
      <c r="T35" s="168">
        <f t="shared" ref="T35" si="1">Q35*2</f>
        <v>14336</v>
      </c>
      <c r="U35" s="150">
        <f t="shared" ref="U35:U39" si="2">T35</f>
        <v>14336</v>
      </c>
      <c r="V35" s="169"/>
      <c r="W35" s="169"/>
      <c r="X35" s="169"/>
      <c r="Y35" s="171"/>
      <c r="Z35" s="282"/>
      <c r="AA35" s="171">
        <f>T35</f>
        <v>14336</v>
      </c>
      <c r="AB35" s="282">
        <f>T35</f>
        <v>14336</v>
      </c>
      <c r="AF35" s="152"/>
    </row>
    <row r="36" spans="1:32" x14ac:dyDescent="0.3">
      <c r="A36" s="156" t="s">
        <v>676</v>
      </c>
      <c r="B36" s="157" t="s">
        <v>87</v>
      </c>
      <c r="C36" s="157" t="s">
        <v>517</v>
      </c>
      <c r="D36" s="157" t="s">
        <v>89</v>
      </c>
      <c r="E36" s="157" t="s">
        <v>520</v>
      </c>
      <c r="F36" s="158" t="s">
        <v>655</v>
      </c>
      <c r="G36" s="157">
        <v>15</v>
      </c>
      <c r="H36" s="157" t="s">
        <v>24</v>
      </c>
      <c r="I36" s="175">
        <v>15</v>
      </c>
      <c r="J36" s="176"/>
      <c r="K36" s="179"/>
      <c r="L36" s="180"/>
      <c r="M36" s="163">
        <v>1</v>
      </c>
      <c r="N36" s="166">
        <v>1068</v>
      </c>
      <c r="O36" s="173">
        <v>0.2</v>
      </c>
      <c r="P36" s="166">
        <f t="shared" ref="P36:P39" si="3">N36*(1-O36)</f>
        <v>854.40000000000009</v>
      </c>
      <c r="Q36" s="166">
        <f t="shared" si="0"/>
        <v>12816.000000000002</v>
      </c>
      <c r="R36" s="206" t="e">
        <f>(Q36+#REF!)/E11*1000</f>
        <v>#REF!</v>
      </c>
      <c r="S36" s="320">
        <f>Q36/$Q$44</f>
        <v>0.23011951275568837</v>
      </c>
      <c r="T36" s="168">
        <f>Q36*2</f>
        <v>25632.000000000004</v>
      </c>
      <c r="U36" s="150">
        <f t="shared" si="2"/>
        <v>25632.000000000004</v>
      </c>
      <c r="W36" s="169"/>
      <c r="Y36" s="152"/>
      <c r="Z36" s="283">
        <f>T36</f>
        <v>25632.000000000004</v>
      </c>
      <c r="AA36" s="171"/>
      <c r="AB36" s="282">
        <f>T36</f>
        <v>25632.000000000004</v>
      </c>
      <c r="AF36" s="152"/>
    </row>
    <row r="37" spans="1:32" x14ac:dyDescent="0.3">
      <c r="A37" s="156" t="s">
        <v>676</v>
      </c>
      <c r="B37" s="157" t="s">
        <v>87</v>
      </c>
      <c r="C37" s="157" t="s">
        <v>517</v>
      </c>
      <c r="D37" s="157" t="s">
        <v>26</v>
      </c>
      <c r="E37" s="157" t="s">
        <v>520</v>
      </c>
      <c r="F37" s="158" t="s">
        <v>588</v>
      </c>
      <c r="G37" s="157">
        <v>2</v>
      </c>
      <c r="H37" s="157" t="s">
        <v>24</v>
      </c>
      <c r="I37" s="182">
        <v>2</v>
      </c>
      <c r="J37" s="183"/>
      <c r="K37" s="183"/>
      <c r="L37" s="2239"/>
      <c r="M37" s="163">
        <v>1</v>
      </c>
      <c r="N37" s="166">
        <v>4068</v>
      </c>
      <c r="O37" s="173">
        <v>0.2</v>
      </c>
      <c r="P37" s="166">
        <f t="shared" si="3"/>
        <v>3254.4</v>
      </c>
      <c r="Q37" s="166">
        <f t="shared" si="0"/>
        <v>6508.8</v>
      </c>
      <c r="R37" s="206" t="e">
        <f>(Q37+#REF!+#REF!)/E11*1000</f>
        <v>#REF!</v>
      </c>
      <c r="S37" s="320">
        <f>Q37/$Q$44</f>
        <v>0.1168696851298552</v>
      </c>
      <c r="T37" s="168">
        <f t="shared" ref="T37" si="4">Q37*2</f>
        <v>13017.6</v>
      </c>
      <c r="U37" s="150">
        <f t="shared" si="2"/>
        <v>13017.6</v>
      </c>
      <c r="Y37" s="152"/>
      <c r="Z37" s="282">
        <f>T37</f>
        <v>13017.6</v>
      </c>
      <c r="AA37" s="171"/>
      <c r="AB37" s="282">
        <f>T37</f>
        <v>13017.6</v>
      </c>
      <c r="AF37" s="152"/>
    </row>
    <row r="38" spans="1:32" x14ac:dyDescent="0.3">
      <c r="A38" s="156" t="s">
        <v>676</v>
      </c>
      <c r="B38" s="157" t="s">
        <v>90</v>
      </c>
      <c r="C38" s="157" t="s">
        <v>517</v>
      </c>
      <c r="D38" s="157" t="s">
        <v>89</v>
      </c>
      <c r="E38" s="157" t="s">
        <v>520</v>
      </c>
      <c r="F38" s="158" t="s">
        <v>655</v>
      </c>
      <c r="G38" s="157">
        <v>15</v>
      </c>
      <c r="H38" s="157" t="s">
        <v>24</v>
      </c>
      <c r="I38" s="474"/>
      <c r="J38" s="1"/>
      <c r="K38" s="176">
        <v>15</v>
      </c>
      <c r="L38" s="177"/>
      <c r="M38" s="163">
        <v>1</v>
      </c>
      <c r="N38" s="166">
        <v>600</v>
      </c>
      <c r="O38" s="173">
        <v>0.2</v>
      </c>
      <c r="P38" s="166">
        <f t="shared" si="3"/>
        <v>480</v>
      </c>
      <c r="Q38" s="166">
        <f t="shared" si="0"/>
        <v>7200</v>
      </c>
      <c r="R38" s="206" t="e">
        <f>(Q38+#REF!)/E13*1000</f>
        <v>#REF!</v>
      </c>
      <c r="S38" s="320">
        <f>Q38/$Q$44</f>
        <v>0.12928062514364513</v>
      </c>
      <c r="T38" s="168">
        <f>Q38*2</f>
        <v>14400</v>
      </c>
      <c r="U38" s="150">
        <f t="shared" si="2"/>
        <v>14400</v>
      </c>
      <c r="W38" s="169"/>
      <c r="Y38" s="152"/>
      <c r="Z38" s="283">
        <f>T38</f>
        <v>14400</v>
      </c>
      <c r="AA38" s="171"/>
      <c r="AB38" s="280"/>
      <c r="AC38" s="169">
        <f>T38</f>
        <v>14400</v>
      </c>
      <c r="AF38" s="152"/>
    </row>
    <row r="39" spans="1:32" x14ac:dyDescent="0.3">
      <c r="A39" s="156" t="s">
        <v>676</v>
      </c>
      <c r="B39" s="157" t="s">
        <v>55</v>
      </c>
      <c r="C39" s="157" t="s">
        <v>517</v>
      </c>
      <c r="D39" s="157" t="s">
        <v>91</v>
      </c>
      <c r="E39" s="157" t="s">
        <v>518</v>
      </c>
      <c r="F39" s="158" t="s">
        <v>587</v>
      </c>
      <c r="G39" s="157">
        <v>1</v>
      </c>
      <c r="H39" s="157" t="s">
        <v>24</v>
      </c>
      <c r="I39" s="182">
        <v>1</v>
      </c>
      <c r="J39" s="183"/>
      <c r="K39" s="183"/>
      <c r="L39" s="2239"/>
      <c r="M39" s="163">
        <v>1</v>
      </c>
      <c r="N39" s="473">
        <v>6250</v>
      </c>
      <c r="O39" s="165">
        <v>0.2</v>
      </c>
      <c r="P39" s="476">
        <f t="shared" si="3"/>
        <v>5000</v>
      </c>
      <c r="Q39" s="473">
        <f t="shared" si="0"/>
        <v>5000</v>
      </c>
      <c r="R39" s="9"/>
      <c r="S39" s="639">
        <f>Q39/$Q$44</f>
        <v>8.9778211905309116E-2</v>
      </c>
      <c r="T39" s="478">
        <f>Q39*2</f>
        <v>10000</v>
      </c>
      <c r="U39" s="565">
        <f t="shared" si="2"/>
        <v>10000</v>
      </c>
      <c r="Y39" s="152"/>
      <c r="Z39" s="282"/>
      <c r="AA39" s="171">
        <f>T39</f>
        <v>10000</v>
      </c>
      <c r="AB39" s="280"/>
      <c r="AD39" s="169">
        <f>T39</f>
        <v>10000</v>
      </c>
      <c r="AF39" s="152"/>
    </row>
    <row r="40" spans="1:32" x14ac:dyDescent="0.3">
      <c r="A40" s="156"/>
      <c r="B40" s="157"/>
      <c r="C40" s="157"/>
      <c r="D40" s="157"/>
      <c r="E40" s="157"/>
      <c r="F40" s="158"/>
      <c r="G40" s="157"/>
      <c r="H40" s="157"/>
      <c r="I40" s="474"/>
      <c r="J40" s="1"/>
      <c r="K40" s="1"/>
      <c r="L40" s="163"/>
      <c r="M40" s="163"/>
      <c r="N40" s="473"/>
      <c r="O40" s="165"/>
      <c r="P40" s="476"/>
      <c r="Q40" s="473"/>
      <c r="R40" s="9"/>
      <c r="S40" s="477"/>
      <c r="T40" s="478"/>
      <c r="U40" s="565"/>
      <c r="Y40" s="152"/>
      <c r="Z40" s="282"/>
      <c r="AA40" s="171"/>
      <c r="AB40" s="280"/>
      <c r="AF40" s="152"/>
    </row>
    <row r="41" spans="1:32" x14ac:dyDescent="0.3">
      <c r="A41" s="189" t="s">
        <v>676</v>
      </c>
      <c r="B41" s="190" t="s">
        <v>528</v>
      </c>
      <c r="C41" s="190"/>
      <c r="D41" s="190"/>
      <c r="E41" s="190"/>
      <c r="F41" s="191"/>
      <c r="G41" s="190"/>
      <c r="H41" s="190"/>
      <c r="I41" s="192"/>
      <c r="J41" s="193"/>
      <c r="K41" s="193"/>
      <c r="L41" s="193"/>
      <c r="M41" s="190"/>
      <c r="N41" s="194"/>
      <c r="O41" s="195"/>
      <c r="P41" s="186"/>
      <c r="Q41" s="166"/>
      <c r="R41" s="288"/>
      <c r="S41" s="323"/>
      <c r="T41" s="168">
        <f t="shared" ref="T41:T42" si="5">Q41*2</f>
        <v>0</v>
      </c>
      <c r="U41" s="150"/>
      <c r="X41" s="169">
        <f>T41</f>
        <v>0</v>
      </c>
      <c r="Y41" s="152"/>
      <c r="Z41" s="280"/>
      <c r="AA41" s="171"/>
      <c r="AB41" s="280"/>
      <c r="AF41" s="152"/>
    </row>
    <row r="42" spans="1:32" x14ac:dyDescent="0.3">
      <c r="A42" s="365" t="s">
        <v>676</v>
      </c>
      <c r="B42" s="108" t="s">
        <v>529</v>
      </c>
      <c r="C42" s="108"/>
      <c r="D42" s="108" t="s">
        <v>530</v>
      </c>
      <c r="E42" s="108"/>
      <c r="F42" s="479"/>
      <c r="G42" s="108"/>
      <c r="H42" s="108"/>
      <c r="I42" s="254"/>
      <c r="J42" s="254"/>
      <c r="K42" s="254"/>
      <c r="L42" s="254"/>
      <c r="M42" s="108"/>
      <c r="N42" s="257"/>
      <c r="O42" s="109"/>
      <c r="P42" s="290"/>
      <c r="Q42" s="257">
        <v>17000</v>
      </c>
      <c r="R42" s="480"/>
      <c r="S42" s="367">
        <f>Q42/Q44</f>
        <v>0.30524592047805099</v>
      </c>
      <c r="T42" s="168">
        <f t="shared" si="5"/>
        <v>34000</v>
      </c>
      <c r="U42" s="150"/>
      <c r="Y42" s="171">
        <f>T42</f>
        <v>34000</v>
      </c>
      <c r="Z42" s="280"/>
      <c r="AA42" s="152"/>
      <c r="AB42" s="280"/>
      <c r="AF42" s="152"/>
    </row>
    <row r="43" spans="1:32" x14ac:dyDescent="0.3">
      <c r="A43" s="368"/>
      <c r="B43" s="369"/>
      <c r="C43" s="369"/>
      <c r="D43" s="369"/>
      <c r="E43" s="369"/>
      <c r="F43" s="370"/>
      <c r="G43" s="369"/>
      <c r="H43" s="369"/>
      <c r="I43" s="2184">
        <f>I44/M44</f>
        <v>0.5714285714285714</v>
      </c>
      <c r="J43" s="2184"/>
      <c r="K43" s="2184">
        <f>K44/M44</f>
        <v>0.42857142857142855</v>
      </c>
      <c r="L43" s="208"/>
      <c r="M43" s="369"/>
      <c r="N43" s="371"/>
      <c r="O43" s="372"/>
      <c r="P43" s="371"/>
      <c r="Q43" s="371"/>
      <c r="R43" s="371"/>
      <c r="S43" s="261"/>
      <c r="T43" s="149"/>
      <c r="U43" s="150"/>
      <c r="Y43" s="152"/>
      <c r="Z43" s="566"/>
      <c r="AA43" s="567"/>
      <c r="AB43" s="566"/>
      <c r="AC43" s="245"/>
      <c r="AD43" s="245"/>
      <c r="AE43" s="245"/>
      <c r="AF43" s="567"/>
    </row>
    <row r="44" spans="1:32" x14ac:dyDescent="0.3">
      <c r="A44" s="212" t="s">
        <v>531</v>
      </c>
      <c r="B44" s="213"/>
      <c r="C44" s="213"/>
      <c r="D44" s="213"/>
      <c r="E44" s="213"/>
      <c r="F44" s="214"/>
      <c r="G44" s="213"/>
      <c r="H44" s="213"/>
      <c r="I44" s="213">
        <f>I37+I36+I35+I39</f>
        <v>20</v>
      </c>
      <c r="J44" s="213"/>
      <c r="K44" s="213">
        <f>K38</f>
        <v>15</v>
      </c>
      <c r="L44" s="213"/>
      <c r="M44" s="213">
        <f>SUM(I44:L44)</f>
        <v>35</v>
      </c>
      <c r="N44" s="215"/>
      <c r="O44" s="216"/>
      <c r="P44" s="215"/>
      <c r="Q44" s="481">
        <f>SUM(Q35:Q43)</f>
        <v>55692.800000000003</v>
      </c>
      <c r="R44" s="481"/>
      <c r="S44" s="218">
        <f>SUM(S35:S42)</f>
        <v>1</v>
      </c>
      <c r="T44" s="568">
        <f>SUM(T35:T43)</f>
        <v>111385.60000000001</v>
      </c>
      <c r="U44" s="569">
        <f t="shared" ref="U44:AA44" si="6">SUM(U35:U42)</f>
        <v>77385.600000000006</v>
      </c>
      <c r="V44" s="570">
        <f t="shared" si="6"/>
        <v>0</v>
      </c>
      <c r="W44" s="570">
        <f t="shared" si="6"/>
        <v>0</v>
      </c>
      <c r="X44" s="570">
        <f t="shared" si="6"/>
        <v>0</v>
      </c>
      <c r="Y44" s="571">
        <f t="shared" si="6"/>
        <v>34000</v>
      </c>
      <c r="Z44" s="222">
        <f t="shared" si="6"/>
        <v>53049.600000000006</v>
      </c>
      <c r="AA44" s="223">
        <f t="shared" si="6"/>
        <v>24336</v>
      </c>
      <c r="AB44" s="640">
        <f>SUM(AB35:AB43)</f>
        <v>52985.599999999999</v>
      </c>
      <c r="AC44" s="641">
        <f>SUM(AC38:AC43)</f>
        <v>14400</v>
      </c>
      <c r="AD44" s="641">
        <f>SUM(AD39)</f>
        <v>10000</v>
      </c>
      <c r="AE44" s="641">
        <f t="shared" ref="AE44:AF44" si="7">SUM(AE39)</f>
        <v>0</v>
      </c>
      <c r="AF44" s="642">
        <f t="shared" si="7"/>
        <v>0</v>
      </c>
    </row>
    <row r="45" spans="1:32" x14ac:dyDescent="0.3">
      <c r="A45" s="228" t="s">
        <v>532</v>
      </c>
      <c r="B45" s="229"/>
      <c r="C45" s="229"/>
      <c r="D45" s="229"/>
      <c r="E45" s="229"/>
      <c r="F45" s="230"/>
      <c r="G45" s="229"/>
      <c r="H45" s="229"/>
      <c r="I45" s="229">
        <f>I37+I36+I35+I39</f>
        <v>20</v>
      </c>
      <c r="J45" s="229">
        <f>I37+I36+I35+I39</f>
        <v>20</v>
      </c>
      <c r="K45" s="229">
        <f>K38+I37+I35+I39</f>
        <v>20</v>
      </c>
      <c r="L45" s="229">
        <f>K38+I37+I35+I39</f>
        <v>20</v>
      </c>
      <c r="M45" s="229">
        <f>SUM(I45:L45)</f>
        <v>80</v>
      </c>
      <c r="N45" s="231"/>
      <c r="O45" s="232"/>
      <c r="P45" s="231"/>
      <c r="Q45" s="231"/>
      <c r="R45" s="231"/>
      <c r="S45" s="233"/>
      <c r="T45" s="234"/>
      <c r="U45" s="235">
        <f>U44/T44</f>
        <v>0.69475407952194901</v>
      </c>
      <c r="V45" s="236">
        <f>V44/T44</f>
        <v>0</v>
      </c>
      <c r="W45" s="236">
        <f>W44/T44</f>
        <v>0</v>
      </c>
      <c r="X45" s="236">
        <f>X44/T44</f>
        <v>0</v>
      </c>
      <c r="Y45" s="297">
        <f>Y44/T44</f>
        <v>0.30524592047805099</v>
      </c>
      <c r="Z45" s="298">
        <f>Z44/T44</f>
        <v>0.47626982302918874</v>
      </c>
      <c r="AA45" s="297">
        <f>AA44/T44</f>
        <v>0.21848425649276026</v>
      </c>
      <c r="AB45" s="573"/>
      <c r="AC45" s="487"/>
      <c r="AD45" s="487"/>
      <c r="AE45" s="487"/>
      <c r="AF45" s="242"/>
    </row>
    <row r="46" spans="1:32" x14ac:dyDescent="0.3">
      <c r="A46" s="243" t="s">
        <v>533</v>
      </c>
      <c r="B46" s="193"/>
      <c r="C46" s="193"/>
      <c r="D46" s="193"/>
      <c r="E46" s="193"/>
      <c r="F46" s="244"/>
      <c r="G46" s="193"/>
      <c r="H46" s="193"/>
      <c r="I46" s="2187">
        <v>0.25</v>
      </c>
      <c r="J46" s="245"/>
      <c r="K46" s="245"/>
      <c r="L46" s="245"/>
      <c r="M46" s="193"/>
      <c r="N46" s="246"/>
      <c r="O46" s="196"/>
      <c r="P46" s="246"/>
      <c r="Q46" s="194">
        <f>U44/2</f>
        <v>38692.800000000003</v>
      </c>
      <c r="R46" s="288"/>
      <c r="S46" s="247">
        <f>Q46/Q51</f>
        <v>0.69475407952194901</v>
      </c>
      <c r="Y46" s="248"/>
      <c r="Z46" s="357">
        <f>I36+I37+K38</f>
        <v>32</v>
      </c>
      <c r="AA46" s="358">
        <f>I35+I39</f>
        <v>3</v>
      </c>
    </row>
    <row r="47" spans="1:32" x14ac:dyDescent="0.3">
      <c r="A47" s="251" t="s">
        <v>11</v>
      </c>
      <c r="B47" s="252"/>
      <c r="C47" s="252"/>
      <c r="D47" s="252"/>
      <c r="E47" s="252"/>
      <c r="F47" s="253"/>
      <c r="G47" s="252"/>
      <c r="H47" s="252"/>
      <c r="I47" s="254"/>
      <c r="J47" s="254"/>
      <c r="K47" s="254"/>
      <c r="L47" s="254"/>
      <c r="M47" s="252"/>
      <c r="N47" s="255"/>
      <c r="O47" s="256"/>
      <c r="P47" s="255"/>
      <c r="Q47" s="257">
        <f>V44/2</f>
        <v>0</v>
      </c>
      <c r="R47" s="290"/>
      <c r="S47" s="256">
        <f>Q47/Q51</f>
        <v>0</v>
      </c>
      <c r="T47" s="574">
        <f>Q44/M44</f>
        <v>1591.2228571428573</v>
      </c>
      <c r="U47" s="489" t="s">
        <v>535</v>
      </c>
      <c r="Z47" s="195">
        <f>Z46/M44</f>
        <v>0.91428571428571426</v>
      </c>
      <c r="AA47" s="247">
        <f>AA46/M44</f>
        <v>8.5714285714285715E-2</v>
      </c>
    </row>
    <row r="48" spans="1:32" x14ac:dyDescent="0.3">
      <c r="A48" s="251" t="s">
        <v>536</v>
      </c>
      <c r="B48" s="252"/>
      <c r="C48" s="252"/>
      <c r="D48" s="252"/>
      <c r="E48" s="252"/>
      <c r="F48" s="253"/>
      <c r="G48" s="252"/>
      <c r="H48" s="252"/>
      <c r="I48" s="254"/>
      <c r="J48" s="254"/>
      <c r="K48" s="254"/>
      <c r="L48" s="254"/>
      <c r="M48" s="252"/>
      <c r="N48" s="255"/>
      <c r="O48" s="256"/>
      <c r="P48" s="255"/>
      <c r="Q48" s="257">
        <f>W44/2</f>
        <v>0</v>
      </c>
      <c r="R48" s="290"/>
      <c r="S48" s="262">
        <f>Q48/Q51</f>
        <v>0</v>
      </c>
      <c r="V48" s="263"/>
      <c r="X48" s="99"/>
      <c r="Z48" s="2265" t="s">
        <v>537</v>
      </c>
      <c r="AA48" s="2265"/>
    </row>
    <row r="49" spans="1:32" x14ac:dyDescent="0.3">
      <c r="A49" s="251" t="s">
        <v>529</v>
      </c>
      <c r="B49" s="252"/>
      <c r="C49" s="252"/>
      <c r="D49" s="252"/>
      <c r="E49" s="252"/>
      <c r="F49" s="253"/>
      <c r="G49" s="252"/>
      <c r="H49" s="252"/>
      <c r="I49" s="254"/>
      <c r="J49" s="254"/>
      <c r="K49" s="254"/>
      <c r="L49" s="254"/>
      <c r="M49" s="252"/>
      <c r="N49" s="255"/>
      <c r="O49" s="256"/>
      <c r="P49" s="255"/>
      <c r="Q49" s="257">
        <f>Y44/2</f>
        <v>17000</v>
      </c>
      <c r="R49" s="290"/>
      <c r="S49" s="262">
        <f>Q49/Q51</f>
        <v>0.30524592047805099</v>
      </c>
      <c r="V49" s="263"/>
    </row>
    <row r="50" spans="1:32" x14ac:dyDescent="0.3">
      <c r="A50" s="251" t="s">
        <v>528</v>
      </c>
      <c r="B50" s="252"/>
      <c r="C50" s="252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55"/>
      <c r="Q50" s="257">
        <f>X44/2</f>
        <v>0</v>
      </c>
      <c r="R50" s="290"/>
      <c r="S50" s="262">
        <f>Q50/Q51</f>
        <v>0</v>
      </c>
    </row>
    <row r="51" spans="1:32" x14ac:dyDescent="0.3">
      <c r="A51" s="251"/>
      <c r="B51" s="252"/>
      <c r="C51" s="252"/>
      <c r="D51" s="252"/>
      <c r="E51" s="252"/>
      <c r="F51" s="253"/>
      <c r="G51" s="252"/>
      <c r="H51" s="252"/>
      <c r="I51" s="254"/>
      <c r="J51" s="254"/>
      <c r="K51" s="254"/>
      <c r="L51" s="254"/>
      <c r="M51" s="252"/>
      <c r="N51" s="255"/>
      <c r="O51" s="256"/>
      <c r="P51" s="255"/>
      <c r="Q51" s="264">
        <f>SUM(Q46:Q50)</f>
        <v>55692.800000000003</v>
      </c>
      <c r="R51" s="490"/>
      <c r="S51" s="262">
        <f>SUM(S46:S50)</f>
        <v>1</v>
      </c>
    </row>
    <row r="53" spans="1:32" x14ac:dyDescent="0.3">
      <c r="S53" s="98"/>
    </row>
    <row r="54" spans="1:32" ht="18" x14ac:dyDescent="0.35">
      <c r="A54" s="118" t="s">
        <v>538</v>
      </c>
      <c r="O54" s="98"/>
      <c r="P54" s="117"/>
    </row>
    <row r="55" spans="1:32" x14ac:dyDescent="0.3">
      <c r="O55" s="119"/>
      <c r="S55" s="98"/>
    </row>
    <row r="56" spans="1:32" x14ac:dyDescent="0.3">
      <c r="A56" s="2335" t="s">
        <v>480</v>
      </c>
      <c r="B56" s="2336"/>
      <c r="C56" s="2336"/>
      <c r="D56" s="2336"/>
      <c r="E56" s="2336"/>
      <c r="F56" s="2336"/>
      <c r="G56" s="2336"/>
      <c r="H56" s="2336"/>
      <c r="I56" s="2336"/>
      <c r="J56" s="2336"/>
      <c r="K56" s="2336"/>
      <c r="L56" s="2336"/>
      <c r="M56" s="2336"/>
      <c r="N56" s="2336"/>
      <c r="O56" s="2336"/>
      <c r="P56" s="2336"/>
      <c r="Q56" s="2336"/>
      <c r="R56" s="2336"/>
      <c r="S56" s="2337"/>
      <c r="T56" s="2374" t="s">
        <v>584</v>
      </c>
      <c r="U56" s="2375"/>
      <c r="V56" s="2375"/>
      <c r="W56" s="2375"/>
      <c r="X56" s="2375"/>
      <c r="Y56" s="2375"/>
      <c r="Z56" s="2375"/>
      <c r="AA56" s="2375"/>
      <c r="AB56" s="2375"/>
      <c r="AC56" s="2375"/>
      <c r="AD56" s="2375"/>
      <c r="AE56" s="2375"/>
      <c r="AF56" s="2376"/>
    </row>
    <row r="57" spans="1:32" ht="15.6" x14ac:dyDescent="0.3">
      <c r="A57" s="2284" t="s">
        <v>482</v>
      </c>
      <c r="B57" s="2286" t="s">
        <v>483</v>
      </c>
      <c r="C57" s="2286" t="s">
        <v>484</v>
      </c>
      <c r="D57" s="2286" t="s">
        <v>485</v>
      </c>
      <c r="E57" s="2286" t="s">
        <v>486</v>
      </c>
      <c r="F57" s="2288" t="s">
        <v>487</v>
      </c>
      <c r="G57" s="2286" t="s">
        <v>488</v>
      </c>
      <c r="H57" s="2286" t="s">
        <v>489</v>
      </c>
      <c r="I57" s="2266" t="s">
        <v>490</v>
      </c>
      <c r="J57" s="2266"/>
      <c r="K57" s="2266"/>
      <c r="L57" s="2266"/>
      <c r="M57" s="265" t="s">
        <v>491</v>
      </c>
      <c r="N57" s="266" t="s">
        <v>492</v>
      </c>
      <c r="O57" s="267" t="s">
        <v>493</v>
      </c>
      <c r="P57" s="266" t="s">
        <v>492</v>
      </c>
      <c r="Q57" s="266" t="s">
        <v>494</v>
      </c>
      <c r="R57" s="491" t="s">
        <v>585</v>
      </c>
      <c r="S57" s="2267" t="s">
        <v>495</v>
      </c>
      <c r="T57" s="124" t="s">
        <v>496</v>
      </c>
      <c r="U57" s="2364" t="s">
        <v>497</v>
      </c>
      <c r="V57" s="2365"/>
      <c r="W57" s="2365"/>
      <c r="X57" s="2365"/>
      <c r="Y57" s="2366"/>
      <c r="Z57" s="2361" t="s">
        <v>498</v>
      </c>
      <c r="AA57" s="2363"/>
      <c r="AB57" s="2362"/>
      <c r="AC57" s="2362"/>
      <c r="AD57" s="2362"/>
      <c r="AE57" s="2362"/>
      <c r="AF57" s="2363"/>
    </row>
    <row r="58" spans="1:32" ht="15.6" x14ac:dyDescent="0.3">
      <c r="A58" s="2285"/>
      <c r="B58" s="2287"/>
      <c r="C58" s="2287"/>
      <c r="D58" s="2287"/>
      <c r="E58" s="2287"/>
      <c r="F58" s="2289"/>
      <c r="G58" s="2287"/>
      <c r="H58" s="2287"/>
      <c r="I58" s="269" t="s">
        <v>500</v>
      </c>
      <c r="J58" s="269" t="s">
        <v>501</v>
      </c>
      <c r="K58" s="269" t="s">
        <v>502</v>
      </c>
      <c r="L58" s="269" t="s">
        <v>503</v>
      </c>
      <c r="M58" s="270" t="s">
        <v>504</v>
      </c>
      <c r="N58" s="271" t="s">
        <v>505</v>
      </c>
      <c r="O58" s="272" t="s">
        <v>506</v>
      </c>
      <c r="P58" s="271" t="s">
        <v>507</v>
      </c>
      <c r="Q58" s="271" t="s">
        <v>507</v>
      </c>
      <c r="R58" s="558"/>
      <c r="S58" s="2268"/>
      <c r="T58" s="130" t="s">
        <v>508</v>
      </c>
      <c r="U58" s="2298"/>
      <c r="V58" s="2299"/>
      <c r="W58" s="2299"/>
      <c r="X58" s="2299"/>
      <c r="Y58" s="2300"/>
      <c r="Z58" s="2303"/>
      <c r="AA58" s="2304"/>
      <c r="AB58" s="2307"/>
      <c r="AC58" s="2307"/>
      <c r="AD58" s="2307"/>
      <c r="AE58" s="2307"/>
      <c r="AF58" s="2304"/>
    </row>
    <row r="59" spans="1:32" ht="18" x14ac:dyDescent="0.35">
      <c r="A59" s="2383" t="s">
        <v>540</v>
      </c>
      <c r="B59" s="2384"/>
      <c r="C59" s="2384"/>
      <c r="D59" s="2384"/>
      <c r="E59" s="2384"/>
      <c r="F59" s="2384"/>
      <c r="G59" s="2384"/>
      <c r="H59" s="2384"/>
      <c r="I59" s="2384"/>
      <c r="J59" s="2384"/>
      <c r="K59" s="2384"/>
      <c r="L59" s="2384"/>
      <c r="M59" s="2384"/>
      <c r="N59" s="2384"/>
      <c r="O59" s="2384"/>
      <c r="P59" s="2384"/>
      <c r="Q59" s="2384"/>
      <c r="R59" s="2384"/>
      <c r="S59" s="2385"/>
      <c r="T59" s="559"/>
      <c r="U59" s="560" t="s">
        <v>510</v>
      </c>
      <c r="V59" s="561" t="s">
        <v>11</v>
      </c>
      <c r="W59" s="561" t="s">
        <v>511</v>
      </c>
      <c r="X59" s="561" t="s">
        <v>512</v>
      </c>
      <c r="Y59" s="562" t="s">
        <v>513</v>
      </c>
      <c r="Z59" s="563" t="s">
        <v>514</v>
      </c>
      <c r="AA59" s="562" t="s">
        <v>515</v>
      </c>
      <c r="AB59" s="563" t="s">
        <v>85</v>
      </c>
      <c r="AC59" s="561" t="s">
        <v>86</v>
      </c>
      <c r="AD59" s="561" t="s">
        <v>19</v>
      </c>
      <c r="AE59" s="561" t="s">
        <v>5</v>
      </c>
      <c r="AF59" s="562" t="s">
        <v>72</v>
      </c>
    </row>
    <row r="60" spans="1:32" x14ac:dyDescent="0.3">
      <c r="A60" s="153"/>
      <c r="B60" s="462"/>
      <c r="C60" s="462"/>
      <c r="D60" s="462"/>
      <c r="E60" s="462"/>
      <c r="F60" s="463"/>
      <c r="G60" s="462"/>
      <c r="H60" s="462"/>
      <c r="I60" s="465"/>
      <c r="J60" s="465"/>
      <c r="K60" s="465"/>
      <c r="L60" s="465"/>
      <c r="M60" s="462"/>
      <c r="N60" s="468"/>
      <c r="O60" s="469"/>
      <c r="P60" s="468"/>
      <c r="Q60" s="468"/>
      <c r="R60" s="470"/>
      <c r="S60" s="471"/>
      <c r="T60" s="149"/>
      <c r="U60" s="150"/>
      <c r="Y60" s="152"/>
      <c r="Z60" s="280"/>
      <c r="AA60" s="152"/>
      <c r="AB60" s="280"/>
      <c r="AD60" s="465"/>
      <c r="AF60" s="152"/>
    </row>
    <row r="61" spans="1:32" x14ac:dyDescent="0.3">
      <c r="A61" s="156" t="s">
        <v>676</v>
      </c>
      <c r="B61" s="157" t="s">
        <v>87</v>
      </c>
      <c r="C61" s="157" t="s">
        <v>517</v>
      </c>
      <c r="D61" s="157" t="s">
        <v>88</v>
      </c>
      <c r="E61" s="157" t="s">
        <v>518</v>
      </c>
      <c r="F61" s="158" t="s">
        <v>587</v>
      </c>
      <c r="G61" s="157">
        <v>2</v>
      </c>
      <c r="H61" s="157" t="s">
        <v>24</v>
      </c>
      <c r="I61" s="159">
        <v>2</v>
      </c>
      <c r="J61" s="161"/>
      <c r="K61" s="161"/>
      <c r="L61" s="2209"/>
      <c r="M61" s="163">
        <v>1</v>
      </c>
      <c r="N61" s="164">
        <v>4480</v>
      </c>
      <c r="O61" s="165">
        <v>0.2</v>
      </c>
      <c r="P61" s="166">
        <f>N61*(1-O61)</f>
        <v>3584</v>
      </c>
      <c r="Q61" s="166">
        <f t="shared" ref="Q61:Q66" si="8">P61*M61*G61</f>
        <v>7168</v>
      </c>
      <c r="R61" s="206" t="e">
        <f>(Q61+#REF!+Q62+#REF!)/E35*1000</f>
        <v>#REF!</v>
      </c>
      <c r="S61" s="318">
        <f t="shared" ref="S61:S66" si="9">Q61/$Q$73</f>
        <v>0.12265571526351814</v>
      </c>
      <c r="T61" s="168">
        <f t="shared" ref="T61:T66" si="10">Q61</f>
        <v>7168</v>
      </c>
      <c r="U61" s="150">
        <f t="shared" ref="U61:U64" si="11">T61</f>
        <v>7168</v>
      </c>
      <c r="V61" s="169"/>
      <c r="W61" s="169"/>
      <c r="X61" s="169"/>
      <c r="Y61" s="171"/>
      <c r="Z61" s="282"/>
      <c r="AA61" s="171">
        <f>T61</f>
        <v>7168</v>
      </c>
      <c r="AB61" s="282">
        <f>T61</f>
        <v>7168</v>
      </c>
      <c r="AF61" s="152"/>
    </row>
    <row r="62" spans="1:32" x14ac:dyDescent="0.3">
      <c r="A62" s="156" t="s">
        <v>676</v>
      </c>
      <c r="B62" s="157" t="s">
        <v>87</v>
      </c>
      <c r="C62" s="157" t="s">
        <v>517</v>
      </c>
      <c r="D62" s="157" t="s">
        <v>89</v>
      </c>
      <c r="E62" s="157" t="s">
        <v>520</v>
      </c>
      <c r="F62" s="158" t="s">
        <v>655</v>
      </c>
      <c r="G62" s="157">
        <v>13</v>
      </c>
      <c r="H62" s="157" t="s">
        <v>24</v>
      </c>
      <c r="I62" s="175">
        <v>13</v>
      </c>
      <c r="J62" s="176"/>
      <c r="K62" s="179"/>
      <c r="L62" s="180"/>
      <c r="M62" s="163">
        <v>1</v>
      </c>
      <c r="N62" s="166">
        <v>1068</v>
      </c>
      <c r="O62" s="173">
        <v>0.2</v>
      </c>
      <c r="P62" s="166">
        <f t="shared" ref="P62:P66" si="12">N62*(1-O62)</f>
        <v>854.40000000000009</v>
      </c>
      <c r="Q62" s="166">
        <f t="shared" si="8"/>
        <v>11107.2</v>
      </c>
      <c r="R62" s="206" t="e">
        <f>(Q62+#REF!)/E36*1000</f>
        <v>#REF!</v>
      </c>
      <c r="S62" s="320">
        <f t="shared" si="9"/>
        <v>0.19006160164271049</v>
      </c>
      <c r="T62" s="168">
        <f t="shared" si="10"/>
        <v>11107.2</v>
      </c>
      <c r="U62" s="150">
        <f t="shared" si="11"/>
        <v>11107.2</v>
      </c>
      <c r="W62" s="169"/>
      <c r="Y62" s="152"/>
      <c r="Z62" s="283">
        <f>T62</f>
        <v>11107.2</v>
      </c>
      <c r="AA62" s="171"/>
      <c r="AB62" s="282">
        <f>T62</f>
        <v>11107.2</v>
      </c>
      <c r="AF62" s="152"/>
    </row>
    <row r="63" spans="1:32" x14ac:dyDescent="0.3">
      <c r="A63" s="156" t="s">
        <v>676</v>
      </c>
      <c r="B63" s="157" t="s">
        <v>87</v>
      </c>
      <c r="C63" s="157" t="s">
        <v>517</v>
      </c>
      <c r="D63" s="157" t="s">
        <v>26</v>
      </c>
      <c r="E63" s="157" t="s">
        <v>520</v>
      </c>
      <c r="F63" s="158" t="s">
        <v>588</v>
      </c>
      <c r="G63" s="157">
        <v>1</v>
      </c>
      <c r="H63" s="157" t="s">
        <v>24</v>
      </c>
      <c r="I63" s="182">
        <v>1</v>
      </c>
      <c r="J63" s="183"/>
      <c r="K63" s="183"/>
      <c r="L63" s="2239"/>
      <c r="M63" s="163">
        <v>1</v>
      </c>
      <c r="N63" s="166">
        <v>4068</v>
      </c>
      <c r="O63" s="173">
        <v>0.2</v>
      </c>
      <c r="P63" s="166">
        <f t="shared" si="12"/>
        <v>3254.4</v>
      </c>
      <c r="Q63" s="166">
        <f t="shared" si="8"/>
        <v>3254.4</v>
      </c>
      <c r="R63" s="206" t="e">
        <f>(Q63+#REF!+#REF!)/E36*1000</f>
        <v>#REF!</v>
      </c>
      <c r="S63" s="320">
        <f t="shared" si="9"/>
        <v>5.568788501026694E-2</v>
      </c>
      <c r="T63" s="168">
        <f t="shared" si="10"/>
        <v>3254.4</v>
      </c>
      <c r="U63" s="150">
        <f t="shared" si="11"/>
        <v>3254.4</v>
      </c>
      <c r="Y63" s="152"/>
      <c r="Z63" s="282">
        <f>T63</f>
        <v>3254.4</v>
      </c>
      <c r="AA63" s="171"/>
      <c r="AB63" s="282">
        <f>T63</f>
        <v>3254.4</v>
      </c>
      <c r="AF63" s="152"/>
    </row>
    <row r="64" spans="1:32" x14ac:dyDescent="0.3">
      <c r="A64" s="156" t="s">
        <v>676</v>
      </c>
      <c r="B64" s="157" t="s">
        <v>90</v>
      </c>
      <c r="C64" s="157" t="s">
        <v>517</v>
      </c>
      <c r="D64" s="157" t="s">
        <v>89</v>
      </c>
      <c r="E64" s="157" t="s">
        <v>520</v>
      </c>
      <c r="F64" s="158" t="s">
        <v>655</v>
      </c>
      <c r="G64" s="157">
        <v>13</v>
      </c>
      <c r="H64" s="157" t="s">
        <v>24</v>
      </c>
      <c r="I64" s="474"/>
      <c r="J64" s="1"/>
      <c r="K64" s="176">
        <v>13</v>
      </c>
      <c r="L64" s="177"/>
      <c r="M64" s="163">
        <v>1</v>
      </c>
      <c r="N64" s="166">
        <v>600</v>
      </c>
      <c r="O64" s="173">
        <v>0.2</v>
      </c>
      <c r="P64" s="166">
        <f t="shared" si="12"/>
        <v>480</v>
      </c>
      <c r="Q64" s="166">
        <f t="shared" si="8"/>
        <v>6240</v>
      </c>
      <c r="R64" s="206" t="e">
        <f>(Q64+#REF!)/E38*1000</f>
        <v>#REF!</v>
      </c>
      <c r="S64" s="320">
        <f t="shared" si="9"/>
        <v>0.10677618069815195</v>
      </c>
      <c r="T64" s="168">
        <f t="shared" si="10"/>
        <v>6240</v>
      </c>
      <c r="U64" s="150">
        <f t="shared" si="11"/>
        <v>6240</v>
      </c>
      <c r="W64" s="169"/>
      <c r="Y64" s="152"/>
      <c r="Z64" s="283">
        <f>T64</f>
        <v>6240</v>
      </c>
      <c r="AA64" s="171"/>
      <c r="AB64" s="280"/>
      <c r="AC64" s="169">
        <f>T64</f>
        <v>6240</v>
      </c>
      <c r="AF64" s="152"/>
    </row>
    <row r="65" spans="1:32" x14ac:dyDescent="0.3">
      <c r="A65" s="156" t="s">
        <v>676</v>
      </c>
      <c r="B65" s="157" t="s">
        <v>41</v>
      </c>
      <c r="C65" s="157" t="s">
        <v>525</v>
      </c>
      <c r="D65" s="157" t="s">
        <v>92</v>
      </c>
      <c r="E65" s="157" t="s">
        <v>520</v>
      </c>
      <c r="F65" s="158" t="s">
        <v>523</v>
      </c>
      <c r="G65" s="157">
        <v>4</v>
      </c>
      <c r="H65" s="157" t="s">
        <v>93</v>
      </c>
      <c r="I65" s="182">
        <v>4</v>
      </c>
      <c r="J65" s="2382"/>
      <c r="K65" s="183">
        <v>4</v>
      </c>
      <c r="L65" s="2239"/>
      <c r="M65" s="163">
        <v>2</v>
      </c>
      <c r="N65" s="473">
        <v>1600</v>
      </c>
      <c r="O65" s="165">
        <v>0.7</v>
      </c>
      <c r="P65" s="476">
        <f t="shared" si="12"/>
        <v>480.00000000000006</v>
      </c>
      <c r="Q65" s="473">
        <f t="shared" si="8"/>
        <v>3840.0000000000005</v>
      </c>
      <c r="R65" s="9"/>
      <c r="S65" s="477">
        <f t="shared" si="9"/>
        <v>6.5708418891170434E-2</v>
      </c>
      <c r="T65" s="478">
        <f t="shared" si="10"/>
        <v>3840.0000000000005</v>
      </c>
      <c r="U65" s="565"/>
      <c r="W65" s="169">
        <f>T65</f>
        <v>3840.0000000000005</v>
      </c>
      <c r="Y65" s="152"/>
      <c r="Z65" s="282">
        <f>T65</f>
        <v>3840.0000000000005</v>
      </c>
      <c r="AA65" s="171"/>
      <c r="AB65" s="280"/>
      <c r="AD65" s="169">
        <f>T65</f>
        <v>3840.0000000000005</v>
      </c>
      <c r="AF65" s="152"/>
    </row>
    <row r="66" spans="1:32" x14ac:dyDescent="0.3">
      <c r="A66" s="156" t="s">
        <v>676</v>
      </c>
      <c r="B66" s="157" t="s">
        <v>94</v>
      </c>
      <c r="C66" s="157"/>
      <c r="D66" s="157" t="s">
        <v>32</v>
      </c>
      <c r="E66" s="157" t="s">
        <v>650</v>
      </c>
      <c r="F66" s="158"/>
      <c r="G66" s="157">
        <v>4</v>
      </c>
      <c r="H66" s="157" t="s">
        <v>58</v>
      </c>
      <c r="I66" s="643">
        <v>4</v>
      </c>
      <c r="J66" s="1"/>
      <c r="K66" s="183">
        <v>4</v>
      </c>
      <c r="L66" s="163"/>
      <c r="M66" s="163">
        <v>2</v>
      </c>
      <c r="N66" s="473">
        <f>256*8</f>
        <v>2048</v>
      </c>
      <c r="O66" s="165">
        <v>0.4</v>
      </c>
      <c r="P66" s="476">
        <f t="shared" si="12"/>
        <v>1228.8</v>
      </c>
      <c r="Q66" s="473">
        <f t="shared" si="8"/>
        <v>9830.4</v>
      </c>
      <c r="R66" s="9"/>
      <c r="S66" s="629">
        <f t="shared" si="9"/>
        <v>0.16821355236139629</v>
      </c>
      <c r="T66" s="478">
        <f t="shared" si="10"/>
        <v>9830.4</v>
      </c>
      <c r="U66" s="565"/>
      <c r="W66" s="169">
        <f>T66</f>
        <v>9830.4</v>
      </c>
      <c r="Y66" s="152"/>
      <c r="Z66" s="282"/>
      <c r="AA66" s="171"/>
      <c r="AB66" s="280"/>
      <c r="AF66" s="152"/>
    </row>
    <row r="67" spans="1:32" x14ac:dyDescent="0.3">
      <c r="A67" s="156"/>
      <c r="B67" s="157"/>
      <c r="C67" s="157"/>
      <c r="D67" s="157"/>
      <c r="E67" s="157"/>
      <c r="F67" s="158"/>
      <c r="G67" s="157"/>
      <c r="H67" s="157"/>
      <c r="I67" s="474"/>
      <c r="J67" s="1"/>
      <c r="K67" s="1"/>
      <c r="L67" s="163"/>
      <c r="M67" s="163"/>
      <c r="N67" s="473"/>
      <c r="O67" s="165"/>
      <c r="P67" s="476"/>
      <c r="Q67" s="473"/>
      <c r="R67" s="9"/>
      <c r="S67" s="477"/>
      <c r="T67" s="478"/>
      <c r="U67" s="565"/>
      <c r="Y67" s="152"/>
      <c r="Z67" s="282"/>
      <c r="AA67" s="171"/>
      <c r="AB67" s="280"/>
      <c r="AF67" s="152"/>
    </row>
    <row r="68" spans="1:32" x14ac:dyDescent="0.3">
      <c r="A68" s="156"/>
      <c r="B68" s="157"/>
      <c r="C68" s="157"/>
      <c r="D68" s="157"/>
      <c r="E68" s="157"/>
      <c r="F68" s="158"/>
      <c r="G68" s="157"/>
      <c r="H68" s="157"/>
      <c r="I68" s="474"/>
      <c r="J68" s="1"/>
      <c r="K68" s="1"/>
      <c r="L68" s="163"/>
      <c r="M68" s="163"/>
      <c r="N68" s="473"/>
      <c r="O68" s="165"/>
      <c r="P68" s="476"/>
      <c r="Q68" s="473"/>
      <c r="R68" s="9"/>
      <c r="S68" s="477"/>
      <c r="T68" s="478"/>
      <c r="U68" s="565"/>
      <c r="Y68" s="152"/>
      <c r="Z68" s="282"/>
      <c r="AA68" s="171"/>
      <c r="AB68" s="280"/>
      <c r="AF68" s="152"/>
    </row>
    <row r="69" spans="1:32" x14ac:dyDescent="0.3">
      <c r="A69" s="156"/>
      <c r="B69" s="157"/>
      <c r="C69" s="157"/>
      <c r="D69" s="157"/>
      <c r="E69" s="157"/>
      <c r="F69" s="158"/>
      <c r="G69" s="157"/>
      <c r="H69" s="157"/>
      <c r="I69" s="474"/>
      <c r="J69" s="1"/>
      <c r="K69" s="1"/>
      <c r="L69" s="163"/>
      <c r="M69" s="163"/>
      <c r="N69" s="473"/>
      <c r="O69" s="165"/>
      <c r="P69" s="476"/>
      <c r="Q69" s="473"/>
      <c r="R69" s="9"/>
      <c r="S69" s="477"/>
      <c r="T69" s="478"/>
      <c r="U69" s="565"/>
      <c r="Y69" s="152"/>
      <c r="Z69" s="282"/>
      <c r="AA69" s="171"/>
      <c r="AB69" s="280"/>
      <c r="AF69" s="152"/>
    </row>
    <row r="70" spans="1:32" x14ac:dyDescent="0.3">
      <c r="A70" s="189" t="s">
        <v>676</v>
      </c>
      <c r="B70" s="190" t="s">
        <v>528</v>
      </c>
      <c r="C70" s="190"/>
      <c r="D70" s="190"/>
      <c r="E70" s="190"/>
      <c r="F70" s="191"/>
      <c r="G70" s="190"/>
      <c r="H70" s="190"/>
      <c r="I70" s="192"/>
      <c r="J70" s="193"/>
      <c r="K70" s="193"/>
      <c r="L70" s="630"/>
      <c r="M70" s="630"/>
      <c r="N70" s="194"/>
      <c r="O70" s="195"/>
      <c r="P70" s="186"/>
      <c r="Q70" s="166"/>
      <c r="R70" s="288"/>
      <c r="S70" s="323"/>
      <c r="T70" s="168">
        <f t="shared" ref="T70" si="13">Q70*2</f>
        <v>0</v>
      </c>
      <c r="U70" s="150"/>
      <c r="X70" s="169">
        <f>T70</f>
        <v>0</v>
      </c>
      <c r="Y70" s="152"/>
      <c r="Z70" s="280"/>
      <c r="AA70" s="171"/>
      <c r="AB70" s="280"/>
      <c r="AF70" s="152"/>
    </row>
    <row r="71" spans="1:32" x14ac:dyDescent="0.3">
      <c r="A71" s="365" t="s">
        <v>676</v>
      </c>
      <c r="B71" s="108" t="s">
        <v>529</v>
      </c>
      <c r="C71" s="108"/>
      <c r="D71" s="108" t="s">
        <v>530</v>
      </c>
      <c r="E71" s="108"/>
      <c r="F71" s="479"/>
      <c r="G71" s="108"/>
      <c r="H71" s="108"/>
      <c r="I71" s="254"/>
      <c r="J71" s="254"/>
      <c r="K71" s="254"/>
      <c r="L71" s="254"/>
      <c r="M71" s="108"/>
      <c r="N71" s="257"/>
      <c r="O71" s="109"/>
      <c r="P71" s="290"/>
      <c r="Q71" s="257">
        <v>17000</v>
      </c>
      <c r="R71" s="480"/>
      <c r="S71" s="367">
        <f>Q71/Q73</f>
        <v>0.29089664613278576</v>
      </c>
      <c r="T71" s="168">
        <f>Q71</f>
        <v>17000</v>
      </c>
      <c r="U71" s="150"/>
      <c r="Y71" s="171">
        <f>T71</f>
        <v>17000</v>
      </c>
      <c r="Z71" s="280"/>
      <c r="AA71" s="152"/>
      <c r="AB71" s="280"/>
      <c r="AF71" s="152"/>
    </row>
    <row r="72" spans="1:32" x14ac:dyDescent="0.3">
      <c r="A72" s="368"/>
      <c r="B72" s="369"/>
      <c r="C72" s="369"/>
      <c r="D72" s="369"/>
      <c r="E72" s="369"/>
      <c r="F72" s="370"/>
      <c r="G72" s="369"/>
      <c r="H72" s="369"/>
      <c r="I72" s="2184">
        <f>I73/M73</f>
        <v>0.53333333333333333</v>
      </c>
      <c r="J72" s="2184"/>
      <c r="K72" s="2184">
        <f>K73/M73</f>
        <v>0.46666666666666667</v>
      </c>
      <c r="L72" s="208"/>
      <c r="M72" s="369"/>
      <c r="N72" s="371"/>
      <c r="O72" s="372"/>
      <c r="P72" s="371"/>
      <c r="Q72" s="371"/>
      <c r="R72" s="371"/>
      <c r="S72" s="261"/>
      <c r="T72" s="149"/>
      <c r="U72" s="150"/>
      <c r="Y72" s="152"/>
      <c r="Z72" s="280"/>
      <c r="AA72" s="567"/>
      <c r="AB72" s="566"/>
      <c r="AC72" s="245"/>
      <c r="AD72" s="245"/>
      <c r="AE72" s="245"/>
      <c r="AF72" s="567"/>
    </row>
    <row r="73" spans="1:32" x14ac:dyDescent="0.3">
      <c r="A73" s="212" t="s">
        <v>531</v>
      </c>
      <c r="B73" s="213"/>
      <c r="C73" s="213"/>
      <c r="D73" s="213"/>
      <c r="E73" s="213"/>
      <c r="F73" s="214"/>
      <c r="G73" s="213"/>
      <c r="H73" s="213"/>
      <c r="I73" s="213">
        <f>I63+I62+I61+I65+I66</f>
        <v>24</v>
      </c>
      <c r="J73" s="213"/>
      <c r="K73" s="213">
        <f>K64+K65+K66</f>
        <v>21</v>
      </c>
      <c r="L73" s="213"/>
      <c r="M73" s="213">
        <f>SUM(I73:L73)</f>
        <v>45</v>
      </c>
      <c r="N73" s="215"/>
      <c r="O73" s="216"/>
      <c r="P73" s="215"/>
      <c r="Q73" s="481">
        <f>SUM(Q61:Q72)</f>
        <v>58440</v>
      </c>
      <c r="R73" s="481"/>
      <c r="S73" s="218">
        <f>SUM(S61:S71)</f>
        <v>1</v>
      </c>
      <c r="T73" s="568">
        <f>SUM(T61:T72)</f>
        <v>58440</v>
      </c>
      <c r="U73" s="569">
        <f t="shared" ref="U73:AA73" si="14">SUM(U61:U71)</f>
        <v>27769.600000000002</v>
      </c>
      <c r="V73" s="570">
        <f t="shared" si="14"/>
        <v>0</v>
      </c>
      <c r="W73" s="570">
        <f t="shared" si="14"/>
        <v>13670.4</v>
      </c>
      <c r="X73" s="570">
        <f t="shared" si="14"/>
        <v>0</v>
      </c>
      <c r="Y73" s="571">
        <f t="shared" si="14"/>
        <v>17000</v>
      </c>
      <c r="Z73" s="572">
        <f t="shared" si="14"/>
        <v>24441.599999999999</v>
      </c>
      <c r="AA73" s="223">
        <f t="shared" si="14"/>
        <v>7168</v>
      </c>
      <c r="AB73" s="220">
        <f>SUM(AB61:AB72)</f>
        <v>21529.600000000002</v>
      </c>
      <c r="AC73" s="221">
        <f>SUM(AC61:AC72)</f>
        <v>6240</v>
      </c>
      <c r="AD73" s="221">
        <f>SUM(AD61:AD66)</f>
        <v>3840.0000000000005</v>
      </c>
      <c r="AE73" s="644"/>
      <c r="AF73" s="579"/>
    </row>
    <row r="74" spans="1:32" x14ac:dyDescent="0.3">
      <c r="A74" s="228" t="s">
        <v>532</v>
      </c>
      <c r="B74" s="229"/>
      <c r="C74" s="229"/>
      <c r="D74" s="229"/>
      <c r="E74" s="229"/>
      <c r="F74" s="230"/>
      <c r="G74" s="229"/>
      <c r="H74" s="229"/>
      <c r="I74" s="229">
        <f>I63+I62+I61+I65+I66</f>
        <v>24</v>
      </c>
      <c r="J74" s="229">
        <f>I63+I62+I61+I65</f>
        <v>20</v>
      </c>
      <c r="K74" s="229">
        <f>K64+I63+I61+K65+K66</f>
        <v>24</v>
      </c>
      <c r="L74" s="229">
        <f>K64+I63+I61+K65</f>
        <v>20</v>
      </c>
      <c r="M74" s="229">
        <f>SUM(I74:L74)</f>
        <v>88</v>
      </c>
      <c r="N74" s="231"/>
      <c r="O74" s="232"/>
      <c r="P74" s="231"/>
      <c r="Q74" s="231"/>
      <c r="R74" s="231"/>
      <c r="S74" s="233"/>
      <c r="T74" s="234"/>
      <c r="U74" s="235">
        <f>U73/T73</f>
        <v>0.47518138261464754</v>
      </c>
      <c r="V74" s="236">
        <f>V73/T73</f>
        <v>0</v>
      </c>
      <c r="W74" s="236">
        <f>W73/T73</f>
        <v>0.23392197125256672</v>
      </c>
      <c r="X74" s="236">
        <f>X73/T73</f>
        <v>0</v>
      </c>
      <c r="Y74" s="297">
        <f>Y73/T73</f>
        <v>0.29089664613278576</v>
      </c>
      <c r="Z74" s="298">
        <f>Z73/T73</f>
        <v>0.4182340862422998</v>
      </c>
      <c r="AA74" s="297">
        <f>AA73/T73</f>
        <v>0.12265571526351814</v>
      </c>
      <c r="AB74" s="486"/>
      <c r="AC74" s="487"/>
      <c r="AD74" s="487"/>
      <c r="AE74" s="487"/>
      <c r="AF74" s="242"/>
    </row>
    <row r="75" spans="1:32" x14ac:dyDescent="0.3">
      <c r="A75" s="243" t="s">
        <v>533</v>
      </c>
      <c r="B75" s="193"/>
      <c r="C75" s="193"/>
      <c r="D75" s="193"/>
      <c r="E75" s="193"/>
      <c r="F75" s="244"/>
      <c r="G75" s="193"/>
      <c r="H75" s="193"/>
      <c r="I75" s="2182">
        <f>I74/M74</f>
        <v>0.27272727272727271</v>
      </c>
      <c r="J75" s="2182">
        <f>J74/M74</f>
        <v>0.22727272727272727</v>
      </c>
      <c r="K75" s="245"/>
      <c r="L75" s="245"/>
      <c r="M75" s="193"/>
      <c r="N75" s="246"/>
      <c r="O75" s="196"/>
      <c r="P75" s="246"/>
      <c r="Q75" s="194">
        <f>U73</f>
        <v>27769.600000000002</v>
      </c>
      <c r="R75" s="288"/>
      <c r="S75" s="247">
        <f>Q75/Q80</f>
        <v>0.47518138261464754</v>
      </c>
      <c r="Y75" s="248"/>
      <c r="Z75" s="357">
        <f>I62+I63+K64+I65+K65</f>
        <v>35</v>
      </c>
      <c r="AA75" s="358">
        <f>I61</f>
        <v>2</v>
      </c>
    </row>
    <row r="76" spans="1:32" x14ac:dyDescent="0.3">
      <c r="A76" s="251" t="s">
        <v>11</v>
      </c>
      <c r="B76" s="252"/>
      <c r="C76" s="252"/>
      <c r="D76" s="252"/>
      <c r="E76" s="252"/>
      <c r="F76" s="253"/>
      <c r="G76" s="252"/>
      <c r="H76" s="252"/>
      <c r="I76" s="254"/>
      <c r="J76" s="254"/>
      <c r="K76" s="254"/>
      <c r="L76" s="254"/>
      <c r="M76" s="252"/>
      <c r="N76" s="255"/>
      <c r="O76" s="256"/>
      <c r="P76" s="255"/>
      <c r="Q76" s="257">
        <f>V73</f>
        <v>0</v>
      </c>
      <c r="R76" s="290"/>
      <c r="S76" s="256">
        <f>Q76/Q80</f>
        <v>0</v>
      </c>
      <c r="T76" s="574">
        <f>Q73/M73</f>
        <v>1298.6666666666667</v>
      </c>
      <c r="U76" s="489" t="s">
        <v>535</v>
      </c>
      <c r="Z76" s="195">
        <f>Z75/M73</f>
        <v>0.77777777777777779</v>
      </c>
      <c r="AA76" s="247">
        <f>AA75/M73</f>
        <v>4.4444444444444446E-2</v>
      </c>
    </row>
    <row r="77" spans="1:32" x14ac:dyDescent="0.3">
      <c r="A77" s="251" t="s">
        <v>536</v>
      </c>
      <c r="B77" s="252"/>
      <c r="C77" s="252"/>
      <c r="D77" s="252"/>
      <c r="E77" s="252"/>
      <c r="F77" s="253"/>
      <c r="G77" s="252"/>
      <c r="H77" s="252"/>
      <c r="I77" s="254"/>
      <c r="J77" s="254"/>
      <c r="K77" s="254"/>
      <c r="L77" s="254"/>
      <c r="M77" s="252"/>
      <c r="N77" s="255"/>
      <c r="O77" s="256"/>
      <c r="P77" s="255"/>
      <c r="Q77" s="257">
        <f>W73</f>
        <v>13670.4</v>
      </c>
      <c r="R77" s="290"/>
      <c r="S77" s="262">
        <f>Q77/Q80</f>
        <v>0.23392197125256672</v>
      </c>
      <c r="V77" s="263"/>
      <c r="X77" s="99"/>
      <c r="Z77" s="2265" t="s">
        <v>537</v>
      </c>
      <c r="AA77" s="2265"/>
    </row>
    <row r="78" spans="1:32" x14ac:dyDescent="0.3">
      <c r="A78" s="251" t="s">
        <v>529</v>
      </c>
      <c r="B78" s="252"/>
      <c r="C78" s="252"/>
      <c r="D78" s="252"/>
      <c r="E78" s="252"/>
      <c r="F78" s="253"/>
      <c r="G78" s="252"/>
      <c r="H78" s="252"/>
      <c r="I78" s="254"/>
      <c r="J78" s="254"/>
      <c r="K78" s="254"/>
      <c r="L78" s="254"/>
      <c r="M78" s="252"/>
      <c r="N78" s="255"/>
      <c r="O78" s="256"/>
      <c r="P78" s="255"/>
      <c r="Q78" s="257">
        <f>Y73</f>
        <v>17000</v>
      </c>
      <c r="R78" s="290"/>
      <c r="S78" s="262">
        <f>Q78/Q80</f>
        <v>0.29089664613278576</v>
      </c>
      <c r="V78" s="263"/>
    </row>
    <row r="79" spans="1:32" x14ac:dyDescent="0.3">
      <c r="A79" s="251" t="s">
        <v>528</v>
      </c>
      <c r="B79" s="252"/>
      <c r="C79" s="252"/>
      <c r="D79" s="252"/>
      <c r="E79" s="252"/>
      <c r="F79" s="253"/>
      <c r="G79" s="252"/>
      <c r="H79" s="252"/>
      <c r="I79" s="254"/>
      <c r="J79" s="254"/>
      <c r="K79" s="254"/>
      <c r="L79" s="254"/>
      <c r="M79" s="252"/>
      <c r="N79" s="255"/>
      <c r="O79" s="256"/>
      <c r="P79" s="255"/>
      <c r="Q79" s="257">
        <f>X73</f>
        <v>0</v>
      </c>
      <c r="R79" s="290"/>
      <c r="S79" s="262">
        <f>Q79/Q80</f>
        <v>0</v>
      </c>
    </row>
    <row r="80" spans="1:32" x14ac:dyDescent="0.3">
      <c r="A80" s="251"/>
      <c r="B80" s="252"/>
      <c r="C80" s="252"/>
      <c r="D80" s="252"/>
      <c r="E80" s="252"/>
      <c r="F80" s="253"/>
      <c r="G80" s="252"/>
      <c r="H80" s="252"/>
      <c r="I80" s="254"/>
      <c r="J80" s="254"/>
      <c r="K80" s="254"/>
      <c r="L80" s="254"/>
      <c r="M80" s="252"/>
      <c r="N80" s="255"/>
      <c r="O80" s="256"/>
      <c r="P80" s="255"/>
      <c r="Q80" s="264">
        <f>SUM(Q75:Q79)</f>
        <v>58440</v>
      </c>
      <c r="R80" s="490"/>
      <c r="S80" s="262">
        <f>SUM(S75:S79)</f>
        <v>1</v>
      </c>
    </row>
    <row r="81" spans="1:33" x14ac:dyDescent="0.3">
      <c r="B81" s="2"/>
    </row>
    <row r="82" spans="1:33" x14ac:dyDescent="0.3">
      <c r="B82" s="2"/>
      <c r="E82" s="1" t="s">
        <v>543</v>
      </c>
      <c r="F82" s="2" t="s">
        <v>677</v>
      </c>
      <c r="G82" s="1" t="s">
        <v>545</v>
      </c>
      <c r="H82" s="1"/>
      <c r="I82" s="304">
        <v>0.75</v>
      </c>
      <c r="J82" s="304"/>
    </row>
    <row r="83" spans="1:33" x14ac:dyDescent="0.3">
      <c r="B83" s="2"/>
      <c r="E83" s="1" t="s">
        <v>473</v>
      </c>
      <c r="F83" s="2" t="s">
        <v>51</v>
      </c>
      <c r="G83" s="1" t="s">
        <v>473</v>
      </c>
      <c r="H83" s="1"/>
      <c r="I83" s="1">
        <v>24</v>
      </c>
      <c r="J83" s="1"/>
    </row>
    <row r="84" spans="1:33" x14ac:dyDescent="0.3">
      <c r="B84" s="2"/>
      <c r="E84" s="1" t="s">
        <v>475</v>
      </c>
      <c r="F84" s="2" t="s">
        <v>95</v>
      </c>
      <c r="G84" s="1" t="s">
        <v>475</v>
      </c>
      <c r="H84" s="1"/>
      <c r="I84" s="95">
        <v>189</v>
      </c>
      <c r="J84" s="95"/>
    </row>
    <row r="85" spans="1:33" x14ac:dyDescent="0.3">
      <c r="B85" s="2"/>
      <c r="E85" s="1" t="s">
        <v>477</v>
      </c>
      <c r="F85" s="2" t="s">
        <v>678</v>
      </c>
      <c r="G85" s="1" t="s">
        <v>477</v>
      </c>
      <c r="H85" s="1"/>
      <c r="I85" s="95">
        <v>275320</v>
      </c>
      <c r="J85" s="95"/>
    </row>
    <row r="86" spans="1:33" x14ac:dyDescent="0.3">
      <c r="B86" s="2"/>
    </row>
    <row r="87" spans="1:33" x14ac:dyDescent="0.3">
      <c r="S87" s="98"/>
    </row>
    <row r="88" spans="1:33" ht="18" x14ac:dyDescent="0.35">
      <c r="A88" s="118" t="s">
        <v>479</v>
      </c>
      <c r="O88" s="98"/>
      <c r="P88" s="117"/>
    </row>
    <row r="89" spans="1:33" x14ac:dyDescent="0.3">
      <c r="O89" s="119"/>
      <c r="S89" s="98"/>
    </row>
    <row r="90" spans="1:33" x14ac:dyDescent="0.3">
      <c r="A90" s="2335" t="s">
        <v>480</v>
      </c>
      <c r="B90" s="2336"/>
      <c r="C90" s="2336"/>
      <c r="D90" s="2336"/>
      <c r="E90" s="2336"/>
      <c r="F90" s="2336"/>
      <c r="G90" s="2336"/>
      <c r="H90" s="2336"/>
      <c r="I90" s="2336"/>
      <c r="J90" s="2336"/>
      <c r="K90" s="2336"/>
      <c r="L90" s="2336"/>
      <c r="M90" s="2336"/>
      <c r="N90" s="2336"/>
      <c r="O90" s="2336"/>
      <c r="P90" s="2336"/>
      <c r="Q90" s="2336"/>
      <c r="R90" s="2336"/>
      <c r="S90" s="2337"/>
      <c r="T90" s="2374" t="s">
        <v>584</v>
      </c>
      <c r="U90" s="2375"/>
      <c r="V90" s="2375"/>
      <c r="W90" s="2375"/>
      <c r="X90" s="2375"/>
      <c r="Y90" s="2375"/>
      <c r="Z90" s="2375"/>
      <c r="AA90" s="2375"/>
      <c r="AB90" s="2375"/>
      <c r="AC90" s="2375"/>
      <c r="AD90" s="2375"/>
      <c r="AE90" s="2375"/>
      <c r="AF90" s="2376"/>
    </row>
    <row r="91" spans="1:33" ht="15.6" x14ac:dyDescent="0.3">
      <c r="A91" s="2256" t="s">
        <v>482</v>
      </c>
      <c r="B91" s="2258" t="s">
        <v>483</v>
      </c>
      <c r="C91" s="2258" t="s">
        <v>484</v>
      </c>
      <c r="D91" s="2258" t="s">
        <v>485</v>
      </c>
      <c r="E91" s="2258" t="s">
        <v>486</v>
      </c>
      <c r="F91" s="2260" t="s">
        <v>487</v>
      </c>
      <c r="G91" s="2258" t="s">
        <v>488</v>
      </c>
      <c r="H91" s="2258" t="s">
        <v>489</v>
      </c>
      <c r="I91" s="2240" t="s">
        <v>490</v>
      </c>
      <c r="J91" s="2240"/>
      <c r="K91" s="2240"/>
      <c r="L91" s="2240"/>
      <c r="M91" s="305" t="s">
        <v>491</v>
      </c>
      <c r="N91" s="306" t="s">
        <v>492</v>
      </c>
      <c r="O91" s="307" t="s">
        <v>493</v>
      </c>
      <c r="P91" s="306" t="s">
        <v>492</v>
      </c>
      <c r="Q91" s="306" t="s">
        <v>494</v>
      </c>
      <c r="R91" s="512" t="s">
        <v>585</v>
      </c>
      <c r="S91" s="2343" t="s">
        <v>495</v>
      </c>
      <c r="T91" s="513" t="s">
        <v>496</v>
      </c>
      <c r="U91" s="2345" t="s">
        <v>497</v>
      </c>
      <c r="V91" s="2346"/>
      <c r="W91" s="2346"/>
      <c r="X91" s="2346"/>
      <c r="Y91" s="2347"/>
      <c r="Z91" s="2351" t="s">
        <v>498</v>
      </c>
      <c r="AA91" s="2352"/>
      <c r="AB91" s="2355"/>
      <c r="AC91" s="2355"/>
      <c r="AD91" s="2355"/>
      <c r="AE91" s="2355"/>
      <c r="AF91" s="2352"/>
    </row>
    <row r="92" spans="1:33" ht="18" x14ac:dyDescent="0.35">
      <c r="A92" s="2257"/>
      <c r="B92" s="2259"/>
      <c r="C92" s="2259"/>
      <c r="D92" s="2259"/>
      <c r="E92" s="2259"/>
      <c r="F92" s="2261"/>
      <c r="G92" s="2259"/>
      <c r="H92" s="2259"/>
      <c r="I92" s="310" t="s">
        <v>500</v>
      </c>
      <c r="J92" s="310" t="s">
        <v>501</v>
      </c>
      <c r="K92" s="310" t="s">
        <v>502</v>
      </c>
      <c r="L92" s="310" t="s">
        <v>503</v>
      </c>
      <c r="M92" s="311" t="s">
        <v>504</v>
      </c>
      <c r="N92" s="312" t="s">
        <v>505</v>
      </c>
      <c r="O92" s="313" t="s">
        <v>506</v>
      </c>
      <c r="P92" s="312" t="s">
        <v>507</v>
      </c>
      <c r="Q92" s="312" t="s">
        <v>507</v>
      </c>
      <c r="R92" s="514"/>
      <c r="S92" s="2344"/>
      <c r="T92" s="515" t="s">
        <v>508</v>
      </c>
      <c r="U92" s="2348"/>
      <c r="V92" s="2349"/>
      <c r="W92" s="2349"/>
      <c r="X92" s="2349"/>
      <c r="Y92" s="2350"/>
      <c r="Z92" s="2353"/>
      <c r="AA92" s="2354"/>
      <c r="AB92" s="2356"/>
      <c r="AC92" s="2356"/>
      <c r="AD92" s="2356"/>
      <c r="AE92" s="2356"/>
      <c r="AF92" s="2354"/>
      <c r="AG92" s="138"/>
    </row>
    <row r="93" spans="1:33" ht="18" x14ac:dyDescent="0.35">
      <c r="A93" s="2262" t="s">
        <v>550</v>
      </c>
      <c r="B93" s="2263"/>
      <c r="C93" s="2263"/>
      <c r="D93" s="2263"/>
      <c r="E93" s="2263"/>
      <c r="F93" s="2263"/>
      <c r="G93" s="2263"/>
      <c r="H93" s="2263"/>
      <c r="I93" s="2263"/>
      <c r="J93" s="2263"/>
      <c r="K93" s="2263"/>
      <c r="L93" s="2263"/>
      <c r="M93" s="2263"/>
      <c r="N93" s="2263"/>
      <c r="O93" s="2263"/>
      <c r="P93" s="2263"/>
      <c r="Q93" s="2263"/>
      <c r="R93" s="2263"/>
      <c r="S93" s="2264"/>
      <c r="T93" s="559"/>
      <c r="U93" s="560" t="s">
        <v>510</v>
      </c>
      <c r="V93" s="561" t="s">
        <v>11</v>
      </c>
      <c r="W93" s="561" t="s">
        <v>511</v>
      </c>
      <c r="X93" s="561" t="s">
        <v>512</v>
      </c>
      <c r="Y93" s="562" t="s">
        <v>513</v>
      </c>
      <c r="Z93" s="563" t="s">
        <v>514</v>
      </c>
      <c r="AA93" s="562" t="s">
        <v>515</v>
      </c>
      <c r="AB93" s="563" t="s">
        <v>85</v>
      </c>
      <c r="AC93" s="561" t="s">
        <v>86</v>
      </c>
      <c r="AD93" s="561" t="s">
        <v>19</v>
      </c>
      <c r="AE93" s="561" t="s">
        <v>5</v>
      </c>
      <c r="AF93" s="562" t="s">
        <v>72</v>
      </c>
    </row>
    <row r="94" spans="1:33" x14ac:dyDescent="0.3">
      <c r="A94" s="153"/>
      <c r="B94" s="462"/>
      <c r="C94" s="462"/>
      <c r="D94" s="462"/>
      <c r="E94" s="462"/>
      <c r="F94" s="463"/>
      <c r="G94" s="462"/>
      <c r="H94" s="462"/>
      <c r="I94" s="464"/>
      <c r="J94" s="465"/>
      <c r="K94" s="465"/>
      <c r="L94" s="466"/>
      <c r="M94" s="467"/>
      <c r="N94" s="468"/>
      <c r="O94" s="469"/>
      <c r="P94" s="468"/>
      <c r="Q94" s="468"/>
      <c r="R94" s="470"/>
      <c r="S94" s="471"/>
      <c r="T94" s="149"/>
      <c r="U94" s="150"/>
      <c r="Y94" s="152"/>
      <c r="Z94" s="280"/>
      <c r="AA94" s="152"/>
      <c r="AB94" s="280"/>
      <c r="AF94" s="152"/>
    </row>
    <row r="95" spans="1:33" x14ac:dyDescent="0.3">
      <c r="A95" s="156" t="s">
        <v>676</v>
      </c>
      <c r="B95" s="157" t="s">
        <v>87</v>
      </c>
      <c r="C95" s="157" t="s">
        <v>517</v>
      </c>
      <c r="D95" s="157" t="s">
        <v>88</v>
      </c>
      <c r="E95" s="157" t="s">
        <v>518</v>
      </c>
      <c r="F95" s="158" t="s">
        <v>588</v>
      </c>
      <c r="G95" s="157">
        <v>2</v>
      </c>
      <c r="H95" s="157" t="s">
        <v>24</v>
      </c>
      <c r="I95" s="159">
        <v>2</v>
      </c>
      <c r="J95" s="161"/>
      <c r="K95" s="161"/>
      <c r="L95" s="2209"/>
      <c r="M95" s="163">
        <v>1</v>
      </c>
      <c r="N95" s="164">
        <v>4480</v>
      </c>
      <c r="O95" s="165">
        <v>0.2</v>
      </c>
      <c r="P95" s="166">
        <f>N95*(1-O95)</f>
        <v>3584</v>
      </c>
      <c r="Q95" s="166">
        <f t="shared" ref="Q95:Q99" si="15">P95*M95*G95</f>
        <v>7168</v>
      </c>
      <c r="R95" s="206" t="e">
        <f>(Q95+#REF!+Q96+#REF!)/E72*1000</f>
        <v>#REF!</v>
      </c>
      <c r="S95" s="318">
        <f>Q95/$Q$103</f>
        <v>0.14721829713121487</v>
      </c>
      <c r="T95" s="168">
        <f>Q95*4</f>
        <v>28672</v>
      </c>
      <c r="U95" s="150">
        <f t="shared" ref="U95:U99" si="16">T95</f>
        <v>28672</v>
      </c>
      <c r="V95" s="169"/>
      <c r="W95" s="169"/>
      <c r="X95" s="169"/>
      <c r="Y95" s="171"/>
      <c r="Z95" s="282"/>
      <c r="AA95" s="171">
        <f>T95</f>
        <v>28672</v>
      </c>
      <c r="AB95" s="282">
        <f>T95</f>
        <v>28672</v>
      </c>
      <c r="AF95" s="152"/>
    </row>
    <row r="96" spans="1:33" x14ac:dyDescent="0.3">
      <c r="A96" s="156" t="s">
        <v>676</v>
      </c>
      <c r="B96" s="157" t="s">
        <v>87</v>
      </c>
      <c r="C96" s="157" t="s">
        <v>517</v>
      </c>
      <c r="D96" s="157" t="s">
        <v>89</v>
      </c>
      <c r="E96" s="157" t="s">
        <v>520</v>
      </c>
      <c r="F96" s="158" t="s">
        <v>519</v>
      </c>
      <c r="G96" s="157">
        <v>12</v>
      </c>
      <c r="H96" s="157" t="s">
        <v>24</v>
      </c>
      <c r="I96" s="175">
        <v>12</v>
      </c>
      <c r="J96" s="176"/>
      <c r="K96" s="179"/>
      <c r="L96" s="180"/>
      <c r="M96" s="163">
        <v>1</v>
      </c>
      <c r="N96" s="166">
        <v>1068</v>
      </c>
      <c r="O96" s="173">
        <v>0.2</v>
      </c>
      <c r="P96" s="166">
        <f t="shared" ref="P96:P99" si="17">N96*(1-O96)</f>
        <v>854.40000000000009</v>
      </c>
      <c r="Q96" s="166">
        <f t="shared" si="15"/>
        <v>10252.800000000001</v>
      </c>
      <c r="R96" s="206" t="e">
        <f>(Q96+#REF!)/E73*1000</f>
        <v>#REF!</v>
      </c>
      <c r="S96" s="320">
        <f>Q96/$Q$103</f>
        <v>0.21057474286089842</v>
      </c>
      <c r="T96" s="168">
        <f>Q96*4</f>
        <v>41011.200000000004</v>
      </c>
      <c r="U96" s="150">
        <f t="shared" si="16"/>
        <v>41011.200000000004</v>
      </c>
      <c r="W96" s="169"/>
      <c r="Y96" s="152"/>
      <c r="Z96" s="283">
        <f>T96</f>
        <v>41011.200000000004</v>
      </c>
      <c r="AA96" s="171"/>
      <c r="AB96" s="282">
        <f>T96</f>
        <v>41011.200000000004</v>
      </c>
      <c r="AF96" s="152"/>
    </row>
    <row r="97" spans="1:32" x14ac:dyDescent="0.3">
      <c r="A97" s="156" t="s">
        <v>676</v>
      </c>
      <c r="B97" s="157" t="s">
        <v>87</v>
      </c>
      <c r="C97" s="157" t="s">
        <v>517</v>
      </c>
      <c r="D97" s="157" t="s">
        <v>26</v>
      </c>
      <c r="E97" s="157" t="s">
        <v>520</v>
      </c>
      <c r="F97" s="158" t="s">
        <v>43</v>
      </c>
      <c r="G97" s="157">
        <v>2</v>
      </c>
      <c r="H97" s="157" t="s">
        <v>24</v>
      </c>
      <c r="I97" s="182">
        <v>2</v>
      </c>
      <c r="J97" s="183"/>
      <c r="K97" s="183"/>
      <c r="L97" s="2239"/>
      <c r="M97" s="163">
        <v>1</v>
      </c>
      <c r="N97" s="166">
        <v>4068</v>
      </c>
      <c r="O97" s="173">
        <v>0.2</v>
      </c>
      <c r="P97" s="166">
        <f t="shared" si="17"/>
        <v>3254.4</v>
      </c>
      <c r="Q97" s="166">
        <f t="shared" si="15"/>
        <v>6508.8</v>
      </c>
      <c r="R97" s="206" t="e">
        <f>(Q97+#REF!+#REF!)/E73*1000</f>
        <v>#REF!</v>
      </c>
      <c r="S97" s="320">
        <f>Q97/$Q$103</f>
        <v>0.1336794715914692</v>
      </c>
      <c r="T97" s="168">
        <f>Q97*4</f>
        <v>26035.200000000001</v>
      </c>
      <c r="U97" s="150">
        <f t="shared" si="16"/>
        <v>26035.200000000001</v>
      </c>
      <c r="Y97" s="152"/>
      <c r="Z97" s="282">
        <f>T97</f>
        <v>26035.200000000001</v>
      </c>
      <c r="AA97" s="171"/>
      <c r="AB97" s="282">
        <f>T97</f>
        <v>26035.200000000001</v>
      </c>
      <c r="AF97" s="152"/>
    </row>
    <row r="98" spans="1:32" x14ac:dyDescent="0.3">
      <c r="A98" s="156" t="s">
        <v>676</v>
      </c>
      <c r="B98" s="157" t="s">
        <v>90</v>
      </c>
      <c r="C98" s="157" t="s">
        <v>517</v>
      </c>
      <c r="D98" s="157" t="s">
        <v>89</v>
      </c>
      <c r="E98" s="157" t="s">
        <v>520</v>
      </c>
      <c r="F98" s="158" t="s">
        <v>519</v>
      </c>
      <c r="G98" s="157">
        <v>12</v>
      </c>
      <c r="H98" s="157" t="s">
        <v>24</v>
      </c>
      <c r="I98" s="474"/>
      <c r="J98" s="1"/>
      <c r="K98" s="176">
        <v>12</v>
      </c>
      <c r="L98" s="177"/>
      <c r="M98" s="163">
        <v>1</v>
      </c>
      <c r="N98" s="166">
        <v>600</v>
      </c>
      <c r="O98" s="173">
        <v>0.2</v>
      </c>
      <c r="P98" s="166">
        <f t="shared" si="17"/>
        <v>480</v>
      </c>
      <c r="Q98" s="166">
        <f t="shared" si="15"/>
        <v>5760</v>
      </c>
      <c r="R98" s="206" t="e">
        <f>(Q98+#REF!)/E75*1000</f>
        <v>#REF!</v>
      </c>
      <c r="S98" s="320">
        <f>Q98/$Q$103</f>
        <v>0.11830041733758337</v>
      </c>
      <c r="T98" s="168">
        <f>Q98*4</f>
        <v>23040</v>
      </c>
      <c r="U98" s="150">
        <f t="shared" si="16"/>
        <v>23040</v>
      </c>
      <c r="W98" s="169"/>
      <c r="Y98" s="152"/>
      <c r="Z98" s="283">
        <f>T98</f>
        <v>23040</v>
      </c>
      <c r="AA98" s="171"/>
      <c r="AB98" s="280"/>
      <c r="AC98" s="169">
        <f>T98</f>
        <v>23040</v>
      </c>
      <c r="AF98" s="152"/>
    </row>
    <row r="99" spans="1:32" x14ac:dyDescent="0.3">
      <c r="A99" s="156" t="s">
        <v>676</v>
      </c>
      <c r="B99" s="157" t="s">
        <v>55</v>
      </c>
      <c r="C99" s="157" t="s">
        <v>517</v>
      </c>
      <c r="D99" s="157" t="s">
        <v>91</v>
      </c>
      <c r="E99" s="157" t="s">
        <v>518</v>
      </c>
      <c r="F99" s="158" t="s">
        <v>588</v>
      </c>
      <c r="G99" s="157">
        <v>1</v>
      </c>
      <c r="H99" s="157" t="s">
        <v>24</v>
      </c>
      <c r="I99" s="182">
        <v>1</v>
      </c>
      <c r="J99" s="183"/>
      <c r="K99" s="183"/>
      <c r="L99" s="2239"/>
      <c r="M99" s="163">
        <v>1</v>
      </c>
      <c r="N99" s="473">
        <v>6250</v>
      </c>
      <c r="O99" s="165">
        <v>0.2</v>
      </c>
      <c r="P99" s="476">
        <f t="shared" si="17"/>
        <v>5000</v>
      </c>
      <c r="Q99" s="473">
        <f t="shared" si="15"/>
        <v>5000</v>
      </c>
      <c r="R99" s="9"/>
      <c r="S99" s="639">
        <f>Q99/$Q$103</f>
        <v>0.10269133449443001</v>
      </c>
      <c r="T99" s="478">
        <f>Q99*2</f>
        <v>10000</v>
      </c>
      <c r="U99" s="565">
        <f t="shared" si="16"/>
        <v>10000</v>
      </c>
      <c r="Y99" s="152"/>
      <c r="Z99" s="282"/>
      <c r="AA99" s="171">
        <f>T99</f>
        <v>10000</v>
      </c>
      <c r="AB99" s="280"/>
      <c r="AD99" s="169">
        <f>T99</f>
        <v>10000</v>
      </c>
      <c r="AF99" s="152"/>
    </row>
    <row r="100" spans="1:32" x14ac:dyDescent="0.3">
      <c r="A100" s="189" t="s">
        <v>676</v>
      </c>
      <c r="B100" s="190" t="s">
        <v>528</v>
      </c>
      <c r="C100" s="190"/>
      <c r="D100" s="190"/>
      <c r="E100" s="190"/>
      <c r="F100" s="191"/>
      <c r="G100" s="190"/>
      <c r="H100" s="190"/>
      <c r="I100" s="192"/>
      <c r="J100" s="193"/>
      <c r="K100" s="193"/>
      <c r="L100" s="193"/>
      <c r="M100" s="190"/>
      <c r="N100" s="194"/>
      <c r="O100" s="195"/>
      <c r="P100" s="186"/>
      <c r="Q100" s="166"/>
      <c r="R100" s="288"/>
      <c r="S100" s="323"/>
      <c r="T100" s="168">
        <f t="shared" ref="T100" si="18">Q100*2</f>
        <v>0</v>
      </c>
      <c r="U100" s="150"/>
      <c r="X100" s="169">
        <f>T100</f>
        <v>0</v>
      </c>
      <c r="Y100" s="152"/>
      <c r="Z100" s="280"/>
      <c r="AA100" s="171"/>
      <c r="AB100" s="280"/>
      <c r="AF100" s="152"/>
    </row>
    <row r="101" spans="1:32" x14ac:dyDescent="0.3">
      <c r="A101" s="365" t="s">
        <v>676</v>
      </c>
      <c r="B101" s="108" t="s">
        <v>529</v>
      </c>
      <c r="C101" s="108"/>
      <c r="D101" s="108" t="s">
        <v>530</v>
      </c>
      <c r="E101" s="108"/>
      <c r="F101" s="479"/>
      <c r="G101" s="108"/>
      <c r="H101" s="108"/>
      <c r="I101" s="254"/>
      <c r="J101" s="254"/>
      <c r="K101" s="254"/>
      <c r="L101" s="254"/>
      <c r="M101" s="108"/>
      <c r="N101" s="257"/>
      <c r="O101" s="109"/>
      <c r="P101" s="290"/>
      <c r="Q101" s="257">
        <v>14000</v>
      </c>
      <c r="R101" s="480"/>
      <c r="S101" s="367">
        <f>Q101/Q103</f>
        <v>0.28753573658440401</v>
      </c>
      <c r="T101" s="168">
        <f>Q101*4</f>
        <v>56000</v>
      </c>
      <c r="U101" s="150"/>
      <c r="Y101" s="171">
        <f>T101</f>
        <v>56000</v>
      </c>
      <c r="Z101" s="280"/>
      <c r="AA101" s="152"/>
      <c r="AB101" s="280"/>
      <c r="AF101" s="152"/>
    </row>
    <row r="102" spans="1:32" x14ac:dyDescent="0.3">
      <c r="A102" s="368"/>
      <c r="B102" s="369"/>
      <c r="C102" s="369"/>
      <c r="D102" s="369"/>
      <c r="E102" s="369"/>
      <c r="F102" s="370"/>
      <c r="G102" s="369"/>
      <c r="H102" s="369"/>
      <c r="I102" s="2184">
        <f>I103/M103</f>
        <v>0.58620689655172409</v>
      </c>
      <c r="J102" s="2184"/>
      <c r="K102" s="2184">
        <f>K103/M103</f>
        <v>0.41379310344827586</v>
      </c>
      <c r="L102" s="208"/>
      <c r="M102" s="369"/>
      <c r="N102" s="371"/>
      <c r="O102" s="372"/>
      <c r="P102" s="371"/>
      <c r="Q102" s="371"/>
      <c r="R102" s="371"/>
      <c r="S102" s="261"/>
      <c r="T102" s="645"/>
      <c r="U102" s="578"/>
      <c r="V102" s="245"/>
      <c r="W102" s="245"/>
      <c r="X102" s="245"/>
      <c r="Y102" s="567"/>
      <c r="Z102" s="566"/>
      <c r="AA102" s="567"/>
      <c r="AB102" s="566"/>
      <c r="AC102" s="245"/>
      <c r="AD102" s="245"/>
      <c r="AE102" s="245"/>
      <c r="AF102" s="567"/>
    </row>
    <row r="103" spans="1:32" x14ac:dyDescent="0.3">
      <c r="A103" s="326" t="s">
        <v>531</v>
      </c>
      <c r="B103" s="327"/>
      <c r="C103" s="327"/>
      <c r="D103" s="327"/>
      <c r="E103" s="327"/>
      <c r="F103" s="328"/>
      <c r="G103" s="327"/>
      <c r="H103" s="327"/>
      <c r="I103" s="327">
        <f>I97+I96+I95+I99</f>
        <v>17</v>
      </c>
      <c r="J103" s="327"/>
      <c r="K103" s="327">
        <f>K98</f>
        <v>12</v>
      </c>
      <c r="L103" s="327"/>
      <c r="M103" s="327">
        <f>SUM(I103:L103)</f>
        <v>29</v>
      </c>
      <c r="N103" s="329"/>
      <c r="O103" s="330"/>
      <c r="P103" s="329"/>
      <c r="Q103" s="331">
        <f>SUM(Q95:Q102)</f>
        <v>48689.600000000006</v>
      </c>
      <c r="R103" s="331"/>
      <c r="S103" s="332">
        <f>SUM(S95:S101)</f>
        <v>0.99999999999999989</v>
      </c>
      <c r="T103" s="646">
        <f>SUM(T95:T102)</f>
        <v>184758.40000000002</v>
      </c>
      <c r="U103" s="588">
        <f t="shared" ref="U103:AA103" si="19">SUM(U95:U101)</f>
        <v>128758.40000000001</v>
      </c>
      <c r="V103" s="589">
        <f t="shared" si="19"/>
        <v>0</v>
      </c>
      <c r="W103" s="589">
        <f t="shared" si="19"/>
        <v>0</v>
      </c>
      <c r="X103" s="589">
        <f t="shared" si="19"/>
        <v>0</v>
      </c>
      <c r="Y103" s="647">
        <f t="shared" si="19"/>
        <v>56000</v>
      </c>
      <c r="Z103" s="648">
        <f t="shared" si="19"/>
        <v>90086.400000000009</v>
      </c>
      <c r="AA103" s="647">
        <f t="shared" si="19"/>
        <v>38672</v>
      </c>
      <c r="AB103" s="588">
        <f>SUM(AB95:AB102)</f>
        <v>95718.400000000009</v>
      </c>
      <c r="AC103" s="589">
        <f>SUM(AC95:AC102)</f>
        <v>23040</v>
      </c>
      <c r="AD103" s="589">
        <f>SUM(AD95:AD102)</f>
        <v>10000</v>
      </c>
      <c r="AE103" s="649"/>
      <c r="AF103" s="590"/>
    </row>
    <row r="104" spans="1:32" x14ac:dyDescent="0.3">
      <c r="A104" s="342" t="s">
        <v>532</v>
      </c>
      <c r="B104" s="343"/>
      <c r="C104" s="343"/>
      <c r="D104" s="343"/>
      <c r="E104" s="343"/>
      <c r="F104" s="344"/>
      <c r="G104" s="343"/>
      <c r="H104" s="343"/>
      <c r="I104" s="343">
        <f>I97+I96+I95+I99</f>
        <v>17</v>
      </c>
      <c r="J104" s="343">
        <f>I97+I96+I95+I99</f>
        <v>17</v>
      </c>
      <c r="K104" s="343">
        <f>K98+I97+I95+I99</f>
        <v>17</v>
      </c>
      <c r="L104" s="343">
        <f>K98+I97+I95+I99</f>
        <v>17</v>
      </c>
      <c r="M104" s="343">
        <f>SUM(I104:L104)</f>
        <v>68</v>
      </c>
      <c r="N104" s="345"/>
      <c r="O104" s="346"/>
      <c r="P104" s="345"/>
      <c r="Q104" s="345"/>
      <c r="R104" s="345"/>
      <c r="S104" s="347"/>
      <c r="T104" s="348"/>
      <c r="U104" s="349">
        <f>U103/T103</f>
        <v>0.6969014669968997</v>
      </c>
      <c r="V104" s="350">
        <f>V103/T103</f>
        <v>0</v>
      </c>
      <c r="W104" s="350">
        <f>W103/T103</f>
        <v>0</v>
      </c>
      <c r="X104" s="350">
        <f>X103/T103</f>
        <v>0</v>
      </c>
      <c r="Y104" s="352">
        <f>Y103/T103</f>
        <v>0.30309853300310025</v>
      </c>
      <c r="Z104" s="351">
        <f>Z103/T103</f>
        <v>0.4875902800630445</v>
      </c>
      <c r="AA104" s="352">
        <f>AA103/T103</f>
        <v>0.20931118693385523</v>
      </c>
      <c r="AB104" s="591"/>
      <c r="AC104" s="524"/>
      <c r="AD104" s="524"/>
      <c r="AE104" s="524"/>
      <c r="AF104" s="356"/>
    </row>
    <row r="105" spans="1:32" x14ac:dyDescent="0.3">
      <c r="A105" s="243" t="s">
        <v>533</v>
      </c>
      <c r="B105" s="193"/>
      <c r="C105" s="193"/>
      <c r="D105" s="193"/>
      <c r="E105" s="193"/>
      <c r="F105" s="244"/>
      <c r="G105" s="193"/>
      <c r="H105" s="193"/>
      <c r="I105" s="2187">
        <v>0.25</v>
      </c>
      <c r="J105" s="245"/>
      <c r="K105" s="245"/>
      <c r="L105" s="245"/>
      <c r="M105" s="193"/>
      <c r="N105" s="246"/>
      <c r="O105" s="196"/>
      <c r="P105" s="246"/>
      <c r="Q105" s="194">
        <f>U103/4</f>
        <v>32189.600000000002</v>
      </c>
      <c r="R105" s="288"/>
      <c r="S105" s="247">
        <f>Q105/Q110</f>
        <v>0.6969014669968997</v>
      </c>
      <c r="Y105" s="248"/>
      <c r="Z105" s="357">
        <f>I96+I97+K98</f>
        <v>26</v>
      </c>
      <c r="AA105" s="358">
        <f>I95+I99</f>
        <v>3</v>
      </c>
    </row>
    <row r="106" spans="1:32" x14ac:dyDescent="0.3">
      <c r="A106" s="251" t="s">
        <v>11</v>
      </c>
      <c r="B106" s="252"/>
      <c r="C106" s="252"/>
      <c r="D106" s="252"/>
      <c r="E106" s="252"/>
      <c r="F106" s="253"/>
      <c r="G106" s="252"/>
      <c r="H106" s="252"/>
      <c r="I106" s="254"/>
      <c r="J106" s="254"/>
      <c r="K106" s="254"/>
      <c r="L106" s="254"/>
      <c r="M106" s="252"/>
      <c r="N106" s="255"/>
      <c r="O106" s="256"/>
      <c r="P106" s="255"/>
      <c r="Q106" s="257">
        <f>V103/4</f>
        <v>0</v>
      </c>
      <c r="R106" s="290"/>
      <c r="S106" s="256">
        <f>Q106/Q110</f>
        <v>0</v>
      </c>
      <c r="T106" s="525">
        <f>Q103/M103</f>
        <v>1678.9517241379313</v>
      </c>
      <c r="U106" s="526" t="s">
        <v>535</v>
      </c>
      <c r="Y106" s="169"/>
      <c r="Z106" s="195">
        <f>Z105/M103</f>
        <v>0.89655172413793105</v>
      </c>
      <c r="AA106" s="247">
        <f>AA105/M103</f>
        <v>0.10344827586206896</v>
      </c>
    </row>
    <row r="107" spans="1:32" x14ac:dyDescent="0.3">
      <c r="A107" s="251" t="s">
        <v>536</v>
      </c>
      <c r="B107" s="252"/>
      <c r="C107" s="252"/>
      <c r="D107" s="252"/>
      <c r="E107" s="252"/>
      <c r="F107" s="253"/>
      <c r="G107" s="252"/>
      <c r="H107" s="252"/>
      <c r="I107" s="254"/>
      <c r="J107" s="254"/>
      <c r="K107" s="254"/>
      <c r="L107" s="254"/>
      <c r="M107" s="252"/>
      <c r="N107" s="255"/>
      <c r="O107" s="256"/>
      <c r="P107" s="255"/>
      <c r="Q107" s="257">
        <f>W103/4</f>
        <v>0</v>
      </c>
      <c r="R107" s="290"/>
      <c r="S107" s="262">
        <f>Q107/Q110</f>
        <v>0</v>
      </c>
      <c r="V107" s="263"/>
      <c r="X107" s="99"/>
      <c r="Z107" s="2265" t="s">
        <v>537</v>
      </c>
      <c r="AA107" s="2265"/>
    </row>
    <row r="108" spans="1:32" x14ac:dyDescent="0.3">
      <c r="A108" s="251" t="s">
        <v>529</v>
      </c>
      <c r="B108" s="252"/>
      <c r="C108" s="252"/>
      <c r="D108" s="252"/>
      <c r="E108" s="252"/>
      <c r="F108" s="253"/>
      <c r="G108" s="252"/>
      <c r="H108" s="252"/>
      <c r="I108" s="254"/>
      <c r="J108" s="254"/>
      <c r="K108" s="254"/>
      <c r="L108" s="254"/>
      <c r="M108" s="252"/>
      <c r="N108" s="255"/>
      <c r="O108" s="256"/>
      <c r="P108" s="255"/>
      <c r="Q108" s="257">
        <f>Y103/4</f>
        <v>14000</v>
      </c>
      <c r="R108" s="290"/>
      <c r="S108" s="262">
        <f>Q108/Q110</f>
        <v>0.30309853300310025</v>
      </c>
      <c r="V108" s="263"/>
    </row>
    <row r="109" spans="1:32" x14ac:dyDescent="0.3">
      <c r="A109" s="251" t="s">
        <v>528</v>
      </c>
      <c r="B109" s="252"/>
      <c r="C109" s="252"/>
      <c r="D109" s="252"/>
      <c r="E109" s="252"/>
      <c r="F109" s="253"/>
      <c r="G109" s="252"/>
      <c r="H109" s="252"/>
      <c r="I109" s="254"/>
      <c r="J109" s="254"/>
      <c r="K109" s="254"/>
      <c r="L109" s="254"/>
      <c r="M109" s="252"/>
      <c r="N109" s="255"/>
      <c r="O109" s="256"/>
      <c r="P109" s="255"/>
      <c r="Q109" s="257">
        <f>X103/4</f>
        <v>0</v>
      </c>
      <c r="R109" s="290"/>
      <c r="S109" s="262">
        <f>Q109/Q110</f>
        <v>0</v>
      </c>
    </row>
    <row r="110" spans="1:32" x14ac:dyDescent="0.3">
      <c r="A110" s="251"/>
      <c r="B110" s="252"/>
      <c r="C110" s="252"/>
      <c r="D110" s="252"/>
      <c r="E110" s="252"/>
      <c r="F110" s="253"/>
      <c r="G110" s="252"/>
      <c r="H110" s="252"/>
      <c r="I110" s="254"/>
      <c r="J110" s="254"/>
      <c r="K110" s="254"/>
      <c r="L110" s="254"/>
      <c r="M110" s="252"/>
      <c r="N110" s="255"/>
      <c r="O110" s="256"/>
      <c r="P110" s="255"/>
      <c r="Q110" s="264">
        <f>SUM(Q105:Q109)</f>
        <v>46189.600000000006</v>
      </c>
      <c r="R110" s="490"/>
      <c r="S110" s="262">
        <f>SUM(S105:S109)</f>
        <v>1</v>
      </c>
    </row>
    <row r="111" spans="1:32" x14ac:dyDescent="0.3">
      <c r="A111" s="188"/>
      <c r="N111" s="5"/>
      <c r="O111" s="6"/>
      <c r="P111" s="5"/>
      <c r="Q111" s="7"/>
      <c r="R111" s="7"/>
      <c r="S111" s="8"/>
      <c r="T111" s="5"/>
    </row>
    <row r="112" spans="1:32" x14ac:dyDescent="0.3">
      <c r="A112" s="188"/>
      <c r="N112" s="5"/>
      <c r="O112" s="6"/>
      <c r="P112" s="5"/>
      <c r="Q112" s="7"/>
      <c r="R112" s="7"/>
      <c r="S112" s="8"/>
      <c r="T112" s="5"/>
    </row>
    <row r="113" spans="1:33" ht="18" x14ac:dyDescent="0.35">
      <c r="A113" s="118" t="s">
        <v>554</v>
      </c>
      <c r="O113" s="98"/>
      <c r="P113" s="117"/>
    </row>
    <row r="114" spans="1:33" x14ac:dyDescent="0.3">
      <c r="O114" s="119"/>
      <c r="S114" s="98"/>
    </row>
    <row r="115" spans="1:33" x14ac:dyDescent="0.3">
      <c r="A115" s="2335" t="s">
        <v>480</v>
      </c>
      <c r="B115" s="2336"/>
      <c r="C115" s="2336"/>
      <c r="D115" s="2336"/>
      <c r="E115" s="2336"/>
      <c r="F115" s="2336"/>
      <c r="G115" s="2336"/>
      <c r="H115" s="2336"/>
      <c r="I115" s="2336"/>
      <c r="J115" s="2336"/>
      <c r="K115" s="2336"/>
      <c r="L115" s="2336"/>
      <c r="M115" s="2336"/>
      <c r="N115" s="2336"/>
      <c r="O115" s="2336"/>
      <c r="P115" s="2336"/>
      <c r="Q115" s="2336"/>
      <c r="R115" s="2336"/>
      <c r="S115" s="2337"/>
      <c r="T115" s="2374" t="s">
        <v>584</v>
      </c>
      <c r="U115" s="2375"/>
      <c r="V115" s="2375"/>
      <c r="W115" s="2375"/>
      <c r="X115" s="2375"/>
      <c r="Y115" s="2375"/>
      <c r="Z115" s="2375"/>
      <c r="AA115" s="2375"/>
      <c r="AB115" s="2375"/>
      <c r="AC115" s="2375"/>
      <c r="AD115" s="2375"/>
      <c r="AE115" s="2375"/>
      <c r="AF115" s="2376"/>
    </row>
    <row r="116" spans="1:33" ht="15.6" x14ac:dyDescent="0.3">
      <c r="A116" s="2256" t="s">
        <v>482</v>
      </c>
      <c r="B116" s="2258" t="s">
        <v>483</v>
      </c>
      <c r="C116" s="2258" t="s">
        <v>484</v>
      </c>
      <c r="D116" s="2258" t="s">
        <v>485</v>
      </c>
      <c r="E116" s="2258" t="s">
        <v>486</v>
      </c>
      <c r="F116" s="2260" t="s">
        <v>487</v>
      </c>
      <c r="G116" s="2258" t="s">
        <v>488</v>
      </c>
      <c r="H116" s="2258" t="s">
        <v>489</v>
      </c>
      <c r="I116" s="2240" t="s">
        <v>490</v>
      </c>
      <c r="J116" s="2240"/>
      <c r="K116" s="2240"/>
      <c r="L116" s="2240"/>
      <c r="M116" s="305" t="s">
        <v>491</v>
      </c>
      <c r="N116" s="306" t="s">
        <v>492</v>
      </c>
      <c r="O116" s="307" t="s">
        <v>493</v>
      </c>
      <c r="P116" s="306" t="s">
        <v>492</v>
      </c>
      <c r="Q116" s="306" t="s">
        <v>494</v>
      </c>
      <c r="R116" s="512" t="s">
        <v>585</v>
      </c>
      <c r="S116" s="2343" t="s">
        <v>495</v>
      </c>
      <c r="T116" s="513" t="s">
        <v>496</v>
      </c>
      <c r="U116" s="2345" t="s">
        <v>497</v>
      </c>
      <c r="V116" s="2346"/>
      <c r="W116" s="2346"/>
      <c r="X116" s="2346"/>
      <c r="Y116" s="2347"/>
      <c r="Z116" s="2351" t="s">
        <v>498</v>
      </c>
      <c r="AA116" s="2352"/>
      <c r="AB116" s="2355"/>
      <c r="AC116" s="2355"/>
      <c r="AD116" s="2355"/>
      <c r="AE116" s="2355"/>
      <c r="AF116" s="2352"/>
    </row>
    <row r="117" spans="1:33" ht="18" x14ac:dyDescent="0.35">
      <c r="A117" s="2257"/>
      <c r="B117" s="2259"/>
      <c r="C117" s="2259"/>
      <c r="D117" s="2259"/>
      <c r="E117" s="2259"/>
      <c r="F117" s="2261"/>
      <c r="G117" s="2259"/>
      <c r="H117" s="2259"/>
      <c r="I117" s="310" t="s">
        <v>500</v>
      </c>
      <c r="J117" s="310" t="s">
        <v>501</v>
      </c>
      <c r="K117" s="310" t="s">
        <v>502</v>
      </c>
      <c r="L117" s="310" t="s">
        <v>503</v>
      </c>
      <c r="M117" s="311" t="s">
        <v>504</v>
      </c>
      <c r="N117" s="312" t="s">
        <v>505</v>
      </c>
      <c r="O117" s="313" t="s">
        <v>506</v>
      </c>
      <c r="P117" s="312" t="s">
        <v>507</v>
      </c>
      <c r="Q117" s="312" t="s">
        <v>507</v>
      </c>
      <c r="R117" s="514"/>
      <c r="S117" s="2344"/>
      <c r="T117" s="515" t="s">
        <v>508</v>
      </c>
      <c r="U117" s="2348"/>
      <c r="V117" s="2349"/>
      <c r="W117" s="2349"/>
      <c r="X117" s="2349"/>
      <c r="Y117" s="2350"/>
      <c r="Z117" s="2353"/>
      <c r="AA117" s="2354"/>
      <c r="AB117" s="2356"/>
      <c r="AC117" s="2356"/>
      <c r="AD117" s="2356"/>
      <c r="AE117" s="2356"/>
      <c r="AF117" s="2354"/>
      <c r="AG117" s="138"/>
    </row>
    <row r="118" spans="1:33" ht="18" x14ac:dyDescent="0.35">
      <c r="A118" s="2262" t="s">
        <v>679</v>
      </c>
      <c r="B118" s="2263"/>
      <c r="C118" s="2263"/>
      <c r="D118" s="2263"/>
      <c r="E118" s="2263"/>
      <c r="F118" s="2263"/>
      <c r="G118" s="2263"/>
      <c r="H118" s="2263"/>
      <c r="I118" s="2263"/>
      <c r="J118" s="2263"/>
      <c r="K118" s="2263"/>
      <c r="L118" s="2263"/>
      <c r="M118" s="2263"/>
      <c r="N118" s="2263"/>
      <c r="O118" s="2263"/>
      <c r="P118" s="2263"/>
      <c r="Q118" s="2263"/>
      <c r="R118" s="2263"/>
      <c r="S118" s="2263"/>
      <c r="T118" s="559"/>
      <c r="U118" s="596" t="s">
        <v>510</v>
      </c>
      <c r="V118" s="561" t="s">
        <v>11</v>
      </c>
      <c r="W118" s="561" t="s">
        <v>511</v>
      </c>
      <c r="X118" s="561" t="s">
        <v>512</v>
      </c>
      <c r="Y118" s="561" t="s">
        <v>513</v>
      </c>
      <c r="Z118" s="563" t="s">
        <v>514</v>
      </c>
      <c r="AA118" s="562" t="s">
        <v>515</v>
      </c>
      <c r="AB118" s="563" t="s">
        <v>85</v>
      </c>
      <c r="AC118" s="561" t="s">
        <v>86</v>
      </c>
      <c r="AD118" s="561" t="s">
        <v>19</v>
      </c>
      <c r="AE118" s="561" t="s">
        <v>5</v>
      </c>
      <c r="AF118" s="562" t="s">
        <v>72</v>
      </c>
    </row>
    <row r="119" spans="1:33" x14ac:dyDescent="0.3">
      <c r="A119" s="154"/>
      <c r="B119" s="462"/>
      <c r="C119" s="462"/>
      <c r="D119" s="462"/>
      <c r="E119" s="462"/>
      <c r="F119" s="463"/>
      <c r="G119" s="462"/>
      <c r="H119" s="462"/>
      <c r="I119" s="465"/>
      <c r="J119" s="465"/>
      <c r="K119" s="465"/>
      <c r="L119" s="465"/>
      <c r="M119" s="462"/>
      <c r="N119" s="468"/>
      <c r="O119" s="469"/>
      <c r="P119" s="468"/>
      <c r="Q119" s="468"/>
      <c r="R119" s="470"/>
      <c r="S119" s="532"/>
      <c r="T119" s="149"/>
      <c r="U119" s="7"/>
      <c r="Z119" s="280"/>
      <c r="AA119" s="152"/>
      <c r="AB119" s="280"/>
      <c r="AF119" s="152"/>
    </row>
    <row r="120" spans="1:33" x14ac:dyDescent="0.3">
      <c r="A120" s="157" t="s">
        <v>676</v>
      </c>
      <c r="B120" s="157" t="s">
        <v>87</v>
      </c>
      <c r="C120" s="157" t="s">
        <v>517</v>
      </c>
      <c r="D120" s="157" t="s">
        <v>88</v>
      </c>
      <c r="E120" s="157" t="s">
        <v>518</v>
      </c>
      <c r="F120" s="158" t="s">
        <v>588</v>
      </c>
      <c r="G120" s="157">
        <v>2</v>
      </c>
      <c r="H120" s="157" t="s">
        <v>24</v>
      </c>
      <c r="I120" s="159">
        <v>2</v>
      </c>
      <c r="J120" s="161"/>
      <c r="K120" s="161"/>
      <c r="L120" s="2209"/>
      <c r="M120" s="163">
        <v>1</v>
      </c>
      <c r="N120" s="164">
        <v>4480</v>
      </c>
      <c r="O120" s="165">
        <v>0.2</v>
      </c>
      <c r="P120" s="166">
        <f>N120*(1-O120)</f>
        <v>3584</v>
      </c>
      <c r="Q120" s="166">
        <f t="shared" ref="Q120:Q125" si="20">P120*M120*G120</f>
        <v>7168</v>
      </c>
      <c r="R120" s="206" t="e">
        <f>(Q120+#REF!+Q121+#REF!)/E96*1000</f>
        <v>#REF!</v>
      </c>
      <c r="S120" s="167">
        <f>Q120/$Q$132</f>
        <v>0.14927362388377982</v>
      </c>
      <c r="T120" s="168">
        <f t="shared" ref="T120:T125" si="21">Q120</f>
        <v>7168</v>
      </c>
      <c r="U120" s="7">
        <f t="shared" ref="U120:U123" si="22">T120</f>
        <v>7168</v>
      </c>
      <c r="V120" s="169"/>
      <c r="W120" s="169"/>
      <c r="X120" s="169"/>
      <c r="Y120" s="169"/>
      <c r="Z120" s="282"/>
      <c r="AA120" s="171">
        <f>T120</f>
        <v>7168</v>
      </c>
      <c r="AB120" s="282">
        <f>T120</f>
        <v>7168</v>
      </c>
      <c r="AF120" s="152"/>
    </row>
    <row r="121" spans="1:33" x14ac:dyDescent="0.3">
      <c r="A121" s="157" t="s">
        <v>676</v>
      </c>
      <c r="B121" s="157" t="s">
        <v>87</v>
      </c>
      <c r="C121" s="157" t="s">
        <v>517</v>
      </c>
      <c r="D121" s="157" t="s">
        <v>89</v>
      </c>
      <c r="E121" s="157" t="s">
        <v>520</v>
      </c>
      <c r="F121" s="158" t="s">
        <v>519</v>
      </c>
      <c r="G121" s="157">
        <v>10</v>
      </c>
      <c r="H121" s="157" t="s">
        <v>24</v>
      </c>
      <c r="I121" s="175">
        <v>10</v>
      </c>
      <c r="J121" s="176"/>
      <c r="K121" s="179"/>
      <c r="L121" s="180"/>
      <c r="M121" s="163">
        <v>1</v>
      </c>
      <c r="N121" s="166">
        <v>1068</v>
      </c>
      <c r="O121" s="173">
        <v>0.2</v>
      </c>
      <c r="P121" s="166">
        <f t="shared" ref="P121:P125" si="23">N121*(1-O121)</f>
        <v>854.40000000000009</v>
      </c>
      <c r="Q121" s="166">
        <f t="shared" si="20"/>
        <v>8544</v>
      </c>
      <c r="R121" s="206" t="e">
        <f>(Q121+#REF!)/E97*1000</f>
        <v>#REF!</v>
      </c>
      <c r="S121" s="178">
        <f>Q121/$Q$132</f>
        <v>0.17792882846861258</v>
      </c>
      <c r="T121" s="168">
        <f t="shared" si="21"/>
        <v>8544</v>
      </c>
      <c r="U121" s="7">
        <f t="shared" si="22"/>
        <v>8544</v>
      </c>
      <c r="W121" s="169"/>
      <c r="Z121" s="283">
        <f>T121</f>
        <v>8544</v>
      </c>
      <c r="AA121" s="171"/>
      <c r="AB121" s="282">
        <f>T121</f>
        <v>8544</v>
      </c>
      <c r="AF121" s="152"/>
    </row>
    <row r="122" spans="1:33" x14ac:dyDescent="0.3">
      <c r="A122" s="157" t="s">
        <v>676</v>
      </c>
      <c r="B122" s="157" t="s">
        <v>87</v>
      </c>
      <c r="C122" s="157" t="s">
        <v>517</v>
      </c>
      <c r="D122" s="157" t="s">
        <v>26</v>
      </c>
      <c r="E122" s="157" t="s">
        <v>520</v>
      </c>
      <c r="F122" s="158" t="s">
        <v>43</v>
      </c>
      <c r="G122" s="157">
        <v>1</v>
      </c>
      <c r="H122" s="157" t="s">
        <v>24</v>
      </c>
      <c r="I122" s="182">
        <v>1</v>
      </c>
      <c r="J122" s="183"/>
      <c r="K122" s="183"/>
      <c r="L122" s="2239"/>
      <c r="M122" s="163">
        <v>1</v>
      </c>
      <c r="N122" s="166">
        <v>4068</v>
      </c>
      <c r="O122" s="173">
        <v>0.2</v>
      </c>
      <c r="P122" s="166">
        <f t="shared" si="23"/>
        <v>3254.4</v>
      </c>
      <c r="Q122" s="166">
        <f t="shared" si="20"/>
        <v>3254.4</v>
      </c>
      <c r="R122" s="206" t="e">
        <f>(Q122+#REF!+#REF!)/E97*1000</f>
        <v>#REF!</v>
      </c>
      <c r="S122" s="178">
        <f t="shared" ref="S122:S124" si="24">Q122/$Q$132</f>
        <v>6.7772890843662545E-2</v>
      </c>
      <c r="T122" s="168">
        <f t="shared" si="21"/>
        <v>3254.4</v>
      </c>
      <c r="U122" s="7">
        <f t="shared" si="22"/>
        <v>3254.4</v>
      </c>
      <c r="Z122" s="282">
        <f>T122</f>
        <v>3254.4</v>
      </c>
      <c r="AA122" s="171"/>
      <c r="AB122" s="282">
        <f>T122</f>
        <v>3254.4</v>
      </c>
      <c r="AF122" s="152"/>
    </row>
    <row r="123" spans="1:33" x14ac:dyDescent="0.3">
      <c r="A123" s="157" t="s">
        <v>676</v>
      </c>
      <c r="B123" s="157" t="s">
        <v>90</v>
      </c>
      <c r="C123" s="157" t="s">
        <v>517</v>
      </c>
      <c r="D123" s="157" t="s">
        <v>89</v>
      </c>
      <c r="E123" s="157" t="s">
        <v>520</v>
      </c>
      <c r="F123" s="158" t="s">
        <v>519</v>
      </c>
      <c r="G123" s="157">
        <v>10</v>
      </c>
      <c r="H123" s="157" t="s">
        <v>24</v>
      </c>
      <c r="I123" s="474"/>
      <c r="J123" s="1"/>
      <c r="K123" s="176">
        <v>10</v>
      </c>
      <c r="L123" s="177"/>
      <c r="M123" s="163">
        <v>1</v>
      </c>
      <c r="N123" s="166">
        <v>600</v>
      </c>
      <c r="O123" s="173">
        <v>0.2</v>
      </c>
      <c r="P123" s="166">
        <f t="shared" si="23"/>
        <v>480</v>
      </c>
      <c r="Q123" s="166">
        <f t="shared" si="20"/>
        <v>4800</v>
      </c>
      <c r="R123" s="206" t="e">
        <f>(Q123+#REF!)/E99*1000</f>
        <v>#REF!</v>
      </c>
      <c r="S123" s="178">
        <f t="shared" si="24"/>
        <v>9.9960015993602561E-2</v>
      </c>
      <c r="T123" s="168">
        <f t="shared" si="21"/>
        <v>4800</v>
      </c>
      <c r="U123" s="7">
        <f t="shared" si="22"/>
        <v>4800</v>
      </c>
      <c r="W123" s="169"/>
      <c r="Z123" s="283">
        <f>T123</f>
        <v>4800</v>
      </c>
      <c r="AA123" s="171"/>
      <c r="AB123" s="280"/>
      <c r="AC123" s="169">
        <f>T123</f>
        <v>4800</v>
      </c>
      <c r="AF123" s="152"/>
    </row>
    <row r="124" spans="1:33" x14ac:dyDescent="0.3">
      <c r="A124" s="157" t="s">
        <v>676</v>
      </c>
      <c r="B124" s="157" t="s">
        <v>41</v>
      </c>
      <c r="C124" s="157" t="s">
        <v>525</v>
      </c>
      <c r="D124" s="157" t="s">
        <v>92</v>
      </c>
      <c r="E124" s="157" t="s">
        <v>520</v>
      </c>
      <c r="F124" s="158" t="s">
        <v>43</v>
      </c>
      <c r="G124" s="157">
        <v>3</v>
      </c>
      <c r="H124" s="157" t="s">
        <v>93</v>
      </c>
      <c r="I124" s="182">
        <v>3</v>
      </c>
      <c r="J124" s="2382"/>
      <c r="K124" s="183">
        <v>3</v>
      </c>
      <c r="L124" s="2239"/>
      <c r="M124" s="163">
        <v>2</v>
      </c>
      <c r="N124" s="473">
        <v>1600</v>
      </c>
      <c r="O124" s="165">
        <v>0.7</v>
      </c>
      <c r="P124" s="476">
        <f t="shared" si="23"/>
        <v>480.00000000000006</v>
      </c>
      <c r="Q124" s="473">
        <f t="shared" si="20"/>
        <v>2880.0000000000005</v>
      </c>
      <c r="R124" s="9"/>
      <c r="S124" s="178">
        <f t="shared" si="24"/>
        <v>5.9976009596161547E-2</v>
      </c>
      <c r="T124" s="478">
        <f t="shared" si="21"/>
        <v>2880.0000000000005</v>
      </c>
      <c r="U124" s="15"/>
      <c r="W124" s="169">
        <f>T124</f>
        <v>2880.0000000000005</v>
      </c>
      <c r="Z124" s="282">
        <f>T124</f>
        <v>2880.0000000000005</v>
      </c>
      <c r="AA124" s="171"/>
      <c r="AB124" s="280"/>
      <c r="AE124" s="169">
        <f>T124</f>
        <v>2880.0000000000005</v>
      </c>
      <c r="AF124" s="152"/>
    </row>
    <row r="125" spans="1:33" x14ac:dyDescent="0.3">
      <c r="A125" s="157" t="s">
        <v>676</v>
      </c>
      <c r="B125" s="157" t="s">
        <v>94</v>
      </c>
      <c r="C125" s="157"/>
      <c r="D125" s="157" t="s">
        <v>32</v>
      </c>
      <c r="E125" s="157" t="s">
        <v>650</v>
      </c>
      <c r="F125" s="158"/>
      <c r="G125" s="157">
        <v>3</v>
      </c>
      <c r="H125" s="157" t="s">
        <v>58</v>
      </c>
      <c r="I125" s="643">
        <v>3</v>
      </c>
      <c r="J125" s="1"/>
      <c r="K125" s="183">
        <v>3</v>
      </c>
      <c r="L125" s="163"/>
      <c r="M125" s="163">
        <v>2</v>
      </c>
      <c r="N125" s="473">
        <f>256*8</f>
        <v>2048</v>
      </c>
      <c r="O125" s="165">
        <v>0.4</v>
      </c>
      <c r="P125" s="476">
        <f t="shared" si="23"/>
        <v>1228.8</v>
      </c>
      <c r="Q125" s="473">
        <f t="shared" si="20"/>
        <v>7372.7999999999993</v>
      </c>
      <c r="R125" s="9"/>
      <c r="S125" s="632">
        <f>Q125/$Q$132</f>
        <v>0.15353858456617353</v>
      </c>
      <c r="T125" s="478">
        <f t="shared" si="21"/>
        <v>7372.7999999999993</v>
      </c>
      <c r="U125" s="15"/>
      <c r="W125" s="169">
        <f>T125</f>
        <v>7372.7999999999993</v>
      </c>
      <c r="Z125" s="282"/>
      <c r="AA125" s="171"/>
      <c r="AB125" s="280"/>
      <c r="AF125" s="171">
        <f>T125</f>
        <v>7372.7999999999993</v>
      </c>
    </row>
    <row r="126" spans="1:33" x14ac:dyDescent="0.3">
      <c r="A126" s="157"/>
      <c r="B126" s="157"/>
      <c r="C126" s="157"/>
      <c r="D126" s="157"/>
      <c r="E126" s="157"/>
      <c r="F126" s="158"/>
      <c r="G126" s="157"/>
      <c r="H126" s="157"/>
      <c r="I126" s="474"/>
      <c r="J126" s="1"/>
      <c r="K126" s="1"/>
      <c r="L126" s="163"/>
      <c r="M126" s="163"/>
      <c r="N126" s="473"/>
      <c r="O126" s="165"/>
      <c r="P126" s="476"/>
      <c r="Q126" s="473"/>
      <c r="R126" s="9"/>
      <c r="S126" s="506"/>
      <c r="T126" s="478"/>
      <c r="U126" s="15"/>
      <c r="Z126" s="282"/>
      <c r="AA126" s="171"/>
      <c r="AB126" s="280"/>
      <c r="AF126" s="152"/>
    </row>
    <row r="127" spans="1:33" x14ac:dyDescent="0.3">
      <c r="A127" s="157"/>
      <c r="B127" s="157"/>
      <c r="C127" s="157"/>
      <c r="D127" s="157"/>
      <c r="E127" s="157"/>
      <c r="F127" s="158"/>
      <c r="G127" s="157"/>
      <c r="H127" s="157"/>
      <c r="I127" s="474"/>
      <c r="J127" s="1"/>
      <c r="K127" s="1"/>
      <c r="L127" s="163"/>
      <c r="M127" s="163"/>
      <c r="N127" s="473"/>
      <c r="O127" s="165"/>
      <c r="P127" s="476"/>
      <c r="Q127" s="473"/>
      <c r="R127" s="9"/>
      <c r="S127" s="506"/>
      <c r="T127" s="478"/>
      <c r="U127" s="15"/>
      <c r="Z127" s="282"/>
      <c r="AA127" s="171"/>
      <c r="AB127" s="280"/>
      <c r="AF127" s="152"/>
    </row>
    <row r="128" spans="1:33" x14ac:dyDescent="0.3">
      <c r="A128" s="157"/>
      <c r="B128" s="157"/>
      <c r="C128" s="157"/>
      <c r="D128" s="157"/>
      <c r="E128" s="157"/>
      <c r="F128" s="158"/>
      <c r="G128" s="157"/>
      <c r="H128" s="157"/>
      <c r="I128" s="474"/>
      <c r="J128" s="1"/>
      <c r="K128" s="1"/>
      <c r="L128" s="163"/>
      <c r="M128" s="163"/>
      <c r="N128" s="473"/>
      <c r="O128" s="165"/>
      <c r="P128" s="476"/>
      <c r="Q128" s="473"/>
      <c r="R128" s="9"/>
      <c r="S128" s="506"/>
      <c r="T128" s="478"/>
      <c r="U128" s="15"/>
      <c r="Z128" s="282"/>
      <c r="AA128" s="171"/>
      <c r="AB128" s="280"/>
      <c r="AF128" s="152"/>
    </row>
    <row r="129" spans="1:32" x14ac:dyDescent="0.3">
      <c r="A129" s="190" t="s">
        <v>676</v>
      </c>
      <c r="B129" s="190" t="s">
        <v>528</v>
      </c>
      <c r="C129" s="190"/>
      <c r="D129" s="190"/>
      <c r="E129" s="190"/>
      <c r="F129" s="191"/>
      <c r="G129" s="190"/>
      <c r="H129" s="190"/>
      <c r="I129" s="192"/>
      <c r="J129" s="193"/>
      <c r="K129" s="193"/>
      <c r="L129" s="630"/>
      <c r="M129" s="630"/>
      <c r="N129" s="194"/>
      <c r="O129" s="195"/>
      <c r="P129" s="186"/>
      <c r="Q129" s="166"/>
      <c r="R129" s="288"/>
      <c r="S129" s="196"/>
      <c r="T129" s="168">
        <f t="shared" ref="T129" si="25">Q129*2</f>
        <v>0</v>
      </c>
      <c r="U129" s="7"/>
      <c r="X129" s="169">
        <f>T129</f>
        <v>0</v>
      </c>
      <c r="Z129" s="280"/>
      <c r="AA129" s="171"/>
      <c r="AB129" s="280"/>
      <c r="AF129" s="152"/>
    </row>
    <row r="130" spans="1:32" x14ac:dyDescent="0.3">
      <c r="A130" s="108" t="s">
        <v>676</v>
      </c>
      <c r="B130" s="108" t="s">
        <v>529</v>
      </c>
      <c r="C130" s="108"/>
      <c r="D130" s="108" t="s">
        <v>530</v>
      </c>
      <c r="E130" s="108"/>
      <c r="F130" s="479"/>
      <c r="G130" s="108"/>
      <c r="H130" s="108"/>
      <c r="I130" s="254"/>
      <c r="J130" s="254"/>
      <c r="K130" s="254"/>
      <c r="L130" s="254"/>
      <c r="M130" s="108"/>
      <c r="N130" s="257"/>
      <c r="O130" s="109"/>
      <c r="P130" s="290"/>
      <c r="Q130" s="257">
        <v>14000</v>
      </c>
      <c r="R130" s="480"/>
      <c r="S130" s="291">
        <f>Q130/Q132</f>
        <v>0.29155004664800749</v>
      </c>
      <c r="T130" s="168">
        <f>Q130</f>
        <v>14000</v>
      </c>
      <c r="U130" s="7"/>
      <c r="Y130" s="169">
        <f>T130</f>
        <v>14000</v>
      </c>
      <c r="Z130" s="280"/>
      <c r="AA130" s="152"/>
      <c r="AB130" s="280"/>
      <c r="AF130" s="152"/>
    </row>
    <row r="131" spans="1:32" x14ac:dyDescent="0.3">
      <c r="I131" s="115">
        <f>I132/M132</f>
        <v>0.54285714285714282</v>
      </c>
      <c r="J131" s="115"/>
      <c r="K131" s="115">
        <f>K132/M132</f>
        <v>0.45714285714285713</v>
      </c>
      <c r="T131" s="645"/>
      <c r="U131" s="650"/>
      <c r="V131" s="245"/>
      <c r="W131" s="245"/>
      <c r="X131" s="245"/>
      <c r="Y131" s="245"/>
      <c r="Z131" s="566"/>
      <c r="AA131" s="567"/>
      <c r="AB131" s="566"/>
      <c r="AC131" s="245"/>
      <c r="AD131" s="245"/>
      <c r="AE131" s="245"/>
      <c r="AF131" s="567"/>
    </row>
    <row r="132" spans="1:32" x14ac:dyDescent="0.3">
      <c r="A132" s="326" t="s">
        <v>531</v>
      </c>
      <c r="B132" s="327"/>
      <c r="C132" s="327"/>
      <c r="D132" s="327"/>
      <c r="E132" s="327"/>
      <c r="F132" s="328"/>
      <c r="G132" s="327"/>
      <c r="H132" s="327"/>
      <c r="I132" s="327">
        <f>I122+I121+I120+I124+I125</f>
        <v>19</v>
      </c>
      <c r="J132" s="327"/>
      <c r="K132" s="327">
        <f>K123+K124+K125</f>
        <v>16</v>
      </c>
      <c r="L132" s="327"/>
      <c r="M132" s="327">
        <f>SUM(I132:L132)</f>
        <v>35</v>
      </c>
      <c r="N132" s="329"/>
      <c r="O132" s="330"/>
      <c r="P132" s="329"/>
      <c r="Q132" s="331">
        <f>SUM(Q120:Q131)</f>
        <v>48019.199999999997</v>
      </c>
      <c r="R132" s="331"/>
      <c r="S132" s="332">
        <f>SUM(S120:S130)</f>
        <v>1</v>
      </c>
      <c r="T132" s="646">
        <f>SUM(T120:T131)</f>
        <v>48019.199999999997</v>
      </c>
      <c r="U132" s="589">
        <f t="shared" ref="U132:AA132" si="26">SUM(U120:U130)</f>
        <v>23766.400000000001</v>
      </c>
      <c r="V132" s="589">
        <f t="shared" si="26"/>
        <v>0</v>
      </c>
      <c r="W132" s="589">
        <f t="shared" si="26"/>
        <v>10252.799999999999</v>
      </c>
      <c r="X132" s="589">
        <f t="shared" si="26"/>
        <v>0</v>
      </c>
      <c r="Y132" s="589">
        <f t="shared" si="26"/>
        <v>14000</v>
      </c>
      <c r="Z132" s="648">
        <f t="shared" si="26"/>
        <v>19478.400000000001</v>
      </c>
      <c r="AA132" s="647">
        <f t="shared" si="26"/>
        <v>7168</v>
      </c>
      <c r="AB132" s="589">
        <f>SUM(AB120:AB131)</f>
        <v>18966.400000000001</v>
      </c>
      <c r="AC132" s="589">
        <f>SUM(AC120:AC131)</f>
        <v>4800</v>
      </c>
      <c r="AD132" s="589">
        <f t="shared" ref="AD132:AE132" si="27">SUM(AD120:AD131)</f>
        <v>0</v>
      </c>
      <c r="AE132" s="589">
        <f t="shared" si="27"/>
        <v>2880.0000000000005</v>
      </c>
      <c r="AF132" s="647">
        <f>SUM(AF120:AF130)</f>
        <v>7372.7999999999993</v>
      </c>
    </row>
    <row r="133" spans="1:32" x14ac:dyDescent="0.3">
      <c r="A133" s="342" t="s">
        <v>532</v>
      </c>
      <c r="B133" s="343"/>
      <c r="C133" s="343"/>
      <c r="D133" s="343"/>
      <c r="E133" s="343"/>
      <c r="F133" s="344"/>
      <c r="G133" s="343"/>
      <c r="H133" s="343"/>
      <c r="I133" s="343">
        <f>I122+I121+I120+I124+I125</f>
        <v>19</v>
      </c>
      <c r="J133" s="343">
        <f>I122+I121+I120+I124</f>
        <v>16</v>
      </c>
      <c r="K133" s="343">
        <f>K123+I122+I120+K124+K125</f>
        <v>19</v>
      </c>
      <c r="L133" s="343">
        <f>K123+I122+I120+K124</f>
        <v>16</v>
      </c>
      <c r="M133" s="343">
        <f>SUM(I133:L133)</f>
        <v>70</v>
      </c>
      <c r="N133" s="345"/>
      <c r="O133" s="346"/>
      <c r="P133" s="345"/>
      <c r="Q133" s="345"/>
      <c r="R133" s="345"/>
      <c r="S133" s="347"/>
      <c r="T133" s="348"/>
      <c r="U133" s="350">
        <f>U132/T132</f>
        <v>0.49493535918965753</v>
      </c>
      <c r="V133" s="350">
        <f>V132/T132</f>
        <v>0</v>
      </c>
      <c r="W133" s="350">
        <f>W132/T132</f>
        <v>0.21351459416233506</v>
      </c>
      <c r="X133" s="350">
        <f>X132/T132</f>
        <v>0</v>
      </c>
      <c r="Y133" s="350">
        <f>Y132/T132</f>
        <v>0.29155004664800749</v>
      </c>
      <c r="Z133" s="351">
        <f>Z132/T132</f>
        <v>0.40563774490203924</v>
      </c>
      <c r="AA133" s="352">
        <f>AA132/T132</f>
        <v>0.14927362388377982</v>
      </c>
      <c r="AB133" s="523"/>
      <c r="AC133" s="524"/>
      <c r="AD133" s="524"/>
      <c r="AE133" s="524"/>
      <c r="AF133" s="356"/>
    </row>
    <row r="134" spans="1:32" x14ac:dyDescent="0.3">
      <c r="A134" s="243" t="s">
        <v>533</v>
      </c>
      <c r="B134" s="193"/>
      <c r="C134" s="193"/>
      <c r="D134" s="193"/>
      <c r="E134" s="193"/>
      <c r="F134" s="244"/>
      <c r="G134" s="193"/>
      <c r="H134" s="193"/>
      <c r="I134" s="2182">
        <f>I133/M133</f>
        <v>0.27142857142857141</v>
      </c>
      <c r="J134" s="2182">
        <f>J133/M133</f>
        <v>0.22857142857142856</v>
      </c>
      <c r="K134" s="245"/>
      <c r="L134" s="245"/>
      <c r="M134" s="193"/>
      <c r="N134" s="246"/>
      <c r="O134" s="196"/>
      <c r="P134" s="246"/>
      <c r="Q134" s="194">
        <f>U132</f>
        <v>23766.400000000001</v>
      </c>
      <c r="R134" s="288"/>
      <c r="S134" s="247">
        <f>Q134/Q139</f>
        <v>0.49493535918965753</v>
      </c>
      <c r="Y134" s="248">
        <f>SUM(U120:Y131)</f>
        <v>48019.199999999997</v>
      </c>
      <c r="Z134" s="357">
        <f>I121+I122+K123+I124+K124</f>
        <v>27</v>
      </c>
      <c r="AA134" s="358">
        <f>I120</f>
        <v>2</v>
      </c>
    </row>
    <row r="135" spans="1:32" x14ac:dyDescent="0.3">
      <c r="A135" s="251" t="s">
        <v>11</v>
      </c>
      <c r="B135" s="252"/>
      <c r="C135" s="252"/>
      <c r="D135" s="252"/>
      <c r="E135" s="252"/>
      <c r="F135" s="253"/>
      <c r="G135" s="252"/>
      <c r="H135" s="252"/>
      <c r="I135" s="254"/>
      <c r="J135" s="254"/>
      <c r="K135" s="254"/>
      <c r="L135" s="254"/>
      <c r="M135" s="252"/>
      <c r="N135" s="255"/>
      <c r="O135" s="256"/>
      <c r="P135" s="255"/>
      <c r="Q135" s="257">
        <f>V132</f>
        <v>0</v>
      </c>
      <c r="R135" s="290"/>
      <c r="S135" s="256">
        <f>Q135/Q139</f>
        <v>0</v>
      </c>
      <c r="T135" s="525">
        <f>Q132/M132</f>
        <v>1371.9771428571428</v>
      </c>
      <c r="U135" s="526" t="s">
        <v>535</v>
      </c>
      <c r="Z135" s="195">
        <f>Z134/M132</f>
        <v>0.77142857142857146</v>
      </c>
      <c r="AA135" s="247">
        <f>AA134/M132</f>
        <v>5.7142857142857141E-2</v>
      </c>
    </row>
    <row r="136" spans="1:32" x14ac:dyDescent="0.3">
      <c r="A136" s="251" t="s">
        <v>536</v>
      </c>
      <c r="B136" s="252"/>
      <c r="C136" s="252"/>
      <c r="D136" s="252"/>
      <c r="E136" s="252"/>
      <c r="F136" s="253"/>
      <c r="G136" s="252"/>
      <c r="H136" s="252"/>
      <c r="I136" s="254"/>
      <c r="J136" s="254"/>
      <c r="K136" s="254"/>
      <c r="L136" s="254"/>
      <c r="M136" s="252"/>
      <c r="N136" s="255"/>
      <c r="O136" s="256"/>
      <c r="P136" s="255"/>
      <c r="Q136" s="257">
        <f>W132</f>
        <v>10252.799999999999</v>
      </c>
      <c r="R136" s="290"/>
      <c r="S136" s="262">
        <f>Q136/Q139</f>
        <v>0.21351459416233506</v>
      </c>
      <c r="V136" s="263"/>
      <c r="X136" s="99"/>
      <c r="Z136" s="2265" t="s">
        <v>537</v>
      </c>
      <c r="AA136" s="2265"/>
    </row>
    <row r="137" spans="1:32" x14ac:dyDescent="0.3">
      <c r="A137" s="251" t="s">
        <v>529</v>
      </c>
      <c r="B137" s="252"/>
      <c r="C137" s="252"/>
      <c r="D137" s="252"/>
      <c r="E137" s="252"/>
      <c r="F137" s="253"/>
      <c r="G137" s="252"/>
      <c r="H137" s="252"/>
      <c r="I137" s="254"/>
      <c r="J137" s="254"/>
      <c r="K137" s="254"/>
      <c r="L137" s="254"/>
      <c r="M137" s="252"/>
      <c r="N137" s="255"/>
      <c r="O137" s="256"/>
      <c r="P137" s="255"/>
      <c r="Q137" s="257">
        <f>Y132</f>
        <v>14000</v>
      </c>
      <c r="R137" s="290"/>
      <c r="S137" s="262">
        <f>Q137/Q139</f>
        <v>0.29155004664800749</v>
      </c>
      <c r="V137" s="263"/>
    </row>
    <row r="138" spans="1:32" x14ac:dyDescent="0.3">
      <c r="A138" s="251" t="s">
        <v>528</v>
      </c>
      <c r="B138" s="252"/>
      <c r="C138" s="252"/>
      <c r="D138" s="252"/>
      <c r="E138" s="252"/>
      <c r="F138" s="253"/>
      <c r="G138" s="252"/>
      <c r="H138" s="252"/>
      <c r="I138" s="254"/>
      <c r="J138" s="254"/>
      <c r="K138" s="254"/>
      <c r="L138" s="254"/>
      <c r="M138" s="252"/>
      <c r="N138" s="255"/>
      <c r="O138" s="256"/>
      <c r="P138" s="255"/>
      <c r="Q138" s="257">
        <f>X132</f>
        <v>0</v>
      </c>
      <c r="R138" s="290"/>
      <c r="S138" s="262">
        <f>Q138/Q139</f>
        <v>0</v>
      </c>
    </row>
    <row r="139" spans="1:32" x14ac:dyDescent="0.3">
      <c r="A139" s="251"/>
      <c r="B139" s="252"/>
      <c r="C139" s="252"/>
      <c r="D139" s="252"/>
      <c r="E139" s="252"/>
      <c r="F139" s="253"/>
      <c r="G139" s="252"/>
      <c r="H139" s="252"/>
      <c r="I139" s="254"/>
      <c r="J139" s="254"/>
      <c r="K139" s="254"/>
      <c r="L139" s="254"/>
      <c r="M139" s="252"/>
      <c r="N139" s="255"/>
      <c r="O139" s="256"/>
      <c r="P139" s="255"/>
      <c r="Q139" s="264">
        <f>SUM(Q134:Q138)</f>
        <v>48019.199999999997</v>
      </c>
      <c r="R139" s="490"/>
      <c r="S139" s="262">
        <f>SUM(S134:S138)</f>
        <v>1</v>
      </c>
    </row>
    <row r="143" spans="1:32" x14ac:dyDescent="0.3">
      <c r="E143" s="1" t="s">
        <v>562</v>
      </c>
      <c r="F143" s="2" t="s">
        <v>680</v>
      </c>
    </row>
    <row r="144" spans="1:32" x14ac:dyDescent="0.3">
      <c r="E144" s="1" t="s">
        <v>473</v>
      </c>
      <c r="F144" s="2" t="s">
        <v>59</v>
      </c>
    </row>
    <row r="145" spans="1:33" x14ac:dyDescent="0.3">
      <c r="E145" s="1" t="s">
        <v>475</v>
      </c>
      <c r="F145" s="2" t="s">
        <v>681</v>
      </c>
    </row>
    <row r="146" spans="1:33" x14ac:dyDescent="0.3">
      <c r="E146" s="1" t="s">
        <v>477</v>
      </c>
      <c r="F146" s="2" t="s">
        <v>682</v>
      </c>
    </row>
    <row r="147" spans="1:33" ht="18" x14ac:dyDescent="0.35">
      <c r="A147" s="118" t="s">
        <v>554</v>
      </c>
    </row>
    <row r="148" spans="1:33" x14ac:dyDescent="0.3">
      <c r="S148" s="98"/>
    </row>
    <row r="149" spans="1:33" x14ac:dyDescent="0.3">
      <c r="A149" s="2335" t="s">
        <v>480</v>
      </c>
      <c r="B149" s="2336"/>
      <c r="C149" s="2336"/>
      <c r="D149" s="2336"/>
      <c r="E149" s="2336"/>
      <c r="F149" s="2336"/>
      <c r="G149" s="2336"/>
      <c r="H149" s="2336"/>
      <c r="I149" s="2336"/>
      <c r="J149" s="2336"/>
      <c r="K149" s="2336"/>
      <c r="L149" s="2336"/>
      <c r="M149" s="2336"/>
      <c r="N149" s="2336"/>
      <c r="O149" s="2336"/>
      <c r="P149" s="2336"/>
      <c r="Q149" s="2336"/>
      <c r="R149" s="2336"/>
      <c r="S149" s="2337"/>
      <c r="T149" s="2374" t="s">
        <v>584</v>
      </c>
      <c r="U149" s="2375"/>
      <c r="V149" s="2375"/>
      <c r="W149" s="2375"/>
      <c r="X149" s="2375"/>
      <c r="Y149" s="2375"/>
      <c r="Z149" s="2375"/>
      <c r="AA149" s="2375"/>
      <c r="AB149" s="2375"/>
      <c r="AC149" s="2375"/>
      <c r="AD149" s="2375"/>
      <c r="AE149" s="2375"/>
      <c r="AF149" s="2376"/>
    </row>
    <row r="150" spans="1:33" ht="15.6" x14ac:dyDescent="0.3">
      <c r="A150" s="2227" t="s">
        <v>482</v>
      </c>
      <c r="B150" s="2215" t="s">
        <v>483</v>
      </c>
      <c r="C150" s="2215" t="s">
        <v>484</v>
      </c>
      <c r="D150" s="2215" t="s">
        <v>555</v>
      </c>
      <c r="E150" s="2215" t="s">
        <v>556</v>
      </c>
      <c r="F150" s="2213" t="s">
        <v>487</v>
      </c>
      <c r="G150" s="2215" t="s">
        <v>557</v>
      </c>
      <c r="H150" s="2215" t="s">
        <v>489</v>
      </c>
      <c r="I150" s="2217" t="s">
        <v>490</v>
      </c>
      <c r="J150" s="373"/>
      <c r="K150" s="373"/>
      <c r="L150" s="2218"/>
      <c r="M150" s="374" t="s">
        <v>491</v>
      </c>
      <c r="N150" s="375" t="s">
        <v>558</v>
      </c>
      <c r="O150" s="376" t="s">
        <v>493</v>
      </c>
      <c r="P150" s="375" t="s">
        <v>558</v>
      </c>
      <c r="Q150" s="375" t="s">
        <v>559</v>
      </c>
      <c r="R150" s="534" t="s">
        <v>585</v>
      </c>
      <c r="S150" s="2327" t="s">
        <v>495</v>
      </c>
      <c r="T150" s="535" t="s">
        <v>496</v>
      </c>
      <c r="U150" s="2329" t="s">
        <v>497</v>
      </c>
      <c r="V150" s="2330"/>
      <c r="W150" s="2330"/>
      <c r="X150" s="2330"/>
      <c r="Y150" s="2331"/>
      <c r="Z150" s="2317" t="s">
        <v>498</v>
      </c>
      <c r="AA150" s="2319"/>
      <c r="AB150" s="2318"/>
      <c r="AC150" s="2318"/>
      <c r="AD150" s="2318"/>
      <c r="AE150" s="2318"/>
      <c r="AF150" s="2319"/>
    </row>
    <row r="151" spans="1:33" ht="18" x14ac:dyDescent="0.35">
      <c r="A151" s="2341"/>
      <c r="B151" s="2326"/>
      <c r="C151" s="2326"/>
      <c r="D151" s="2326"/>
      <c r="E151" s="2326"/>
      <c r="F151" s="2342"/>
      <c r="G151" s="2326"/>
      <c r="H151" s="2326"/>
      <c r="I151" s="536" t="s">
        <v>500</v>
      </c>
      <c r="J151" s="536" t="s">
        <v>501</v>
      </c>
      <c r="K151" s="536" t="s">
        <v>502</v>
      </c>
      <c r="L151" s="536" t="s">
        <v>503</v>
      </c>
      <c r="M151" s="537" t="s">
        <v>504</v>
      </c>
      <c r="N151" s="538" t="s">
        <v>505</v>
      </c>
      <c r="O151" s="539" t="s">
        <v>506</v>
      </c>
      <c r="P151" s="538" t="s">
        <v>507</v>
      </c>
      <c r="Q151" s="538" t="s">
        <v>560</v>
      </c>
      <c r="R151" s="538"/>
      <c r="S151" s="2328"/>
      <c r="T151" s="540" t="s">
        <v>508</v>
      </c>
      <c r="U151" s="2332"/>
      <c r="V151" s="2333"/>
      <c r="W151" s="2333"/>
      <c r="X151" s="2333"/>
      <c r="Y151" s="2334"/>
      <c r="Z151" s="2320"/>
      <c r="AA151" s="2322"/>
      <c r="AB151" s="2321"/>
      <c r="AC151" s="2321"/>
      <c r="AD151" s="2321"/>
      <c r="AE151" s="2321"/>
      <c r="AF151" s="2322"/>
      <c r="AG151" s="138"/>
    </row>
    <row r="152" spans="1:33" ht="18" x14ac:dyDescent="0.35">
      <c r="A152" s="2323" t="s">
        <v>568</v>
      </c>
      <c r="B152" s="2324"/>
      <c r="C152" s="2324"/>
      <c r="D152" s="2324"/>
      <c r="E152" s="2324"/>
      <c r="F152" s="2324"/>
      <c r="G152" s="2324"/>
      <c r="H152" s="2324"/>
      <c r="I152" s="2324"/>
      <c r="J152" s="2324"/>
      <c r="K152" s="2324"/>
      <c r="L152" s="2324"/>
      <c r="M152" s="2324"/>
      <c r="N152" s="2324"/>
      <c r="O152" s="2324"/>
      <c r="P152" s="2324"/>
      <c r="Q152" s="2324"/>
      <c r="R152" s="2324"/>
      <c r="S152" s="2324"/>
      <c r="T152" s="559"/>
      <c r="U152" s="560" t="s">
        <v>510</v>
      </c>
      <c r="V152" s="561" t="s">
        <v>11</v>
      </c>
      <c r="W152" s="561" t="s">
        <v>511</v>
      </c>
      <c r="X152" s="561" t="s">
        <v>512</v>
      </c>
      <c r="Y152" s="561" t="s">
        <v>513</v>
      </c>
      <c r="Z152" s="563" t="s">
        <v>514</v>
      </c>
      <c r="AA152" s="562" t="s">
        <v>515</v>
      </c>
      <c r="AB152" s="563" t="s">
        <v>85</v>
      </c>
      <c r="AC152" s="561" t="s">
        <v>86</v>
      </c>
      <c r="AD152" s="561" t="s">
        <v>19</v>
      </c>
      <c r="AE152" s="561" t="s">
        <v>5</v>
      </c>
      <c r="AF152" s="562" t="s">
        <v>72</v>
      </c>
    </row>
    <row r="153" spans="1:33" x14ac:dyDescent="0.3">
      <c r="A153" s="154"/>
      <c r="B153" s="462"/>
      <c r="C153" s="462"/>
      <c r="D153" s="462"/>
      <c r="E153" s="462"/>
      <c r="F153" s="463"/>
      <c r="G153" s="462"/>
      <c r="H153" s="462"/>
      <c r="I153" s="465"/>
      <c r="J153" s="465"/>
      <c r="K153" s="465"/>
      <c r="L153" s="465"/>
      <c r="M153" s="462"/>
      <c r="N153" s="468"/>
      <c r="O153" s="469"/>
      <c r="P153" s="468"/>
      <c r="Q153" s="468"/>
      <c r="R153" s="468"/>
      <c r="S153" s="532"/>
      <c r="T153" s="149"/>
      <c r="U153" s="150"/>
      <c r="Z153" s="280"/>
      <c r="AA153" s="152"/>
      <c r="AB153" s="280"/>
      <c r="AF153" s="152"/>
    </row>
    <row r="154" spans="1:33" x14ac:dyDescent="0.3">
      <c r="A154" s="157" t="s">
        <v>676</v>
      </c>
      <c r="B154" s="157" t="s">
        <v>87</v>
      </c>
      <c r="C154" s="157" t="s">
        <v>517</v>
      </c>
      <c r="D154" s="157" t="s">
        <v>88</v>
      </c>
      <c r="E154" s="157" t="s">
        <v>518</v>
      </c>
      <c r="F154" s="158" t="s">
        <v>38</v>
      </c>
      <c r="G154" s="157">
        <v>1</v>
      </c>
      <c r="H154" s="157" t="s">
        <v>24</v>
      </c>
      <c r="I154" s="159">
        <v>1</v>
      </c>
      <c r="J154" s="161"/>
      <c r="K154" s="161"/>
      <c r="L154" s="2209"/>
      <c r="M154" s="163">
        <v>1</v>
      </c>
      <c r="N154" s="164">
        <v>4480</v>
      </c>
      <c r="O154" s="165">
        <v>0.2</v>
      </c>
      <c r="P154" s="166">
        <f>N154*(1-O154)</f>
        <v>3584</v>
      </c>
      <c r="Q154" s="166">
        <f t="shared" ref="Q154:Q159" si="28">P154*M154*G154</f>
        <v>3584</v>
      </c>
      <c r="R154" s="206" t="e">
        <f>(Q154+#REF!+Q155+#REF!)/E137*1000</f>
        <v>#REF!</v>
      </c>
      <c r="S154" s="167">
        <f>Q154/$Q$166</f>
        <v>0.11180992313067785</v>
      </c>
      <c r="T154" s="168">
        <f>Q154*2</f>
        <v>7168</v>
      </c>
      <c r="U154" s="150">
        <f t="shared" ref="U154:U157" si="29">T154</f>
        <v>7168</v>
      </c>
      <c r="V154" s="169"/>
      <c r="W154" s="169"/>
      <c r="X154" s="169"/>
      <c r="Y154" s="169"/>
      <c r="Z154" s="282"/>
      <c r="AA154" s="171">
        <f>T154</f>
        <v>7168</v>
      </c>
      <c r="AB154" s="282">
        <f>T154</f>
        <v>7168</v>
      </c>
      <c r="AF154" s="152"/>
    </row>
    <row r="155" spans="1:33" x14ac:dyDescent="0.3">
      <c r="A155" s="157" t="s">
        <v>676</v>
      </c>
      <c r="B155" s="157" t="s">
        <v>87</v>
      </c>
      <c r="C155" s="157" t="s">
        <v>517</v>
      </c>
      <c r="D155" s="157" t="s">
        <v>89</v>
      </c>
      <c r="E155" s="157" t="s">
        <v>520</v>
      </c>
      <c r="F155" s="158" t="s">
        <v>521</v>
      </c>
      <c r="G155" s="157">
        <v>7</v>
      </c>
      <c r="H155" s="157" t="s">
        <v>24</v>
      </c>
      <c r="I155" s="175">
        <v>7</v>
      </c>
      <c r="J155" s="176"/>
      <c r="K155" s="179"/>
      <c r="L155" s="180"/>
      <c r="M155" s="163">
        <v>1</v>
      </c>
      <c r="N155" s="166">
        <v>1068</v>
      </c>
      <c r="O155" s="173">
        <v>0.2</v>
      </c>
      <c r="P155" s="166">
        <f t="shared" ref="P155:P159" si="30">N155*(1-O155)</f>
        <v>854.40000000000009</v>
      </c>
      <c r="Q155" s="166">
        <f t="shared" si="28"/>
        <v>5980.8000000000011</v>
      </c>
      <c r="R155" s="206" t="e">
        <f>(Q155+#REF!)/E138*1000</f>
        <v>#REF!</v>
      </c>
      <c r="S155" s="178">
        <f>Q155/$Q$166</f>
        <v>0.18658280922431869</v>
      </c>
      <c r="T155" s="168">
        <f t="shared" ref="T155:T159" si="31">Q155*2</f>
        <v>11961.600000000002</v>
      </c>
      <c r="U155" s="150">
        <f t="shared" si="29"/>
        <v>11961.600000000002</v>
      </c>
      <c r="W155" s="169"/>
      <c r="Z155" s="283">
        <f>T155</f>
        <v>11961.600000000002</v>
      </c>
      <c r="AA155" s="171"/>
      <c r="AB155" s="282">
        <f>T155</f>
        <v>11961.600000000002</v>
      </c>
      <c r="AF155" s="152"/>
    </row>
    <row r="156" spans="1:33" x14ac:dyDescent="0.3">
      <c r="A156" s="157" t="s">
        <v>676</v>
      </c>
      <c r="B156" s="157" t="s">
        <v>87</v>
      </c>
      <c r="C156" s="157" t="s">
        <v>517</v>
      </c>
      <c r="D156" s="157" t="s">
        <v>26</v>
      </c>
      <c r="E156" s="157" t="s">
        <v>520</v>
      </c>
      <c r="F156" s="158" t="s">
        <v>38</v>
      </c>
      <c r="G156" s="157">
        <v>1</v>
      </c>
      <c r="H156" s="157" t="s">
        <v>24</v>
      </c>
      <c r="I156" s="182">
        <v>1</v>
      </c>
      <c r="J156" s="183"/>
      <c r="K156" s="183"/>
      <c r="L156" s="2239"/>
      <c r="M156" s="163">
        <v>1</v>
      </c>
      <c r="N156" s="166">
        <v>4068</v>
      </c>
      <c r="O156" s="173">
        <v>0.2</v>
      </c>
      <c r="P156" s="166">
        <f t="shared" si="30"/>
        <v>3254.4</v>
      </c>
      <c r="Q156" s="166">
        <f t="shared" si="28"/>
        <v>3254.4</v>
      </c>
      <c r="R156" s="206" t="e">
        <f>(Q156+#REF!+#REF!)/E138*1000</f>
        <v>#REF!</v>
      </c>
      <c r="S156" s="178">
        <f t="shared" ref="S156:S158" si="32">Q156/$Q$166</f>
        <v>0.10152740341419586</v>
      </c>
      <c r="T156" s="168">
        <f>Q156*2</f>
        <v>6508.8</v>
      </c>
      <c r="U156" s="150">
        <f t="shared" si="29"/>
        <v>6508.8</v>
      </c>
      <c r="Z156" s="282">
        <f>T156</f>
        <v>6508.8</v>
      </c>
      <c r="AA156" s="171"/>
      <c r="AB156" s="282">
        <f>T156</f>
        <v>6508.8</v>
      </c>
      <c r="AF156" s="152"/>
    </row>
    <row r="157" spans="1:33" x14ac:dyDescent="0.3">
      <c r="A157" s="157" t="s">
        <v>676</v>
      </c>
      <c r="B157" s="157" t="s">
        <v>90</v>
      </c>
      <c r="C157" s="157" t="s">
        <v>517</v>
      </c>
      <c r="D157" s="157" t="s">
        <v>89</v>
      </c>
      <c r="E157" s="157" t="s">
        <v>520</v>
      </c>
      <c r="F157" s="158" t="s">
        <v>521</v>
      </c>
      <c r="G157" s="157">
        <v>7</v>
      </c>
      <c r="H157" s="157" t="s">
        <v>24</v>
      </c>
      <c r="I157" s="474"/>
      <c r="J157" s="1"/>
      <c r="K157" s="176">
        <v>7</v>
      </c>
      <c r="L157" s="177"/>
      <c r="M157" s="163">
        <v>1</v>
      </c>
      <c r="N157" s="166">
        <v>600</v>
      </c>
      <c r="O157" s="173">
        <v>0.2</v>
      </c>
      <c r="P157" s="166">
        <f t="shared" si="30"/>
        <v>480</v>
      </c>
      <c r="Q157" s="166">
        <f t="shared" si="28"/>
        <v>3360</v>
      </c>
      <c r="R157" s="206" t="e">
        <f>(Q157+#REF!)/E140*1000</f>
        <v>#REF!</v>
      </c>
      <c r="S157" s="178">
        <f t="shared" si="32"/>
        <v>0.10482180293501048</v>
      </c>
      <c r="T157" s="168">
        <f t="shared" si="31"/>
        <v>6720</v>
      </c>
      <c r="U157" s="150">
        <f t="shared" si="29"/>
        <v>6720</v>
      </c>
      <c r="W157" s="169"/>
      <c r="Z157" s="283">
        <f>T157</f>
        <v>6720</v>
      </c>
      <c r="AA157" s="171"/>
      <c r="AB157" s="280"/>
      <c r="AC157" s="169">
        <f>T157</f>
        <v>6720</v>
      </c>
      <c r="AF157" s="152"/>
    </row>
    <row r="158" spans="1:33" x14ac:dyDescent="0.3">
      <c r="A158" s="157" t="s">
        <v>676</v>
      </c>
      <c r="B158" s="157" t="s">
        <v>41</v>
      </c>
      <c r="C158" s="157" t="s">
        <v>525</v>
      </c>
      <c r="D158" s="157" t="s">
        <v>92</v>
      </c>
      <c r="E158" s="157" t="s">
        <v>520</v>
      </c>
      <c r="F158" s="158" t="s">
        <v>589</v>
      </c>
      <c r="G158" s="157">
        <v>1</v>
      </c>
      <c r="H158" s="157" t="s">
        <v>93</v>
      </c>
      <c r="I158" s="182">
        <v>1</v>
      </c>
      <c r="J158" s="2382"/>
      <c r="K158" s="183">
        <v>1</v>
      </c>
      <c r="L158" s="2239"/>
      <c r="M158" s="163">
        <v>2</v>
      </c>
      <c r="N158" s="473">
        <v>1600</v>
      </c>
      <c r="O158" s="165">
        <v>0.7</v>
      </c>
      <c r="P158" s="476">
        <f t="shared" si="30"/>
        <v>480.00000000000006</v>
      </c>
      <c r="Q158" s="473">
        <f t="shared" si="28"/>
        <v>960.00000000000011</v>
      </c>
      <c r="R158" s="9"/>
      <c r="S158" s="178">
        <f t="shared" si="32"/>
        <v>2.9949086552860139E-2</v>
      </c>
      <c r="T158" s="168">
        <f t="shared" si="31"/>
        <v>1920.0000000000002</v>
      </c>
      <c r="U158" s="565"/>
      <c r="W158" s="169">
        <f>T158</f>
        <v>1920.0000000000002</v>
      </c>
      <c r="Z158" s="282">
        <f>T158</f>
        <v>1920.0000000000002</v>
      </c>
      <c r="AA158" s="171"/>
      <c r="AB158" s="280"/>
      <c r="AD158" s="169"/>
      <c r="AE158" s="169">
        <f>T158</f>
        <v>1920.0000000000002</v>
      </c>
      <c r="AF158" s="152"/>
    </row>
    <row r="159" spans="1:33" x14ac:dyDescent="0.3">
      <c r="A159" s="157" t="s">
        <v>676</v>
      </c>
      <c r="B159" s="157" t="s">
        <v>94</v>
      </c>
      <c r="C159" s="157"/>
      <c r="D159" s="157" t="s">
        <v>32</v>
      </c>
      <c r="E159" s="157" t="s">
        <v>650</v>
      </c>
      <c r="F159" s="158"/>
      <c r="G159" s="157">
        <v>2</v>
      </c>
      <c r="H159" s="157" t="s">
        <v>58</v>
      </c>
      <c r="I159" s="643">
        <v>2</v>
      </c>
      <c r="J159" s="1"/>
      <c r="K159" s="183">
        <v>2</v>
      </c>
      <c r="L159" s="163"/>
      <c r="M159" s="163">
        <v>2</v>
      </c>
      <c r="N159" s="473">
        <f>256*8</f>
        <v>2048</v>
      </c>
      <c r="O159" s="165">
        <v>0.4</v>
      </c>
      <c r="P159" s="476">
        <f t="shared" si="30"/>
        <v>1228.8</v>
      </c>
      <c r="Q159" s="473">
        <f t="shared" si="28"/>
        <v>4915.2</v>
      </c>
      <c r="R159" s="9"/>
      <c r="S159" s="632">
        <f>Q159/$Q$166</f>
        <v>0.15333932315064389</v>
      </c>
      <c r="T159" s="168">
        <f t="shared" si="31"/>
        <v>9830.4</v>
      </c>
      <c r="U159" s="565"/>
      <c r="W159" s="169">
        <f>T159</f>
        <v>9830.4</v>
      </c>
      <c r="Z159" s="282"/>
      <c r="AA159" s="171"/>
      <c r="AB159" s="280"/>
      <c r="AE159" s="169"/>
      <c r="AF159" s="171">
        <f>T159</f>
        <v>9830.4</v>
      </c>
    </row>
    <row r="160" spans="1:33" x14ac:dyDescent="0.3">
      <c r="A160" s="157"/>
      <c r="B160" s="157"/>
      <c r="C160" s="157"/>
      <c r="D160" s="157"/>
      <c r="E160" s="157"/>
      <c r="F160" s="158"/>
      <c r="G160" s="157"/>
      <c r="H160" s="157"/>
      <c r="I160" s="474"/>
      <c r="J160" s="1"/>
      <c r="K160" s="1"/>
      <c r="L160" s="163"/>
      <c r="M160" s="163"/>
      <c r="N160" s="473"/>
      <c r="O160" s="165"/>
      <c r="P160" s="476"/>
      <c r="Q160" s="473"/>
      <c r="R160" s="9"/>
      <c r="S160" s="506"/>
      <c r="T160" s="478"/>
      <c r="U160" s="565"/>
      <c r="Z160" s="282"/>
      <c r="AA160" s="171"/>
      <c r="AB160" s="280"/>
      <c r="AF160" s="152"/>
    </row>
    <row r="161" spans="1:32" x14ac:dyDescent="0.3">
      <c r="A161" s="157"/>
      <c r="B161" s="157"/>
      <c r="C161" s="157"/>
      <c r="D161" s="157"/>
      <c r="E161" s="157"/>
      <c r="F161" s="158"/>
      <c r="G161" s="157"/>
      <c r="H161" s="157"/>
      <c r="I161" s="474"/>
      <c r="J161" s="1"/>
      <c r="K161" s="1"/>
      <c r="L161" s="163"/>
      <c r="M161" s="163"/>
      <c r="N161" s="473"/>
      <c r="O161" s="165"/>
      <c r="P161" s="476"/>
      <c r="Q161" s="473"/>
      <c r="R161" s="9"/>
      <c r="S161" s="506"/>
      <c r="T161" s="478"/>
      <c r="U161" s="565"/>
      <c r="Z161" s="282"/>
      <c r="AA161" s="171"/>
      <c r="AB161" s="280"/>
      <c r="AF161" s="152"/>
    </row>
    <row r="162" spans="1:32" x14ac:dyDescent="0.3">
      <c r="A162" s="157"/>
      <c r="B162" s="157"/>
      <c r="C162" s="157"/>
      <c r="D162" s="157"/>
      <c r="E162" s="157"/>
      <c r="F162" s="158"/>
      <c r="G162" s="157"/>
      <c r="H162" s="157"/>
      <c r="I162" s="474"/>
      <c r="J162" s="1"/>
      <c r="K162" s="1"/>
      <c r="L162" s="163"/>
      <c r="M162" s="163"/>
      <c r="N162" s="473"/>
      <c r="O162" s="165"/>
      <c r="P162" s="476"/>
      <c r="Q162" s="473"/>
      <c r="R162" s="9"/>
      <c r="S162" s="506"/>
      <c r="T162" s="478"/>
      <c r="U162" s="565"/>
      <c r="Z162" s="282"/>
      <c r="AA162" s="171"/>
      <c r="AB162" s="280"/>
      <c r="AF162" s="152"/>
    </row>
    <row r="163" spans="1:32" x14ac:dyDescent="0.3">
      <c r="A163" s="190" t="s">
        <v>676</v>
      </c>
      <c r="B163" s="190" t="s">
        <v>528</v>
      </c>
      <c r="C163" s="190"/>
      <c r="D163" s="190"/>
      <c r="E163" s="190"/>
      <c r="F163" s="191"/>
      <c r="G163" s="190"/>
      <c r="H163" s="190"/>
      <c r="I163" s="192"/>
      <c r="J163" s="193"/>
      <c r="K163" s="193"/>
      <c r="L163" s="630"/>
      <c r="M163" s="630"/>
      <c r="N163" s="194"/>
      <c r="O163" s="195"/>
      <c r="P163" s="186"/>
      <c r="Q163" s="166"/>
      <c r="R163" s="288"/>
      <c r="S163" s="196"/>
      <c r="T163" s="168">
        <f t="shared" ref="T163" si="33">Q163*2</f>
        <v>0</v>
      </c>
      <c r="U163" s="150"/>
      <c r="X163" s="169">
        <f>T163</f>
        <v>0</v>
      </c>
      <c r="Z163" s="280"/>
      <c r="AA163" s="171"/>
      <c r="AB163" s="280"/>
      <c r="AF163" s="152"/>
    </row>
    <row r="164" spans="1:32" x14ac:dyDescent="0.3">
      <c r="A164" s="108" t="s">
        <v>676</v>
      </c>
      <c r="B164" s="108" t="s">
        <v>529</v>
      </c>
      <c r="C164" s="108"/>
      <c r="D164" s="108" t="s">
        <v>530</v>
      </c>
      <c r="E164" s="108"/>
      <c r="F164" s="479"/>
      <c r="G164" s="108"/>
      <c r="H164" s="108"/>
      <c r="I164" s="254"/>
      <c r="J164" s="254"/>
      <c r="K164" s="254"/>
      <c r="L164" s="254"/>
      <c r="M164" s="108"/>
      <c r="N164" s="257"/>
      <c r="O164" s="109"/>
      <c r="P164" s="290"/>
      <c r="Q164" s="257">
        <v>10000</v>
      </c>
      <c r="R164" s="480"/>
      <c r="S164" s="291">
        <f>Q164/Q166</f>
        <v>0.31196965159229306</v>
      </c>
      <c r="T164" s="168">
        <f>Q164*2</f>
        <v>20000</v>
      </c>
      <c r="U164" s="150"/>
      <c r="Y164" s="169">
        <f>T164</f>
        <v>20000</v>
      </c>
      <c r="Z164" s="280"/>
      <c r="AA164" s="152"/>
      <c r="AB164" s="280"/>
      <c r="AF164" s="152"/>
    </row>
    <row r="165" spans="1:32" x14ac:dyDescent="0.3">
      <c r="H165" s="3"/>
      <c r="I165" s="115">
        <f>I166/M166</f>
        <v>0.54545454545454541</v>
      </c>
      <c r="J165" s="115"/>
      <c r="K165" s="115">
        <f>K166/M166</f>
        <v>0.45454545454545453</v>
      </c>
      <c r="T165" s="645"/>
      <c r="U165" s="578"/>
      <c r="V165" s="245"/>
      <c r="W165" s="245"/>
      <c r="X165" s="245"/>
      <c r="Y165" s="245"/>
      <c r="Z165" s="566"/>
      <c r="AA165" s="567"/>
      <c r="AB165" s="566"/>
      <c r="AC165" s="245"/>
      <c r="AD165" s="245"/>
      <c r="AE165" s="245"/>
      <c r="AF165" s="567"/>
    </row>
    <row r="166" spans="1:32" x14ac:dyDescent="0.3">
      <c r="A166" s="396" t="s">
        <v>531</v>
      </c>
      <c r="B166" s="373"/>
      <c r="C166" s="373"/>
      <c r="D166" s="373"/>
      <c r="E166" s="373"/>
      <c r="F166" s="397"/>
      <c r="G166" s="373"/>
      <c r="H166" s="373"/>
      <c r="I166" s="373">
        <f>I156+I155+I154+I158+I159</f>
        <v>12</v>
      </c>
      <c r="J166" s="373"/>
      <c r="K166" s="373">
        <f>K157+K158+K159</f>
        <v>10</v>
      </c>
      <c r="L166" s="373"/>
      <c r="M166" s="373">
        <f>SUM(I166:L166)</f>
        <v>22</v>
      </c>
      <c r="N166" s="398"/>
      <c r="O166" s="399"/>
      <c r="P166" s="398"/>
      <c r="Q166" s="400">
        <f>SUM(Q154:Q165)</f>
        <v>32054.400000000001</v>
      </c>
      <c r="R166" s="400"/>
      <c r="S166" s="401">
        <f>SUM(S154:S164)</f>
        <v>1</v>
      </c>
      <c r="T166" s="651">
        <f>SUM(T154:T165)</f>
        <v>64108.800000000003</v>
      </c>
      <c r="U166" s="652">
        <f t="shared" ref="U166:AA166" si="34">SUM(U154:U164)</f>
        <v>32358.400000000001</v>
      </c>
      <c r="V166" s="652">
        <f t="shared" si="34"/>
        <v>0</v>
      </c>
      <c r="W166" s="652">
        <f t="shared" si="34"/>
        <v>11750.4</v>
      </c>
      <c r="X166" s="652">
        <f t="shared" si="34"/>
        <v>0</v>
      </c>
      <c r="Y166" s="652">
        <f t="shared" si="34"/>
        <v>20000</v>
      </c>
      <c r="Z166" s="653">
        <f t="shared" si="34"/>
        <v>27110.400000000001</v>
      </c>
      <c r="AA166" s="654">
        <f t="shared" si="34"/>
        <v>7168</v>
      </c>
      <c r="AB166" s="652">
        <f>SUM(AB154:AB165)</f>
        <v>25638.400000000001</v>
      </c>
      <c r="AC166" s="652">
        <f>SUM(AC154:AC165)</f>
        <v>6720</v>
      </c>
      <c r="AD166" s="652">
        <f t="shared" ref="AD166:AE166" si="35">SUM(AD154:AD165)</f>
        <v>0</v>
      </c>
      <c r="AE166" s="652">
        <f t="shared" si="35"/>
        <v>1920.0000000000002</v>
      </c>
      <c r="AF166" s="654">
        <f>SUM(AF153:AF165)</f>
        <v>9830.4</v>
      </c>
    </row>
    <row r="167" spans="1:32" x14ac:dyDescent="0.3">
      <c r="A167" s="410" t="s">
        <v>532</v>
      </c>
      <c r="B167" s="411"/>
      <c r="C167" s="411"/>
      <c r="D167" s="411"/>
      <c r="E167" s="411"/>
      <c r="F167" s="412"/>
      <c r="G167" s="411"/>
      <c r="H167" s="411"/>
      <c r="I167" s="411">
        <f>I156+I155+I154+I158+I159</f>
        <v>12</v>
      </c>
      <c r="J167" s="411">
        <f>I156+I155+I154+I158</f>
        <v>10</v>
      </c>
      <c r="K167" s="411">
        <f>K157+I156+I154+K158+K159</f>
        <v>12</v>
      </c>
      <c r="L167" s="411">
        <f>K157+I156+I154+K158</f>
        <v>10</v>
      </c>
      <c r="M167" s="411">
        <f>SUM(I167:L167)</f>
        <v>44</v>
      </c>
      <c r="N167" s="413"/>
      <c r="O167" s="414"/>
      <c r="P167" s="413"/>
      <c r="Q167" s="413"/>
      <c r="R167" s="413"/>
      <c r="S167" s="415"/>
      <c r="T167" s="416"/>
      <c r="U167" s="638">
        <f>U166/T166</f>
        <v>0.50474193870420281</v>
      </c>
      <c r="V167" s="418">
        <f>V166/T166</f>
        <v>0</v>
      </c>
      <c r="W167" s="418">
        <f>W166/T166</f>
        <v>0.18328840970350402</v>
      </c>
      <c r="X167" s="418">
        <f>X166/T166</f>
        <v>0</v>
      </c>
      <c r="Y167" s="418">
        <f>Y166/T166</f>
        <v>0.31196965159229306</v>
      </c>
      <c r="Z167" s="420">
        <f>Z166/T166</f>
        <v>0.42288110212638513</v>
      </c>
      <c r="AA167" s="419">
        <f>AA166/T166</f>
        <v>0.11180992313067785</v>
      </c>
      <c r="AB167" s="549"/>
      <c r="AC167" s="550"/>
      <c r="AD167" s="550"/>
      <c r="AE167" s="550"/>
      <c r="AF167" s="424"/>
    </row>
    <row r="168" spans="1:32" x14ac:dyDescent="0.3">
      <c r="A168" s="243" t="s">
        <v>533</v>
      </c>
      <c r="B168" s="193"/>
      <c r="C168" s="193"/>
      <c r="D168" s="193"/>
      <c r="E168" s="193"/>
      <c r="F168" s="244"/>
      <c r="G168" s="193"/>
      <c r="H168" s="193"/>
      <c r="I168" s="2182">
        <f>I167/M167</f>
        <v>0.27272727272727271</v>
      </c>
      <c r="J168" s="2182">
        <f>J167/M167</f>
        <v>0.22727272727272727</v>
      </c>
      <c r="K168" s="2182">
        <f>K167/M167</f>
        <v>0.27272727272727271</v>
      </c>
      <c r="L168" s="2182">
        <f>L167/M167</f>
        <v>0.22727272727272727</v>
      </c>
      <c r="M168" s="193"/>
      <c r="N168" s="246"/>
      <c r="O168" s="196"/>
      <c r="P168" s="246"/>
      <c r="Q168" s="194">
        <f>U166/2</f>
        <v>16179.2</v>
      </c>
      <c r="R168" s="288"/>
      <c r="S168" s="247">
        <f>Q168/Q173</f>
        <v>0.50474193870420281</v>
      </c>
      <c r="Y168" s="248"/>
      <c r="Z168" s="357">
        <f>I155+I156+K157+I158+K158</f>
        <v>17</v>
      </c>
      <c r="AA168" s="358">
        <f>I154</f>
        <v>1</v>
      </c>
    </row>
    <row r="169" spans="1:32" x14ac:dyDescent="0.3">
      <c r="A169" s="251" t="s">
        <v>11</v>
      </c>
      <c r="B169" s="252"/>
      <c r="C169" s="252"/>
      <c r="D169" s="252"/>
      <c r="E169" s="252"/>
      <c r="F169" s="253"/>
      <c r="G169" s="252"/>
      <c r="H169" s="252"/>
      <c r="I169" s="254"/>
      <c r="J169" s="254"/>
      <c r="K169" s="254"/>
      <c r="L169" s="254"/>
      <c r="M169" s="252"/>
      <c r="N169" s="255"/>
      <c r="O169" s="256"/>
      <c r="P169" s="255"/>
      <c r="Q169" s="257">
        <f>V166/2</f>
        <v>0</v>
      </c>
      <c r="R169" s="290"/>
      <c r="S169" s="256">
        <f>Q169/Q173</f>
        <v>0</v>
      </c>
      <c r="T169" s="551">
        <f>Q166/M166</f>
        <v>1457.0181818181818</v>
      </c>
      <c r="U169" s="426" t="s">
        <v>535</v>
      </c>
      <c r="Z169" s="195">
        <f>Z168/M166</f>
        <v>0.77272727272727271</v>
      </c>
      <c r="AA169" s="247">
        <f>AA168/M166</f>
        <v>4.5454545454545456E-2</v>
      </c>
    </row>
    <row r="170" spans="1:32" x14ac:dyDescent="0.3">
      <c r="A170" s="251" t="s">
        <v>536</v>
      </c>
      <c r="B170" s="252"/>
      <c r="C170" s="252"/>
      <c r="D170" s="252"/>
      <c r="E170" s="252"/>
      <c r="F170" s="253"/>
      <c r="G170" s="252"/>
      <c r="H170" s="252"/>
      <c r="I170" s="254"/>
      <c r="J170" s="254"/>
      <c r="K170" s="254"/>
      <c r="L170" s="254"/>
      <c r="M170" s="252"/>
      <c r="N170" s="255"/>
      <c r="O170" s="256"/>
      <c r="P170" s="255"/>
      <c r="Q170" s="257">
        <f>W166/2</f>
        <v>5875.2</v>
      </c>
      <c r="R170" s="290"/>
      <c r="S170" s="262">
        <f>Q170/Q173</f>
        <v>0.18328840970350402</v>
      </c>
      <c r="V170" s="263"/>
      <c r="X170" s="99"/>
      <c r="Z170" s="2265" t="s">
        <v>537</v>
      </c>
      <c r="AA170" s="2265"/>
    </row>
    <row r="171" spans="1:32" x14ac:dyDescent="0.3">
      <c r="A171" s="251" t="s">
        <v>529</v>
      </c>
      <c r="B171" s="252"/>
      <c r="C171" s="252"/>
      <c r="D171" s="252"/>
      <c r="E171" s="252"/>
      <c r="F171" s="253"/>
      <c r="G171" s="252"/>
      <c r="H171" s="252"/>
      <c r="I171" s="254"/>
      <c r="J171" s="254"/>
      <c r="K171" s="254"/>
      <c r="L171" s="254"/>
      <c r="M171" s="252"/>
      <c r="N171" s="255"/>
      <c r="O171" s="256"/>
      <c r="P171" s="255"/>
      <c r="Q171" s="257">
        <f>Y166/2</f>
        <v>10000</v>
      </c>
      <c r="R171" s="290"/>
      <c r="S171" s="262">
        <f>Q171/Q173</f>
        <v>0.31196965159229306</v>
      </c>
      <c r="V171" s="263"/>
    </row>
    <row r="172" spans="1:32" x14ac:dyDescent="0.3">
      <c r="A172" s="251" t="s">
        <v>528</v>
      </c>
      <c r="B172" s="252"/>
      <c r="C172" s="252"/>
      <c r="D172" s="252"/>
      <c r="E172" s="252"/>
      <c r="F172" s="253"/>
      <c r="G172" s="252"/>
      <c r="H172" s="252"/>
      <c r="I172" s="254"/>
      <c r="J172" s="254"/>
      <c r="K172" s="254"/>
      <c r="L172" s="254"/>
      <c r="M172" s="252"/>
      <c r="N172" s="255"/>
      <c r="O172" s="256"/>
      <c r="P172" s="255"/>
      <c r="Q172" s="257">
        <f>X166/2</f>
        <v>0</v>
      </c>
      <c r="R172" s="290"/>
      <c r="S172" s="262">
        <f>Q172/Q173</f>
        <v>0</v>
      </c>
    </row>
    <row r="173" spans="1:32" x14ac:dyDescent="0.3">
      <c r="A173" s="251"/>
      <c r="B173" s="252"/>
      <c r="C173" s="252"/>
      <c r="D173" s="252"/>
      <c r="E173" s="252"/>
      <c r="F173" s="253"/>
      <c r="G173" s="252"/>
      <c r="H173" s="252"/>
      <c r="I173" s="254"/>
      <c r="J173" s="254"/>
      <c r="K173" s="254"/>
      <c r="L173" s="254"/>
      <c r="M173" s="252"/>
      <c r="N173" s="255"/>
      <c r="O173" s="256"/>
      <c r="P173" s="255"/>
      <c r="Q173" s="264">
        <f>SUM(Q168:Q172)</f>
        <v>32054.400000000001</v>
      </c>
      <c r="R173" s="490"/>
      <c r="S173" s="262">
        <f>SUM(S168:S172)</f>
        <v>0.99999999999999989</v>
      </c>
    </row>
    <row r="174" spans="1:32" x14ac:dyDescent="0.3">
      <c r="D174" s="304"/>
      <c r="E174" s="304"/>
      <c r="G174" s="304"/>
      <c r="H174" s="304"/>
      <c r="AA174" s="655">
        <f>SUM(AB175:AF175)</f>
        <v>315881.60000000003</v>
      </c>
      <c r="AB174" s="656" t="s">
        <v>85</v>
      </c>
      <c r="AC174" s="657" t="s">
        <v>86</v>
      </c>
      <c r="AD174" s="657" t="s">
        <v>19</v>
      </c>
      <c r="AE174" s="657" t="s">
        <v>5</v>
      </c>
      <c r="AF174" s="658" t="s">
        <v>72</v>
      </c>
    </row>
    <row r="175" spans="1:32" ht="18" x14ac:dyDescent="0.35">
      <c r="A175" s="430" t="s">
        <v>569</v>
      </c>
      <c r="B175" s="431"/>
      <c r="C175" s="431"/>
      <c r="D175" s="432"/>
      <c r="E175" s="432"/>
      <c r="F175" s="433"/>
      <c r="G175" s="432"/>
      <c r="H175" s="432"/>
      <c r="I175" s="434"/>
      <c r="J175" s="434"/>
      <c r="K175" s="434"/>
      <c r="L175" s="434"/>
      <c r="M175" s="431"/>
      <c r="N175" s="435"/>
      <c r="O175" s="436"/>
      <c r="P175" s="435"/>
      <c r="Q175" s="435"/>
      <c r="R175" s="436"/>
      <c r="S175" s="437"/>
      <c r="T175" s="435">
        <f>T166+T132+T103+T73+T44</f>
        <v>466712</v>
      </c>
      <c r="AA175" s="554" t="s">
        <v>601</v>
      </c>
      <c r="AB175" s="659">
        <f>AB166+AB132+AB103+AB73+AB44</f>
        <v>214838.40000000002</v>
      </c>
      <c r="AC175" s="660">
        <f t="shared" ref="AC175:AF175" si="36">AC166+AC132+AC103+AC73+AC44</f>
        <v>55200</v>
      </c>
      <c r="AD175" s="660">
        <f t="shared" si="36"/>
        <v>23840</v>
      </c>
      <c r="AE175" s="660">
        <f t="shared" si="36"/>
        <v>4800.0000000000009</v>
      </c>
      <c r="AF175" s="660">
        <f t="shared" si="36"/>
        <v>17203.199999999997</v>
      </c>
    </row>
    <row r="176" spans="1:32" x14ac:dyDescent="0.3">
      <c r="S176" s="3" t="s">
        <v>571</v>
      </c>
      <c r="T176" s="99">
        <f>D18-T175</f>
        <v>290489.25</v>
      </c>
      <c r="AA176" s="554"/>
      <c r="AB176" s="554"/>
      <c r="AC176" s="554"/>
      <c r="AD176" s="554"/>
      <c r="AE176" s="554"/>
      <c r="AF176" s="554"/>
    </row>
    <row r="177" spans="27:32" x14ac:dyDescent="0.3">
      <c r="AA177" s="554"/>
      <c r="AB177" s="554"/>
      <c r="AC177" s="554"/>
      <c r="AD177" s="554"/>
      <c r="AE177" s="554"/>
      <c r="AF177" s="55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60"/>
  <sheetViews>
    <sheetView topLeftCell="A9" workbookViewId="0">
      <selection activeCell="H28" sqref="H28:H33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1166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328</v>
      </c>
      <c r="C2" t="s">
        <v>358</v>
      </c>
      <c r="D2" t="s">
        <v>359</v>
      </c>
      <c r="E2" s="1" t="s">
        <v>87</v>
      </c>
      <c r="F2" s="1" t="s">
        <v>88</v>
      </c>
      <c r="G2" s="2186">
        <v>4</v>
      </c>
      <c r="H2" s="2186">
        <f>VLOOKUP(G2,Pesos!A:B,2,0)</f>
        <v>0.6</v>
      </c>
      <c r="I2" s="1"/>
      <c r="J2" s="1" t="s">
        <v>308</v>
      </c>
      <c r="K2" s="1">
        <v>3</v>
      </c>
      <c r="L2" s="1">
        <v>5</v>
      </c>
      <c r="M2" s="1">
        <v>2</v>
      </c>
      <c r="N2" s="1" t="s">
        <v>24</v>
      </c>
      <c r="O2" s="1">
        <v>2</v>
      </c>
      <c r="P2" s="1"/>
      <c r="Q2" s="1"/>
      <c r="R2" s="1"/>
      <c r="S2" s="1">
        <v>1</v>
      </c>
      <c r="T2" s="15">
        <v>4480</v>
      </c>
      <c r="U2" s="29">
        <v>0.2</v>
      </c>
      <c r="V2" s="25">
        <f>T2*(1-U2)</f>
        <v>3584</v>
      </c>
      <c r="W2" s="25">
        <f>V2*S2*M2</f>
        <v>7168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328</v>
      </c>
      <c r="C3" t="s">
        <v>358</v>
      </c>
      <c r="D3" t="s">
        <v>359</v>
      </c>
      <c r="E3" s="1" t="s">
        <v>87</v>
      </c>
      <c r="F3" s="1" t="s">
        <v>89</v>
      </c>
      <c r="G3" s="2186">
        <v>3</v>
      </c>
      <c r="H3" s="2186">
        <f>VLOOKUP(G3,Pesos!A:B,2,0)</f>
        <v>0.7</v>
      </c>
      <c r="I3" s="1" t="s">
        <v>308</v>
      </c>
      <c r="K3" s="1">
        <v>8</v>
      </c>
      <c r="L3" s="1">
        <v>15</v>
      </c>
      <c r="M3" s="1">
        <v>15</v>
      </c>
      <c r="N3" s="1" t="s">
        <v>63</v>
      </c>
      <c r="O3" s="1">
        <v>15</v>
      </c>
      <c r="S3" s="1">
        <v>1</v>
      </c>
      <c r="T3" s="5">
        <v>1068</v>
      </c>
      <c r="U3" s="29">
        <v>0.2</v>
      </c>
      <c r="V3" s="26">
        <f>T3*(1-U3)</f>
        <v>854.40000000000009</v>
      </c>
      <c r="W3" s="26">
        <f>V3*S3*M3</f>
        <v>12816.000000000002</v>
      </c>
      <c r="X3" s="6"/>
      <c r="Y3" s="22"/>
      <c r="Z3" s="1"/>
    </row>
    <row r="4" spans="1:32" x14ac:dyDescent="0.3">
      <c r="A4" t="s">
        <v>327</v>
      </c>
      <c r="B4" t="s">
        <v>328</v>
      </c>
      <c r="C4" t="s">
        <v>358</v>
      </c>
      <c r="D4" t="s">
        <v>359</v>
      </c>
      <c r="E4" s="1" t="s">
        <v>87</v>
      </c>
      <c r="F4" s="1" t="s">
        <v>26</v>
      </c>
      <c r="G4" s="2186">
        <v>1</v>
      </c>
      <c r="H4" s="2186">
        <f>VLOOKUP(G4,Pesos!A:B,2,0)</f>
        <v>0.9</v>
      </c>
      <c r="I4" s="1" t="s">
        <v>308</v>
      </c>
      <c r="K4" s="1">
        <v>2</v>
      </c>
      <c r="L4" s="1">
        <v>4</v>
      </c>
      <c r="M4" s="1">
        <v>2</v>
      </c>
      <c r="N4" s="1" t="s">
        <v>24</v>
      </c>
      <c r="O4" s="1">
        <v>2</v>
      </c>
      <c r="S4" s="1">
        <v>1</v>
      </c>
      <c r="T4" s="5">
        <v>4068</v>
      </c>
      <c r="U4" s="29">
        <v>0.2</v>
      </c>
      <c r="V4" s="26">
        <f t="shared" ref="V4" si="0">T4*(1-U4)</f>
        <v>3254.4</v>
      </c>
      <c r="W4" s="26">
        <f>V4*S4*M4</f>
        <v>6508.8</v>
      </c>
      <c r="X4" s="6"/>
      <c r="Y4" s="22"/>
      <c r="Z4" s="1"/>
    </row>
    <row r="5" spans="1:32" x14ac:dyDescent="0.3">
      <c r="A5" t="s">
        <v>327</v>
      </c>
      <c r="B5" t="s">
        <v>328</v>
      </c>
      <c r="C5" t="s">
        <v>358</v>
      </c>
      <c r="D5" t="s">
        <v>359</v>
      </c>
      <c r="E5" s="1" t="s">
        <v>90</v>
      </c>
      <c r="F5" s="1" t="s">
        <v>89</v>
      </c>
      <c r="G5" s="2186">
        <v>3</v>
      </c>
      <c r="H5" s="2186">
        <f>VLOOKUP(G5,Pesos!A:B,2,0)</f>
        <v>0.7</v>
      </c>
      <c r="I5" s="1" t="s">
        <v>308</v>
      </c>
      <c r="K5" s="1">
        <v>8</v>
      </c>
      <c r="L5" s="2" t="s">
        <v>256</v>
      </c>
      <c r="M5" s="1">
        <v>15</v>
      </c>
      <c r="N5" s="1" t="s">
        <v>63</v>
      </c>
      <c r="Q5" s="1">
        <v>15</v>
      </c>
      <c r="S5" s="1">
        <v>1</v>
      </c>
      <c r="T5" s="5">
        <v>600</v>
      </c>
      <c r="U5" s="29">
        <v>0.2</v>
      </c>
      <c r="V5" s="26">
        <f>T5*(1-U5)</f>
        <v>480</v>
      </c>
      <c r="W5" s="26">
        <f>V5*S5*M5</f>
        <v>7200</v>
      </c>
      <c r="X5" s="18"/>
      <c r="Y5" s="22"/>
      <c r="Z5" s="1"/>
    </row>
    <row r="6" spans="1:32" x14ac:dyDescent="0.3">
      <c r="A6" t="s">
        <v>327</v>
      </c>
      <c r="B6" t="s">
        <v>328</v>
      </c>
      <c r="C6" t="s">
        <v>358</v>
      </c>
      <c r="D6" t="s">
        <v>359</v>
      </c>
      <c r="E6" s="1" t="s">
        <v>55</v>
      </c>
      <c r="F6" s="1" t="s">
        <v>91</v>
      </c>
      <c r="G6" s="2186">
        <v>2</v>
      </c>
      <c r="H6" s="2186">
        <f>VLOOKUP(G6,Pesos!A:B,2,0)</f>
        <v>0.8</v>
      </c>
      <c r="J6" s="1" t="s">
        <v>308</v>
      </c>
      <c r="K6" s="1">
        <v>3</v>
      </c>
      <c r="L6" s="2" t="s">
        <v>229</v>
      </c>
      <c r="M6" s="1">
        <v>1</v>
      </c>
      <c r="N6" s="1" t="s">
        <v>24</v>
      </c>
      <c r="O6" s="1">
        <v>1</v>
      </c>
      <c r="S6" s="1">
        <v>1</v>
      </c>
      <c r="T6" s="9">
        <v>6250</v>
      </c>
      <c r="U6" s="29">
        <v>0.2</v>
      </c>
      <c r="V6" s="26">
        <f>T6*(1-U6)</f>
        <v>5000</v>
      </c>
      <c r="W6" s="26">
        <f>V6*S6*M6</f>
        <v>5000</v>
      </c>
      <c r="X6" s="6"/>
      <c r="Y6" s="22"/>
      <c r="Z6" s="1"/>
    </row>
    <row r="7" spans="1:32" x14ac:dyDescent="0.3">
      <c r="G7" s="2186"/>
      <c r="H7" s="2186"/>
      <c r="L7" s="2"/>
      <c r="M7" s="1"/>
      <c r="T7" s="5"/>
      <c r="U7" s="24"/>
      <c r="V7" s="26"/>
      <c r="W7" s="26"/>
      <c r="X7" s="6"/>
      <c r="Y7" s="22"/>
      <c r="Z7" s="1"/>
    </row>
    <row r="8" spans="1:32" x14ac:dyDescent="0.3">
      <c r="A8" t="s">
        <v>340</v>
      </c>
      <c r="B8" t="s">
        <v>328</v>
      </c>
      <c r="C8" t="s">
        <v>358</v>
      </c>
      <c r="D8" t="s">
        <v>359</v>
      </c>
      <c r="E8" s="1" t="s">
        <v>87</v>
      </c>
      <c r="F8" s="1" t="s">
        <v>88</v>
      </c>
      <c r="G8" s="2186">
        <v>5</v>
      </c>
      <c r="H8" s="2186">
        <f>VLOOKUP(G8,Pesos!A:B,2,0)</f>
        <v>0.5</v>
      </c>
      <c r="J8" s="1" t="s">
        <v>308</v>
      </c>
      <c r="K8" s="1">
        <v>3</v>
      </c>
      <c r="L8" s="2" t="s">
        <v>229</v>
      </c>
      <c r="M8" s="1">
        <v>2</v>
      </c>
      <c r="N8" s="1" t="s">
        <v>24</v>
      </c>
      <c r="O8" s="1">
        <v>1</v>
      </c>
      <c r="S8" s="1">
        <v>1</v>
      </c>
      <c r="T8" s="15">
        <v>4480</v>
      </c>
      <c r="U8" s="29">
        <v>0.2</v>
      </c>
      <c r="V8" s="26">
        <f t="shared" ref="V8:V13" si="1">T8*(1-U8)</f>
        <v>3584</v>
      </c>
      <c r="W8" s="26">
        <f t="shared" ref="W8:W13" si="2">V8*S8*M8</f>
        <v>7168</v>
      </c>
      <c r="X8" s="6"/>
      <c r="Y8" s="22"/>
      <c r="Z8" s="1"/>
    </row>
    <row r="9" spans="1:32" x14ac:dyDescent="0.3">
      <c r="A9" t="s">
        <v>340</v>
      </c>
      <c r="B9" t="s">
        <v>328</v>
      </c>
      <c r="C9" t="s">
        <v>358</v>
      </c>
      <c r="D9" t="s">
        <v>359</v>
      </c>
      <c r="E9" s="1" t="s">
        <v>87</v>
      </c>
      <c r="F9" s="1" t="s">
        <v>89</v>
      </c>
      <c r="G9" s="2186">
        <v>1</v>
      </c>
      <c r="H9" s="2186">
        <f>VLOOKUP(G9,Pesos!A:B,2,0)</f>
        <v>0.9</v>
      </c>
      <c r="I9" s="1" t="s">
        <v>308</v>
      </c>
      <c r="K9" s="1">
        <v>8</v>
      </c>
      <c r="L9" s="2" t="s">
        <v>256</v>
      </c>
      <c r="M9" s="1">
        <v>13</v>
      </c>
      <c r="N9" s="1" t="s">
        <v>63</v>
      </c>
      <c r="O9" s="1">
        <v>1</v>
      </c>
      <c r="S9" s="1">
        <v>1</v>
      </c>
      <c r="T9" s="5">
        <v>1068</v>
      </c>
      <c r="U9" s="24">
        <v>0.2</v>
      </c>
      <c r="V9" s="26">
        <f t="shared" si="1"/>
        <v>854.40000000000009</v>
      </c>
      <c r="W9" s="26">
        <f t="shared" si="2"/>
        <v>11107.2</v>
      </c>
      <c r="X9" s="6"/>
      <c r="Y9" s="22"/>
      <c r="Z9" s="1"/>
    </row>
    <row r="10" spans="1:32" x14ac:dyDescent="0.3">
      <c r="A10" t="s">
        <v>340</v>
      </c>
      <c r="B10" t="s">
        <v>328</v>
      </c>
      <c r="C10" t="s">
        <v>358</v>
      </c>
      <c r="D10" t="s">
        <v>359</v>
      </c>
      <c r="E10" s="1" t="s">
        <v>87</v>
      </c>
      <c r="F10" s="1" t="s">
        <v>26</v>
      </c>
      <c r="G10" s="2186">
        <v>2</v>
      </c>
      <c r="H10" s="2186">
        <f>VLOOKUP(G10,Pesos!A:B,2,0)</f>
        <v>0.8</v>
      </c>
      <c r="I10" s="1" t="s">
        <v>308</v>
      </c>
      <c r="K10" s="1">
        <v>2</v>
      </c>
      <c r="L10" s="2" t="s">
        <v>346</v>
      </c>
      <c r="M10" s="1">
        <v>1</v>
      </c>
      <c r="N10" s="1" t="s">
        <v>24</v>
      </c>
      <c r="O10" s="1">
        <v>13</v>
      </c>
      <c r="S10" s="1">
        <v>1</v>
      </c>
      <c r="T10" s="5">
        <v>4068</v>
      </c>
      <c r="U10" s="24">
        <v>0.2</v>
      </c>
      <c r="V10" s="26">
        <f t="shared" si="1"/>
        <v>3254.4</v>
      </c>
      <c r="W10" s="26">
        <f t="shared" si="2"/>
        <v>3254.4</v>
      </c>
      <c r="X10" s="6"/>
      <c r="Y10" s="22"/>
      <c r="Z10" s="1"/>
    </row>
    <row r="11" spans="1:32" x14ac:dyDescent="0.3">
      <c r="A11" t="s">
        <v>340</v>
      </c>
      <c r="B11" t="s">
        <v>328</v>
      </c>
      <c r="C11" t="s">
        <v>358</v>
      </c>
      <c r="D11" t="s">
        <v>359</v>
      </c>
      <c r="E11" s="1" t="s">
        <v>90</v>
      </c>
      <c r="F11" s="1" t="s">
        <v>89</v>
      </c>
      <c r="G11" s="2186">
        <v>1</v>
      </c>
      <c r="H11" s="2186">
        <f>VLOOKUP(G11,Pesos!A:B,2,0)</f>
        <v>0.9</v>
      </c>
      <c r="I11" s="1" t="s">
        <v>308</v>
      </c>
      <c r="K11" s="1">
        <v>8</v>
      </c>
      <c r="L11" s="2" t="s">
        <v>256</v>
      </c>
      <c r="M11" s="1">
        <v>13</v>
      </c>
      <c r="N11" s="1" t="s">
        <v>63</v>
      </c>
      <c r="O11" s="1">
        <v>2</v>
      </c>
      <c r="S11" s="1">
        <v>1</v>
      </c>
      <c r="T11" s="5">
        <v>600</v>
      </c>
      <c r="U11" s="24">
        <v>0.2</v>
      </c>
      <c r="V11" s="26">
        <f t="shared" si="1"/>
        <v>480</v>
      </c>
      <c r="W11" s="26">
        <f t="shared" si="2"/>
        <v>6240</v>
      </c>
      <c r="X11" s="6"/>
      <c r="Y11" s="22"/>
      <c r="Z11" s="1"/>
    </row>
    <row r="12" spans="1:32" x14ac:dyDescent="0.3">
      <c r="A12" t="s">
        <v>340</v>
      </c>
      <c r="B12" t="s">
        <v>328</v>
      </c>
      <c r="C12" t="s">
        <v>358</v>
      </c>
      <c r="D12" t="s">
        <v>359</v>
      </c>
      <c r="E12" s="1" t="s">
        <v>41</v>
      </c>
      <c r="F12" s="1" t="s">
        <v>92</v>
      </c>
      <c r="G12" s="2186">
        <v>3</v>
      </c>
      <c r="H12" s="2186">
        <f>VLOOKUP(G12,Pesos!A:B,2,0)</f>
        <v>0.7</v>
      </c>
      <c r="I12" s="1" t="s">
        <v>308</v>
      </c>
      <c r="K12" s="1">
        <v>2</v>
      </c>
      <c r="L12" s="2" t="s">
        <v>229</v>
      </c>
      <c r="M12" s="1">
        <v>4</v>
      </c>
      <c r="N12" s="1" t="s">
        <v>24</v>
      </c>
      <c r="Q12" s="1">
        <v>13</v>
      </c>
      <c r="S12" s="1">
        <v>1</v>
      </c>
      <c r="T12" s="9">
        <v>1600</v>
      </c>
      <c r="U12" s="29">
        <v>0.7</v>
      </c>
      <c r="V12" s="26">
        <f t="shared" si="1"/>
        <v>480.00000000000006</v>
      </c>
      <c r="W12" s="26">
        <f t="shared" si="2"/>
        <v>1920.0000000000002</v>
      </c>
      <c r="X12" s="6"/>
      <c r="Y12" s="22"/>
      <c r="Z12" s="1"/>
    </row>
    <row r="13" spans="1:32" x14ac:dyDescent="0.3">
      <c r="A13" t="s">
        <v>340</v>
      </c>
      <c r="B13" t="s">
        <v>328</v>
      </c>
      <c r="C13" t="s">
        <v>355</v>
      </c>
      <c r="D13" t="s">
        <v>356</v>
      </c>
      <c r="E13" s="1" t="s">
        <v>94</v>
      </c>
      <c r="F13" s="1" t="s">
        <v>32</v>
      </c>
      <c r="G13" s="2186">
        <v>4</v>
      </c>
      <c r="H13" s="2186">
        <f>VLOOKUP(G13,Pesos!A:B,2,0)</f>
        <v>0.6</v>
      </c>
      <c r="I13" s="1" t="s">
        <v>308</v>
      </c>
      <c r="K13" s="1">
        <v>5</v>
      </c>
      <c r="L13" s="2" t="s">
        <v>203</v>
      </c>
      <c r="M13" s="1">
        <v>4</v>
      </c>
      <c r="N13" s="1" t="s">
        <v>58</v>
      </c>
      <c r="O13" s="1">
        <v>7</v>
      </c>
      <c r="S13" s="1">
        <v>1</v>
      </c>
      <c r="T13" s="9">
        <f>256*8</f>
        <v>2048</v>
      </c>
      <c r="U13" s="29">
        <v>0.4</v>
      </c>
      <c r="V13" s="26">
        <f t="shared" si="1"/>
        <v>1228.8</v>
      </c>
      <c r="W13" s="26">
        <f t="shared" si="2"/>
        <v>4915.2</v>
      </c>
      <c r="X13" s="6"/>
      <c r="Y13" s="22"/>
      <c r="Z13" s="1"/>
    </row>
    <row r="14" spans="1:32" x14ac:dyDescent="0.3">
      <c r="G14" s="2186"/>
      <c r="H14" s="2186"/>
      <c r="L14" s="2"/>
      <c r="M14" s="1"/>
      <c r="T14" s="9"/>
      <c r="U14" s="29"/>
      <c r="V14" s="26"/>
      <c r="W14" s="26"/>
      <c r="X14" s="6"/>
      <c r="Y14" s="22"/>
      <c r="Z14" s="1"/>
    </row>
    <row r="15" spans="1:32" x14ac:dyDescent="0.3">
      <c r="A15" t="s">
        <v>342</v>
      </c>
      <c r="B15" t="s">
        <v>328</v>
      </c>
      <c r="C15" t="s">
        <v>358</v>
      </c>
      <c r="D15" t="s">
        <v>359</v>
      </c>
      <c r="E15" s="1" t="s">
        <v>87</v>
      </c>
      <c r="F15" s="1" t="s">
        <v>88</v>
      </c>
      <c r="G15" s="2186">
        <v>4</v>
      </c>
      <c r="H15" s="2186">
        <f>VLOOKUP(G15,Pesos!A:B,2,0)</f>
        <v>0.6</v>
      </c>
      <c r="J15" s="1" t="s">
        <v>308</v>
      </c>
      <c r="K15" s="1">
        <v>2</v>
      </c>
      <c r="L15" s="1">
        <v>4</v>
      </c>
      <c r="M15" s="1">
        <v>2</v>
      </c>
      <c r="N15" s="1" t="s">
        <v>24</v>
      </c>
      <c r="O15" s="1">
        <v>2</v>
      </c>
      <c r="S15" s="1">
        <v>1</v>
      </c>
      <c r="T15" s="15">
        <v>4480</v>
      </c>
      <c r="U15" s="29">
        <v>0.2</v>
      </c>
      <c r="V15" s="25">
        <f>T15*(1-U15)</f>
        <v>3584</v>
      </c>
      <c r="W15" s="25">
        <f>V15*S15*M15</f>
        <v>7168</v>
      </c>
      <c r="X15" s="18"/>
    </row>
    <row r="16" spans="1:32" x14ac:dyDescent="0.3">
      <c r="A16" t="s">
        <v>342</v>
      </c>
      <c r="B16" t="s">
        <v>328</v>
      </c>
      <c r="C16" t="s">
        <v>358</v>
      </c>
      <c r="D16" t="s">
        <v>359</v>
      </c>
      <c r="E16" s="1" t="s">
        <v>87</v>
      </c>
      <c r="F16" s="1" t="s">
        <v>89</v>
      </c>
      <c r="G16" s="2186">
        <v>3</v>
      </c>
      <c r="H16" s="2186">
        <f>VLOOKUP(G16,Pesos!A:B,2,0)</f>
        <v>0.7</v>
      </c>
      <c r="I16" s="1" t="s">
        <v>308</v>
      </c>
      <c r="K16" s="1">
        <v>6</v>
      </c>
      <c r="L16" s="1">
        <v>12</v>
      </c>
      <c r="M16" s="1">
        <v>12</v>
      </c>
      <c r="N16" s="1" t="s">
        <v>63</v>
      </c>
      <c r="O16" s="1">
        <v>12</v>
      </c>
      <c r="S16" s="1">
        <v>1</v>
      </c>
      <c r="T16" s="5">
        <v>1068</v>
      </c>
      <c r="U16" s="29">
        <v>0.2</v>
      </c>
      <c r="V16" s="26">
        <f>T16*(1-U16)</f>
        <v>854.40000000000009</v>
      </c>
      <c r="W16" s="26">
        <f>V16*S16*M16</f>
        <v>10252.800000000001</v>
      </c>
      <c r="X16" s="6"/>
    </row>
    <row r="17" spans="1:24" x14ac:dyDescent="0.3">
      <c r="A17" t="s">
        <v>342</v>
      </c>
      <c r="B17" t="s">
        <v>328</v>
      </c>
      <c r="C17" t="s">
        <v>358</v>
      </c>
      <c r="D17" t="s">
        <v>359</v>
      </c>
      <c r="E17" s="1" t="s">
        <v>87</v>
      </c>
      <c r="F17" s="1" t="s">
        <v>26</v>
      </c>
      <c r="G17" s="2186">
        <v>1</v>
      </c>
      <c r="H17" s="2186">
        <f>VLOOKUP(G17,Pesos!A:B,2,0)</f>
        <v>0.9</v>
      </c>
      <c r="I17" s="1" t="s">
        <v>308</v>
      </c>
      <c r="K17" s="1">
        <v>1</v>
      </c>
      <c r="L17" s="2" t="s">
        <v>333</v>
      </c>
      <c r="M17" s="1">
        <v>2</v>
      </c>
      <c r="N17" s="1" t="s">
        <v>24</v>
      </c>
      <c r="O17" s="1">
        <v>2</v>
      </c>
      <c r="S17" s="1">
        <v>1</v>
      </c>
      <c r="T17" s="5">
        <v>4068</v>
      </c>
      <c r="U17" s="29">
        <v>0.2</v>
      </c>
      <c r="V17" s="26">
        <f t="shared" ref="V17:V18" si="3">T17*(1-U17)</f>
        <v>3254.4</v>
      </c>
      <c r="W17" s="26">
        <f t="shared" ref="W17:W19" si="4">V17*S17*M17</f>
        <v>6508.8</v>
      </c>
      <c r="X17" s="6"/>
    </row>
    <row r="18" spans="1:24" x14ac:dyDescent="0.3">
      <c r="A18" t="s">
        <v>342</v>
      </c>
      <c r="B18" t="s">
        <v>328</v>
      </c>
      <c r="C18" t="s">
        <v>358</v>
      </c>
      <c r="D18" t="s">
        <v>359</v>
      </c>
      <c r="E18" s="1" t="s">
        <v>90</v>
      </c>
      <c r="F18" s="1" t="s">
        <v>89</v>
      </c>
      <c r="G18" s="2186">
        <v>3</v>
      </c>
      <c r="H18" s="2186">
        <f>VLOOKUP(G18,Pesos!A:B,2,0)</f>
        <v>0.7</v>
      </c>
      <c r="I18" s="1" t="s">
        <v>308</v>
      </c>
      <c r="K18" s="1">
        <v>6</v>
      </c>
      <c r="L18" s="2" t="s">
        <v>331</v>
      </c>
      <c r="M18" s="1">
        <v>12</v>
      </c>
      <c r="N18" s="1" t="s">
        <v>63</v>
      </c>
      <c r="Q18" s="1">
        <v>12</v>
      </c>
      <c r="S18" s="1">
        <v>1</v>
      </c>
      <c r="T18" s="5">
        <v>600</v>
      </c>
      <c r="U18" s="29">
        <v>0.2</v>
      </c>
      <c r="V18" s="26">
        <f t="shared" si="3"/>
        <v>480</v>
      </c>
      <c r="W18" s="26">
        <f t="shared" si="4"/>
        <v>5760</v>
      </c>
      <c r="X18" s="6"/>
    </row>
    <row r="19" spans="1:24" x14ac:dyDescent="0.3">
      <c r="A19" t="s">
        <v>342</v>
      </c>
      <c r="B19" t="s">
        <v>328</v>
      </c>
      <c r="C19" t="s">
        <v>358</v>
      </c>
      <c r="D19" t="s">
        <v>359</v>
      </c>
      <c r="E19" s="1" t="s">
        <v>55</v>
      </c>
      <c r="F19" s="1" t="s">
        <v>91</v>
      </c>
      <c r="G19" s="2186">
        <v>2</v>
      </c>
      <c r="H19" s="2186">
        <f>VLOOKUP(G19,Pesos!A:B,2,0)</f>
        <v>0.8</v>
      </c>
      <c r="J19" s="1" t="s">
        <v>308</v>
      </c>
      <c r="K19" s="1">
        <v>2</v>
      </c>
      <c r="L19" s="2" t="s">
        <v>346</v>
      </c>
      <c r="M19" s="1">
        <v>1</v>
      </c>
      <c r="N19" s="1" t="s">
        <v>24</v>
      </c>
      <c r="O19" s="1">
        <v>1</v>
      </c>
      <c r="S19" s="1">
        <v>1</v>
      </c>
      <c r="T19" s="9">
        <v>6250</v>
      </c>
      <c r="U19" s="29">
        <v>0.2</v>
      </c>
      <c r="V19" s="26">
        <f>T19*(1-U19)</f>
        <v>5000</v>
      </c>
      <c r="W19" s="26">
        <f t="shared" si="4"/>
        <v>5000</v>
      </c>
      <c r="X19" s="6"/>
    </row>
    <row r="20" spans="1:24" x14ac:dyDescent="0.3">
      <c r="G20" s="2186"/>
      <c r="H20" s="2186"/>
      <c r="L20" s="2"/>
      <c r="M20" s="1"/>
      <c r="T20" s="5"/>
      <c r="U20" s="24"/>
      <c r="V20" s="26"/>
      <c r="W20" s="26"/>
      <c r="X20" s="6"/>
    </row>
    <row r="21" spans="1:24" x14ac:dyDescent="0.3">
      <c r="A21" t="s">
        <v>343</v>
      </c>
      <c r="B21" t="s">
        <v>328</v>
      </c>
      <c r="C21" t="s">
        <v>358</v>
      </c>
      <c r="D21" t="s">
        <v>359</v>
      </c>
      <c r="E21" s="1" t="s">
        <v>87</v>
      </c>
      <c r="F21" s="1" t="s">
        <v>88</v>
      </c>
      <c r="G21" s="2186">
        <v>5</v>
      </c>
      <c r="H21" s="2186">
        <f>VLOOKUP(G21,Pesos!A:B,2,0)</f>
        <v>0.5</v>
      </c>
      <c r="J21" s="1" t="s">
        <v>308</v>
      </c>
      <c r="K21" s="1">
        <v>2</v>
      </c>
      <c r="L21" s="1">
        <v>4</v>
      </c>
      <c r="M21" s="1">
        <v>2</v>
      </c>
      <c r="N21" s="1" t="s">
        <v>24</v>
      </c>
      <c r="O21" s="1">
        <v>2</v>
      </c>
      <c r="S21" s="1">
        <v>1</v>
      </c>
      <c r="T21" s="15">
        <v>4480</v>
      </c>
      <c r="U21" s="29">
        <v>0.2</v>
      </c>
      <c r="V21" s="26">
        <f t="shared" ref="V21:V26" si="5">T21*(1-U21)</f>
        <v>3584</v>
      </c>
      <c r="W21" s="26">
        <f t="shared" ref="W21:W26" si="6">V21*S21*M21</f>
        <v>7168</v>
      </c>
      <c r="X21" s="6"/>
    </row>
    <row r="22" spans="1:24" x14ac:dyDescent="0.3">
      <c r="A22" t="s">
        <v>343</v>
      </c>
      <c r="B22" t="s">
        <v>328</v>
      </c>
      <c r="C22" t="s">
        <v>358</v>
      </c>
      <c r="D22" t="s">
        <v>359</v>
      </c>
      <c r="E22" s="1" t="s">
        <v>87</v>
      </c>
      <c r="F22" s="1" t="s">
        <v>89</v>
      </c>
      <c r="G22" s="2186">
        <v>1</v>
      </c>
      <c r="H22" s="2186">
        <f>VLOOKUP(G22,Pesos!A:B,2,0)</f>
        <v>0.9</v>
      </c>
      <c r="I22" s="1" t="s">
        <v>308</v>
      </c>
      <c r="K22" s="1">
        <v>6</v>
      </c>
      <c r="L22" s="1">
        <v>12</v>
      </c>
      <c r="M22" s="1">
        <v>10</v>
      </c>
      <c r="N22" s="1" t="s">
        <v>63</v>
      </c>
      <c r="O22" s="1">
        <v>10</v>
      </c>
      <c r="S22" s="1">
        <v>1</v>
      </c>
      <c r="T22" s="5">
        <v>1068</v>
      </c>
      <c r="U22" s="24">
        <v>0.2</v>
      </c>
      <c r="V22" s="26">
        <f t="shared" si="5"/>
        <v>854.40000000000009</v>
      </c>
      <c r="W22" s="26">
        <f t="shared" si="6"/>
        <v>8544</v>
      </c>
      <c r="X22" s="6"/>
    </row>
    <row r="23" spans="1:24" x14ac:dyDescent="0.3">
      <c r="A23" t="s">
        <v>343</v>
      </c>
      <c r="B23" t="s">
        <v>328</v>
      </c>
      <c r="C23" t="s">
        <v>358</v>
      </c>
      <c r="D23" t="s">
        <v>359</v>
      </c>
      <c r="E23" s="1" t="s">
        <v>87</v>
      </c>
      <c r="F23" s="1" t="s">
        <v>26</v>
      </c>
      <c r="G23" s="2186">
        <v>2</v>
      </c>
      <c r="H23" s="2186">
        <f>VLOOKUP(G23,Pesos!A:B,2,0)</f>
        <v>0.8</v>
      </c>
      <c r="I23" s="1" t="s">
        <v>308</v>
      </c>
      <c r="K23" s="1">
        <v>1</v>
      </c>
      <c r="L23" s="1">
        <v>3</v>
      </c>
      <c r="M23" s="1">
        <v>1</v>
      </c>
      <c r="N23" s="1" t="s">
        <v>24</v>
      </c>
      <c r="O23" s="1">
        <v>1</v>
      </c>
      <c r="R23" s="18"/>
      <c r="S23" s="1">
        <v>1</v>
      </c>
      <c r="T23" s="5">
        <v>4068</v>
      </c>
      <c r="U23" s="24">
        <v>0.2</v>
      </c>
      <c r="V23" s="26">
        <f t="shared" si="5"/>
        <v>3254.4</v>
      </c>
      <c r="W23" s="26">
        <f t="shared" si="6"/>
        <v>3254.4</v>
      </c>
      <c r="X23" s="6"/>
    </row>
    <row r="24" spans="1:24" x14ac:dyDescent="0.3">
      <c r="A24" t="s">
        <v>343</v>
      </c>
      <c r="B24" t="s">
        <v>328</v>
      </c>
      <c r="C24" t="s">
        <v>358</v>
      </c>
      <c r="D24" t="s">
        <v>359</v>
      </c>
      <c r="E24" s="1" t="s">
        <v>90</v>
      </c>
      <c r="F24" s="1" t="s">
        <v>89</v>
      </c>
      <c r="G24" s="2186">
        <v>1</v>
      </c>
      <c r="H24" s="2186">
        <f>VLOOKUP(G24,Pesos!A:B,2,0)</f>
        <v>0.9</v>
      </c>
      <c r="I24" s="1" t="s">
        <v>308</v>
      </c>
      <c r="K24" s="1">
        <v>6</v>
      </c>
      <c r="L24" s="1">
        <v>12</v>
      </c>
      <c r="M24" s="1">
        <v>10</v>
      </c>
      <c r="N24" s="1" t="s">
        <v>63</v>
      </c>
      <c r="Q24" s="1">
        <v>10</v>
      </c>
      <c r="R24" s="6"/>
      <c r="S24" s="1">
        <v>1</v>
      </c>
      <c r="T24" s="5">
        <v>600</v>
      </c>
      <c r="U24" s="24">
        <v>0.2</v>
      </c>
      <c r="V24" s="26">
        <f t="shared" si="5"/>
        <v>480</v>
      </c>
      <c r="W24" s="26">
        <f t="shared" si="6"/>
        <v>4800</v>
      </c>
      <c r="X24" s="6"/>
    </row>
    <row r="25" spans="1:24" x14ac:dyDescent="0.3">
      <c r="A25" t="s">
        <v>343</v>
      </c>
      <c r="B25" t="s">
        <v>328</v>
      </c>
      <c r="C25" t="s">
        <v>358</v>
      </c>
      <c r="D25" t="s">
        <v>359</v>
      </c>
      <c r="E25" s="1" t="s">
        <v>41</v>
      </c>
      <c r="F25" s="1" t="s">
        <v>92</v>
      </c>
      <c r="G25" s="2186">
        <v>3</v>
      </c>
      <c r="H25" s="2186">
        <f>VLOOKUP(G25,Pesos!A:B,2,0)</f>
        <v>0.7</v>
      </c>
      <c r="I25" s="1" t="s">
        <v>308</v>
      </c>
      <c r="K25" s="1">
        <v>3</v>
      </c>
      <c r="L25" s="1">
        <v>6</v>
      </c>
      <c r="M25" s="1">
        <v>3</v>
      </c>
      <c r="N25" s="1" t="s">
        <v>93</v>
      </c>
      <c r="O25" s="1">
        <v>3</v>
      </c>
      <c r="Q25" s="1">
        <v>3</v>
      </c>
      <c r="R25" s="6"/>
      <c r="S25" s="1">
        <v>2</v>
      </c>
      <c r="T25" s="9">
        <v>1600</v>
      </c>
      <c r="U25" s="29">
        <v>0.7</v>
      </c>
      <c r="V25" s="26">
        <f t="shared" si="5"/>
        <v>480.00000000000006</v>
      </c>
      <c r="W25" s="26">
        <f t="shared" si="6"/>
        <v>2880.0000000000005</v>
      </c>
      <c r="X25" s="6"/>
    </row>
    <row r="26" spans="1:24" x14ac:dyDescent="0.3">
      <c r="A26" t="s">
        <v>343</v>
      </c>
      <c r="B26" t="s">
        <v>328</v>
      </c>
      <c r="C26" t="s">
        <v>358</v>
      </c>
      <c r="D26" t="s">
        <v>359</v>
      </c>
      <c r="E26" s="1" t="s">
        <v>94</v>
      </c>
      <c r="F26" s="1" t="s">
        <v>32</v>
      </c>
      <c r="G26" s="2186">
        <v>4</v>
      </c>
      <c r="H26" s="2186">
        <f>VLOOKUP(G26,Pesos!A:B,2,0)</f>
        <v>0.6</v>
      </c>
      <c r="I26" s="1" t="s">
        <v>308</v>
      </c>
      <c r="K26" s="1">
        <v>2</v>
      </c>
      <c r="L26" s="1">
        <v>6</v>
      </c>
      <c r="M26" s="1">
        <v>3</v>
      </c>
      <c r="N26" s="1" t="s">
        <v>58</v>
      </c>
      <c r="O26" s="1">
        <v>3</v>
      </c>
      <c r="Q26" s="1">
        <v>3</v>
      </c>
      <c r="R26" s="18"/>
      <c r="S26" s="1">
        <v>2</v>
      </c>
      <c r="T26" s="9">
        <f>256*8</f>
        <v>2048</v>
      </c>
      <c r="U26" s="29">
        <v>0.4</v>
      </c>
      <c r="V26" s="26">
        <f t="shared" si="5"/>
        <v>1228.8</v>
      </c>
      <c r="W26" s="26">
        <f t="shared" si="6"/>
        <v>7372.7999999999993</v>
      </c>
      <c r="X26" s="6"/>
    </row>
    <row r="27" spans="1:24" x14ac:dyDescent="0.3">
      <c r="G27" s="2186"/>
      <c r="H27" s="2186"/>
      <c r="M27" s="1"/>
      <c r="R27" s="18"/>
      <c r="T27" s="9"/>
      <c r="U27" s="29"/>
      <c r="V27" s="26"/>
      <c r="W27" s="26"/>
      <c r="X27" s="6"/>
    </row>
    <row r="28" spans="1:24" x14ac:dyDescent="0.3">
      <c r="A28" t="s">
        <v>326</v>
      </c>
      <c r="B28" t="s">
        <v>328</v>
      </c>
      <c r="C28" t="s">
        <v>358</v>
      </c>
      <c r="D28" t="s">
        <v>359</v>
      </c>
      <c r="E28" s="1" t="s">
        <v>87</v>
      </c>
      <c r="F28" s="1" t="s">
        <v>88</v>
      </c>
      <c r="G28" s="2186">
        <v>3</v>
      </c>
      <c r="H28" s="2186">
        <f>VLOOKUP(G28,Pesos!A:B,2,0)</f>
        <v>0.7</v>
      </c>
      <c r="J28" s="1" t="s">
        <v>308</v>
      </c>
      <c r="K28" s="2" t="s">
        <v>38</v>
      </c>
      <c r="L28" s="1">
        <v>1</v>
      </c>
      <c r="M28" s="1">
        <v>1</v>
      </c>
      <c r="N28" s="1" t="s">
        <v>24</v>
      </c>
      <c r="O28" s="1">
        <v>1</v>
      </c>
      <c r="S28" s="1">
        <v>1</v>
      </c>
      <c r="T28" s="15">
        <v>4480</v>
      </c>
      <c r="U28" s="29">
        <v>0.2</v>
      </c>
      <c r="V28" s="26">
        <f t="shared" ref="V28:V33" si="7">T28*(1-U28)</f>
        <v>3584</v>
      </c>
      <c r="W28" s="26">
        <f t="shared" ref="W28:W33" si="8">V28*S28*M28</f>
        <v>3584</v>
      </c>
    </row>
    <row r="29" spans="1:24" x14ac:dyDescent="0.3">
      <c r="A29" t="s">
        <v>326</v>
      </c>
      <c r="B29" t="s">
        <v>328</v>
      </c>
      <c r="C29" t="s">
        <v>358</v>
      </c>
      <c r="D29" t="s">
        <v>359</v>
      </c>
      <c r="E29" s="1" t="s">
        <v>87</v>
      </c>
      <c r="F29" s="1" t="s">
        <v>89</v>
      </c>
      <c r="G29" s="2186">
        <v>2</v>
      </c>
      <c r="H29" s="2186">
        <f>VLOOKUP(G29,Pesos!A:B,2,0)</f>
        <v>0.8</v>
      </c>
      <c r="I29" s="1" t="s">
        <v>308</v>
      </c>
      <c r="K29" s="2" t="s">
        <v>346</v>
      </c>
      <c r="L29" s="1">
        <v>8</v>
      </c>
      <c r="M29" s="1">
        <v>7</v>
      </c>
      <c r="N29" s="1" t="s">
        <v>63</v>
      </c>
      <c r="O29" s="1">
        <v>7</v>
      </c>
      <c r="S29" s="1">
        <v>1</v>
      </c>
      <c r="T29" s="5">
        <v>1068</v>
      </c>
      <c r="U29" s="24">
        <v>0.2</v>
      </c>
      <c r="V29" s="26">
        <f t="shared" si="7"/>
        <v>854.40000000000009</v>
      </c>
      <c r="W29" s="26">
        <f t="shared" si="8"/>
        <v>5980.8000000000011</v>
      </c>
    </row>
    <row r="30" spans="1:24" x14ac:dyDescent="0.3">
      <c r="A30" t="s">
        <v>326</v>
      </c>
      <c r="B30" t="s">
        <v>328</v>
      </c>
      <c r="C30" t="s">
        <v>358</v>
      </c>
      <c r="D30" t="s">
        <v>359</v>
      </c>
      <c r="E30" s="1" t="s">
        <v>87</v>
      </c>
      <c r="F30" s="1" t="s">
        <v>26</v>
      </c>
      <c r="G30" s="2186">
        <v>1</v>
      </c>
      <c r="H30" s="2186">
        <f>VLOOKUP(G30,Pesos!A:B,2,0)</f>
        <v>0.9</v>
      </c>
      <c r="I30" s="1" t="s">
        <v>308</v>
      </c>
      <c r="K30" s="2" t="s">
        <v>38</v>
      </c>
      <c r="L30" s="1">
        <v>1</v>
      </c>
      <c r="M30" s="1">
        <v>1</v>
      </c>
      <c r="N30" s="1" t="s">
        <v>24</v>
      </c>
      <c r="O30" s="1">
        <v>1</v>
      </c>
      <c r="S30" s="1">
        <v>1</v>
      </c>
      <c r="T30" s="5">
        <v>4068</v>
      </c>
      <c r="U30" s="24">
        <v>0.2</v>
      </c>
      <c r="V30" s="26">
        <f t="shared" si="7"/>
        <v>3254.4</v>
      </c>
      <c r="W30" s="26">
        <f t="shared" si="8"/>
        <v>3254.4</v>
      </c>
    </row>
    <row r="31" spans="1:24" x14ac:dyDescent="0.3">
      <c r="A31" t="s">
        <v>326</v>
      </c>
      <c r="B31" t="s">
        <v>328</v>
      </c>
      <c r="C31" t="s">
        <v>358</v>
      </c>
      <c r="D31" t="s">
        <v>359</v>
      </c>
      <c r="E31" s="1" t="s">
        <v>90</v>
      </c>
      <c r="F31" s="1" t="s">
        <v>89</v>
      </c>
      <c r="G31" s="2186">
        <v>2</v>
      </c>
      <c r="H31" s="2186">
        <f>VLOOKUP(G31,Pesos!A:B,2,0)</f>
        <v>0.8</v>
      </c>
      <c r="I31" s="1" t="s">
        <v>308</v>
      </c>
      <c r="K31" s="2" t="s">
        <v>346</v>
      </c>
      <c r="L31" s="1">
        <v>8</v>
      </c>
      <c r="M31" s="1">
        <v>7</v>
      </c>
      <c r="N31" s="1" t="s">
        <v>63</v>
      </c>
      <c r="O31" s="1">
        <v>7</v>
      </c>
      <c r="S31" s="1">
        <v>1</v>
      </c>
      <c r="T31" s="5">
        <v>600</v>
      </c>
      <c r="U31" s="24">
        <v>0.2</v>
      </c>
      <c r="V31" s="26">
        <f t="shared" si="7"/>
        <v>480</v>
      </c>
      <c r="W31" s="26">
        <f t="shared" si="8"/>
        <v>3360</v>
      </c>
    </row>
    <row r="32" spans="1:24" x14ac:dyDescent="0.3">
      <c r="A32" t="s">
        <v>326</v>
      </c>
      <c r="B32" t="s">
        <v>328</v>
      </c>
      <c r="C32" t="s">
        <v>358</v>
      </c>
      <c r="D32" t="s">
        <v>359</v>
      </c>
      <c r="E32" s="1" t="s">
        <v>41</v>
      </c>
      <c r="F32" s="1" t="s">
        <v>92</v>
      </c>
      <c r="G32" s="2186">
        <v>4</v>
      </c>
      <c r="H32" s="2186">
        <f>VLOOKUP(G32,Pesos!A:B,2,0)</f>
        <v>0.6</v>
      </c>
      <c r="I32" s="1" t="s">
        <v>308</v>
      </c>
      <c r="K32" s="2" t="s">
        <v>38</v>
      </c>
      <c r="L32" s="1">
        <v>2</v>
      </c>
      <c r="M32" s="1">
        <v>1</v>
      </c>
      <c r="N32" s="1" t="s">
        <v>93</v>
      </c>
      <c r="O32" s="1">
        <v>1</v>
      </c>
      <c r="Q32" s="1">
        <v>1</v>
      </c>
      <c r="S32" s="1">
        <v>2</v>
      </c>
      <c r="T32" s="9">
        <v>1600</v>
      </c>
      <c r="U32" s="29">
        <v>0.7</v>
      </c>
      <c r="V32" s="26">
        <f t="shared" si="7"/>
        <v>480.00000000000006</v>
      </c>
      <c r="W32" s="26">
        <f t="shared" si="8"/>
        <v>960.00000000000011</v>
      </c>
      <c r="X32" s="6"/>
    </row>
    <row r="33" spans="1:23" x14ac:dyDescent="0.3">
      <c r="A33" t="s">
        <v>326</v>
      </c>
      <c r="B33" t="s">
        <v>328</v>
      </c>
      <c r="C33" t="s">
        <v>358</v>
      </c>
      <c r="D33" t="s">
        <v>359</v>
      </c>
      <c r="E33" s="1" t="s">
        <v>94</v>
      </c>
      <c r="F33" s="1" t="s">
        <v>32</v>
      </c>
      <c r="G33" s="2186">
        <v>5</v>
      </c>
      <c r="H33" s="2186">
        <f>VLOOKUP(G33,Pesos!A:B,2,0)</f>
        <v>0.5</v>
      </c>
      <c r="I33" s="1" t="s">
        <v>308</v>
      </c>
      <c r="K33" s="1">
        <v>1</v>
      </c>
      <c r="L33" s="1">
        <v>4</v>
      </c>
      <c r="M33" s="1">
        <v>2</v>
      </c>
      <c r="N33" s="1" t="s">
        <v>58</v>
      </c>
      <c r="O33" s="1">
        <v>2</v>
      </c>
      <c r="Q33" s="1">
        <v>2</v>
      </c>
      <c r="S33" s="1">
        <v>2</v>
      </c>
      <c r="T33" s="9">
        <f>256*8</f>
        <v>2048</v>
      </c>
      <c r="U33" s="29">
        <v>0.4</v>
      </c>
      <c r="V33" s="26">
        <f t="shared" si="7"/>
        <v>1228.8</v>
      </c>
      <c r="W33" s="26">
        <f t="shared" si="8"/>
        <v>4915.2</v>
      </c>
    </row>
    <row r="34" spans="1:23" x14ac:dyDescent="0.3">
      <c r="M34" s="2"/>
      <c r="U34" s="29"/>
      <c r="V34" s="26"/>
      <c r="W34" s="26"/>
    </row>
    <row r="35" spans="1:23" x14ac:dyDescent="0.3">
      <c r="M35" s="2"/>
      <c r="T35" s="9"/>
      <c r="U35" s="29"/>
      <c r="V35" s="26"/>
      <c r="W35" s="26"/>
    </row>
    <row r="36" spans="1:23" x14ac:dyDescent="0.3">
      <c r="M36" s="2"/>
      <c r="T36" s="9"/>
      <c r="U36" s="29"/>
      <c r="V36" s="26"/>
      <c r="W36" s="26"/>
    </row>
    <row r="38" spans="1:23" x14ac:dyDescent="0.3">
      <c r="A38" s="47"/>
      <c r="D38" s="43" t="s">
        <v>1158</v>
      </c>
      <c r="E38" s="43" t="s">
        <v>1159</v>
      </c>
      <c r="F38" s="43" t="s">
        <v>1160</v>
      </c>
      <c r="G38" s="43"/>
      <c r="M38" s="1"/>
      <c r="T38" s="5"/>
      <c r="U38" s="24"/>
      <c r="V38" s="26"/>
      <c r="W38" s="26"/>
    </row>
    <row r="39" spans="1:23" x14ac:dyDescent="0.3">
      <c r="A39" s="47" t="s">
        <v>1161</v>
      </c>
      <c r="B39" s="2174"/>
      <c r="C39" s="2174"/>
      <c r="D39" s="2181">
        <f>E39*(1-10%)</f>
        <v>1432.1005714285716</v>
      </c>
      <c r="E39" s="427">
        <f>'RIO BRANCO'!T47</f>
        <v>1591.2228571428573</v>
      </c>
      <c r="F39" s="427">
        <f>E39*(1+15%)</f>
        <v>1829.9062857142858</v>
      </c>
      <c r="G39" s="427"/>
      <c r="M39" s="1"/>
      <c r="T39" s="5"/>
      <c r="U39" s="24"/>
      <c r="V39" s="26"/>
      <c r="W39" s="26"/>
    </row>
    <row r="40" spans="1:23" x14ac:dyDescent="0.3">
      <c r="A40" s="47" t="s">
        <v>1162</v>
      </c>
      <c r="B40" s="2174"/>
      <c r="C40" s="2174"/>
      <c r="D40" s="2181">
        <f>E40*(1-25%)</f>
        <v>974</v>
      </c>
      <c r="E40" s="427">
        <f>'RIO BRANCO'!T76</f>
        <v>1298.6666666666667</v>
      </c>
      <c r="F40" s="427">
        <f>E40*(1+5%)</f>
        <v>1363.6000000000001</v>
      </c>
      <c r="G40" s="427"/>
      <c r="M40" s="1"/>
      <c r="T40" s="5"/>
      <c r="U40" s="24"/>
      <c r="V40" s="26"/>
      <c r="W40" s="26"/>
    </row>
    <row r="41" spans="1:23" x14ac:dyDescent="0.3">
      <c r="A41" s="47" t="s">
        <v>550</v>
      </c>
      <c r="B41" s="2174"/>
      <c r="C41" s="2174"/>
      <c r="D41" s="2181">
        <f>E41*(1-15%)</f>
        <v>1427.1089655172416</v>
      </c>
      <c r="E41" s="427">
        <f>'RIO BRANCO'!T106</f>
        <v>1678.9517241379313</v>
      </c>
      <c r="F41" s="427">
        <f>E41*(1+15%)</f>
        <v>1930.7944827586207</v>
      </c>
      <c r="G41" s="427"/>
      <c r="M41" s="1"/>
      <c r="T41" s="5"/>
      <c r="U41" s="24"/>
      <c r="V41" s="26"/>
      <c r="W41" s="26"/>
    </row>
    <row r="42" spans="1:23" x14ac:dyDescent="0.3">
      <c r="A42" s="47" t="s">
        <v>679</v>
      </c>
      <c r="B42" s="2174"/>
      <c r="C42" s="2174"/>
      <c r="D42" s="2181">
        <f>E42*(1-25%)</f>
        <v>1028.982857142857</v>
      </c>
      <c r="E42" s="427">
        <f>'RIO BRANCO'!T135</f>
        <v>1371.9771428571428</v>
      </c>
      <c r="F42" s="427">
        <f>E42*(1+5%)</f>
        <v>1440.576</v>
      </c>
      <c r="G42" s="427"/>
      <c r="M42" s="1"/>
      <c r="T42" s="5"/>
      <c r="U42" s="24"/>
      <c r="V42" s="26"/>
      <c r="W42" s="26"/>
    </row>
    <row r="43" spans="1:23" x14ac:dyDescent="0.3">
      <c r="A43" s="47" t="s">
        <v>568</v>
      </c>
      <c r="B43" s="2174"/>
      <c r="C43" s="2174"/>
      <c r="D43" s="2181">
        <f>E43*(1-25%)</f>
        <v>1092.7636363636364</v>
      </c>
      <c r="E43" s="427">
        <f>'RIO BRANCO'!T169</f>
        <v>1457.0181818181818</v>
      </c>
      <c r="F43" s="427">
        <f>E43*(1+5%)</f>
        <v>1529.869090909091</v>
      </c>
      <c r="G43" s="427"/>
      <c r="M43" s="1"/>
      <c r="T43" s="5"/>
      <c r="U43" s="24"/>
      <c r="V43" s="26"/>
      <c r="W43" s="26"/>
    </row>
    <row r="44" spans="1:23" x14ac:dyDescent="0.3">
      <c r="A44" s="47"/>
      <c r="B44" s="47"/>
      <c r="C44" s="47"/>
      <c r="D44" s="48"/>
      <c r="M44" s="1"/>
      <c r="T44" s="5"/>
      <c r="U44" s="24"/>
      <c r="V44" s="26"/>
      <c r="W44" s="26"/>
    </row>
    <row r="45" spans="1:23" x14ac:dyDescent="0.3">
      <c r="A45" s="47"/>
      <c r="B45" s="46"/>
      <c r="C45" s="46"/>
      <c r="D45" s="2314" t="s">
        <v>1163</v>
      </c>
      <c r="E45" s="2315"/>
      <c r="F45" s="2315"/>
      <c r="G45" s="2316"/>
      <c r="M45" s="1"/>
      <c r="T45" s="5"/>
      <c r="U45" s="24"/>
      <c r="V45" s="26"/>
      <c r="W45" s="26"/>
    </row>
    <row r="46" spans="1:23" x14ac:dyDescent="0.3">
      <c r="A46" s="47" t="s">
        <v>1161</v>
      </c>
      <c r="B46" s="2175"/>
      <c r="C46" s="2175"/>
      <c r="D46" s="304">
        <v>0.5714285714285714</v>
      </c>
      <c r="F46" s="3">
        <v>0.42857142857142855</v>
      </c>
      <c r="M46" s="1"/>
      <c r="T46" s="9"/>
      <c r="U46" s="29"/>
      <c r="V46" s="26"/>
      <c r="W46" s="26"/>
    </row>
    <row r="47" spans="1:23" x14ac:dyDescent="0.3">
      <c r="A47" s="47" t="s">
        <v>1162</v>
      </c>
      <c r="B47" s="2175"/>
      <c r="C47" s="2175"/>
      <c r="D47" s="2175">
        <v>0.53333333333333333</v>
      </c>
      <c r="E47" s="304"/>
      <c r="F47" s="304">
        <v>0.46666666666666667</v>
      </c>
      <c r="G47" s="304"/>
      <c r="M47" s="1"/>
      <c r="T47" s="9"/>
      <c r="U47" s="29"/>
      <c r="V47" s="26"/>
      <c r="W47" s="26"/>
    </row>
    <row r="48" spans="1:23" x14ac:dyDescent="0.3">
      <c r="A48" s="47" t="s">
        <v>550</v>
      </c>
      <c r="B48" s="2175"/>
      <c r="C48" s="2175"/>
      <c r="D48" s="2175">
        <v>0.59</v>
      </c>
      <c r="E48" s="304"/>
      <c r="F48" s="304">
        <v>0.41</v>
      </c>
      <c r="G48" s="304"/>
      <c r="M48" s="1"/>
      <c r="T48" s="9"/>
      <c r="U48" s="29"/>
      <c r="V48" s="26"/>
      <c r="W48" s="26"/>
    </row>
    <row r="49" spans="1:23" x14ac:dyDescent="0.3">
      <c r="A49" s="47" t="s">
        <v>679</v>
      </c>
      <c r="B49" s="2175"/>
      <c r="C49" s="2175"/>
      <c r="D49" s="2175">
        <v>0.54</v>
      </c>
      <c r="E49" s="304"/>
      <c r="F49" s="304">
        <v>0.46</v>
      </c>
      <c r="G49" s="304"/>
      <c r="M49" s="1"/>
      <c r="T49" s="9"/>
      <c r="U49" s="29"/>
      <c r="V49" s="26"/>
      <c r="W49" s="26"/>
    </row>
    <row r="50" spans="1:23" x14ac:dyDescent="0.3">
      <c r="A50" s="47" t="s">
        <v>568</v>
      </c>
      <c r="B50" s="47"/>
      <c r="C50" s="47"/>
      <c r="D50" s="2175">
        <v>0.55000000000000004</v>
      </c>
      <c r="F50" s="304">
        <v>0.45</v>
      </c>
      <c r="M50" s="1"/>
      <c r="T50" s="9"/>
      <c r="U50" s="29"/>
      <c r="V50" s="26"/>
      <c r="W50" s="26"/>
    </row>
    <row r="51" spans="1:23" x14ac:dyDescent="0.3">
      <c r="A51" s="47"/>
      <c r="B51" s="47"/>
      <c r="C51" s="47"/>
      <c r="D51" s="48"/>
    </row>
    <row r="52" spans="1:23" x14ac:dyDescent="0.3">
      <c r="A52" s="47"/>
      <c r="B52" s="47"/>
      <c r="C52" s="47"/>
      <c r="D52" s="48"/>
      <c r="M52" s="1"/>
      <c r="T52" s="5"/>
      <c r="U52" s="24"/>
      <c r="V52" s="26"/>
      <c r="W52" s="26"/>
    </row>
    <row r="53" spans="1:23" x14ac:dyDescent="0.3">
      <c r="A53" s="47"/>
      <c r="B53" s="47"/>
      <c r="C53" s="47"/>
      <c r="D53" s="48"/>
      <c r="M53" s="1"/>
      <c r="T53" s="5"/>
      <c r="U53" s="24"/>
      <c r="V53" s="26"/>
      <c r="W53" s="26"/>
    </row>
    <row r="54" spans="1:23" x14ac:dyDescent="0.3">
      <c r="A54" s="47"/>
      <c r="B54" s="46"/>
      <c r="C54" s="46"/>
      <c r="D54" s="2314" t="s">
        <v>1164</v>
      </c>
      <c r="E54" s="2315"/>
      <c r="F54" s="2315"/>
      <c r="G54" s="2316"/>
      <c r="M54" s="1"/>
      <c r="T54" s="5"/>
      <c r="U54" s="24"/>
      <c r="V54" s="26"/>
      <c r="W54" s="26"/>
    </row>
    <row r="55" spans="1:23" x14ac:dyDescent="0.3">
      <c r="A55" s="47" t="s">
        <v>1161</v>
      </c>
      <c r="B55" s="2175"/>
      <c r="C55" s="2175"/>
      <c r="D55" s="2175">
        <v>0.25</v>
      </c>
      <c r="E55" s="2175">
        <v>0.25</v>
      </c>
      <c r="F55" s="2175">
        <v>0.25</v>
      </c>
      <c r="G55" s="2175">
        <v>0.25</v>
      </c>
      <c r="M55" s="1"/>
      <c r="T55" s="5"/>
      <c r="U55" s="24"/>
      <c r="V55" s="26"/>
      <c r="W55" s="26"/>
    </row>
    <row r="56" spans="1:23" x14ac:dyDescent="0.3">
      <c r="A56" s="47" t="s">
        <v>1162</v>
      </c>
      <c r="B56" s="6"/>
      <c r="C56" s="6"/>
      <c r="D56" s="6">
        <v>0.27</v>
      </c>
      <c r="E56" s="2175">
        <v>0.23</v>
      </c>
      <c r="F56" s="2175">
        <v>0.27</v>
      </c>
      <c r="G56" s="2175">
        <v>0.23</v>
      </c>
      <c r="M56" s="1"/>
      <c r="T56" s="5"/>
      <c r="U56" s="24"/>
      <c r="V56" s="26"/>
      <c r="W56" s="26"/>
    </row>
    <row r="57" spans="1:23" x14ac:dyDescent="0.3">
      <c r="A57" s="47" t="s">
        <v>550</v>
      </c>
      <c r="B57" s="2175"/>
      <c r="C57" s="2175"/>
      <c r="D57" s="2175">
        <v>0.33</v>
      </c>
      <c r="E57" s="2175">
        <v>0.34</v>
      </c>
      <c r="F57" s="2175">
        <v>0.33</v>
      </c>
      <c r="G57" s="2175"/>
      <c r="M57" s="1"/>
      <c r="T57" s="5"/>
      <c r="U57" s="24"/>
      <c r="V57" s="26"/>
      <c r="W57" s="26"/>
    </row>
    <row r="58" spans="1:23" x14ac:dyDescent="0.3">
      <c r="A58" s="47" t="s">
        <v>679</v>
      </c>
      <c r="B58" s="2175"/>
      <c r="C58" s="2175"/>
      <c r="D58" s="6">
        <v>0.35</v>
      </c>
      <c r="E58" s="2175">
        <v>0.31</v>
      </c>
      <c r="F58" s="2175">
        <v>0.34</v>
      </c>
      <c r="G58" s="2175"/>
      <c r="M58" s="1"/>
      <c r="T58" s="9"/>
      <c r="U58" s="29"/>
      <c r="V58" s="26"/>
      <c r="W58" s="26"/>
    </row>
    <row r="59" spans="1:23" x14ac:dyDescent="0.3">
      <c r="A59" s="47" t="s">
        <v>568</v>
      </c>
      <c r="B59" s="47"/>
      <c r="C59" s="47"/>
      <c r="D59" s="6">
        <v>0.35</v>
      </c>
      <c r="E59" s="2175">
        <v>0.31</v>
      </c>
      <c r="F59" s="2175">
        <v>0.34</v>
      </c>
      <c r="G59" s="2175"/>
      <c r="M59" s="1"/>
      <c r="T59" s="9"/>
      <c r="U59" s="29"/>
      <c r="V59" s="26"/>
      <c r="W59" s="26"/>
    </row>
    <row r="60" spans="1:23" x14ac:dyDescent="0.3">
      <c r="M60" s="1"/>
      <c r="T60" s="9"/>
      <c r="U60" s="29"/>
      <c r="V60" s="26"/>
      <c r="W60" s="2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81"/>
  <sheetViews>
    <sheetView workbookViewId="0"/>
  </sheetViews>
  <sheetFormatPr defaultRowHeight="14.4" x14ac:dyDescent="0.3"/>
  <sheetData>
    <row r="1" spans="1:5" ht="21" x14ac:dyDescent="0.4">
      <c r="A1" s="92" t="s">
        <v>683</v>
      </c>
    </row>
    <row r="2" spans="1:5" x14ac:dyDescent="0.3">
      <c r="A2" t="s">
        <v>452</v>
      </c>
    </row>
    <row r="5" spans="1:5" x14ac:dyDescent="0.3">
      <c r="B5" s="95"/>
    </row>
    <row r="6" spans="1:5" x14ac:dyDescent="0.3">
      <c r="B6" s="96"/>
      <c r="C6" s="603"/>
    </row>
    <row r="7" spans="1:5" x14ac:dyDescent="0.3">
      <c r="A7" s="100" t="s">
        <v>684</v>
      </c>
      <c r="B7" s="101">
        <v>512927.37</v>
      </c>
      <c r="C7" s="661"/>
    </row>
    <row r="8" spans="1:5" x14ac:dyDescent="0.3">
      <c r="A8" s="100" t="s">
        <v>685</v>
      </c>
      <c r="B8" s="101">
        <v>1027405.8999999999</v>
      </c>
    </row>
    <row r="10" spans="1:5" x14ac:dyDescent="0.3">
      <c r="A10" s="103" t="s">
        <v>686</v>
      </c>
      <c r="B10" s="104">
        <v>1085143.125</v>
      </c>
      <c r="C10" s="662"/>
    </row>
    <row r="11" spans="1:5" x14ac:dyDescent="0.3">
      <c r="A11" s="100" t="s">
        <v>687</v>
      </c>
      <c r="B11" s="101">
        <v>1972987.5</v>
      </c>
      <c r="C11" s="3"/>
      <c r="D11" s="449"/>
      <c r="E11" s="450"/>
    </row>
    <row r="14" spans="1:5" x14ac:dyDescent="0.3">
      <c r="A14" s="4" t="s">
        <v>457</v>
      </c>
    </row>
    <row r="15" spans="1:5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</row>
    <row r="16" spans="1:5" x14ac:dyDescent="0.3">
      <c r="A16" s="107" t="s">
        <v>576</v>
      </c>
      <c r="B16" s="108" t="s">
        <v>463</v>
      </c>
      <c r="C16" s="109">
        <v>0.4</v>
      </c>
      <c r="D16" s="110">
        <v>434057.25</v>
      </c>
      <c r="E16" s="110">
        <v>144685.75</v>
      </c>
    </row>
    <row r="17" spans="1:31" x14ac:dyDescent="0.3">
      <c r="A17" s="107" t="s">
        <v>464</v>
      </c>
      <c r="B17" s="108" t="s">
        <v>688</v>
      </c>
      <c r="C17" s="109">
        <v>0.4</v>
      </c>
      <c r="D17" s="110">
        <v>434057.25</v>
      </c>
      <c r="E17" s="110">
        <v>108514.3125</v>
      </c>
    </row>
    <row r="18" spans="1:31" x14ac:dyDescent="0.3">
      <c r="A18" s="107" t="s">
        <v>466</v>
      </c>
      <c r="B18" s="108">
        <v>4</v>
      </c>
      <c r="C18" s="109">
        <v>0.2</v>
      </c>
      <c r="D18" s="110">
        <v>217028.625</v>
      </c>
      <c r="E18" s="110">
        <v>54257.15625</v>
      </c>
    </row>
    <row r="19" spans="1:31" x14ac:dyDescent="0.3">
      <c r="B19" s="1" t="s">
        <v>467</v>
      </c>
      <c r="C19" s="3">
        <v>1</v>
      </c>
      <c r="D19" s="112">
        <v>1085143.125</v>
      </c>
    </row>
    <row r="22" spans="1:31" x14ac:dyDescent="0.3">
      <c r="A22" s="100" t="s">
        <v>689</v>
      </c>
      <c r="B22" s="106">
        <v>322.86900000000003</v>
      </c>
      <c r="Q22" s="115"/>
    </row>
    <row r="23" spans="1:31" x14ac:dyDescent="0.3">
      <c r="A23" s="100" t="s">
        <v>468</v>
      </c>
      <c r="B23" s="628">
        <v>236737</v>
      </c>
      <c r="E23" s="1" t="s">
        <v>470</v>
      </c>
      <c r="F23" s="2" t="s">
        <v>598</v>
      </c>
      <c r="G23" s="1" t="s">
        <v>472</v>
      </c>
      <c r="H23" s="1"/>
      <c r="I23" s="1"/>
      <c r="J23" s="304">
        <v>0.33</v>
      </c>
      <c r="K23" s="1"/>
      <c r="L23" s="1"/>
    </row>
    <row r="24" spans="1:31" x14ac:dyDescent="0.3">
      <c r="E24" s="1" t="s">
        <v>473</v>
      </c>
      <c r="F24" s="2" t="s">
        <v>690</v>
      </c>
      <c r="G24" s="1" t="s">
        <v>473</v>
      </c>
      <c r="H24" s="1"/>
      <c r="I24" s="1"/>
      <c r="J24" s="1">
        <v>89</v>
      </c>
      <c r="K24" s="1"/>
      <c r="L24" s="1"/>
    </row>
    <row r="25" spans="1:31" x14ac:dyDescent="0.3">
      <c r="E25" s="1" t="s">
        <v>475</v>
      </c>
      <c r="F25" s="2" t="s">
        <v>691</v>
      </c>
      <c r="G25" s="1" t="s">
        <v>475</v>
      </c>
      <c r="H25" s="1"/>
      <c r="I25" s="1"/>
      <c r="J25" s="95">
        <v>2968</v>
      </c>
      <c r="K25" s="95"/>
      <c r="L25" s="95"/>
      <c r="P25" s="115"/>
    </row>
    <row r="26" spans="1:31" x14ac:dyDescent="0.3">
      <c r="E26" s="1" t="s">
        <v>477</v>
      </c>
      <c r="F26" s="2" t="s">
        <v>692</v>
      </c>
      <c r="G26" s="1" t="s">
        <v>477</v>
      </c>
      <c r="H26" s="1"/>
      <c r="I26" s="1"/>
      <c r="J26" s="95">
        <v>34438242</v>
      </c>
      <c r="K26" s="95"/>
      <c r="L26" s="95"/>
    </row>
    <row r="27" spans="1:31" ht="18" x14ac:dyDescent="0.35">
      <c r="A27" s="118" t="s">
        <v>479</v>
      </c>
      <c r="P27" s="115"/>
    </row>
    <row r="29" spans="1:31" x14ac:dyDescent="0.3">
      <c r="A29" s="2415" t="s">
        <v>480</v>
      </c>
      <c r="B29" s="2416"/>
      <c r="C29" s="2416"/>
      <c r="D29" s="2416"/>
      <c r="E29" s="2416"/>
      <c r="F29" s="2416"/>
      <c r="G29" s="2416"/>
      <c r="H29" s="2416"/>
      <c r="I29" s="2416"/>
      <c r="J29" s="2416"/>
      <c r="K29" s="2416"/>
      <c r="L29" s="2416"/>
      <c r="M29" s="2416"/>
      <c r="N29" s="2416"/>
      <c r="O29" s="2416"/>
      <c r="P29" s="2416"/>
      <c r="Q29" s="2416"/>
      <c r="R29" s="2417"/>
      <c r="S29" s="2400" t="s">
        <v>584</v>
      </c>
      <c r="T29" s="2401"/>
      <c r="U29" s="2401"/>
      <c r="V29" s="2401"/>
      <c r="W29" s="2401"/>
      <c r="X29" s="2401"/>
      <c r="Y29" s="2401"/>
      <c r="Z29" s="2401"/>
      <c r="AA29" s="2401"/>
      <c r="AB29" s="2401"/>
      <c r="AC29" s="2401"/>
      <c r="AD29" s="2401"/>
      <c r="AE29" s="2402"/>
    </row>
    <row r="30" spans="1:31" ht="18" x14ac:dyDescent="0.35">
      <c r="A30" s="2438" t="s">
        <v>482</v>
      </c>
      <c r="B30" s="2430" t="s">
        <v>483</v>
      </c>
      <c r="C30" s="2430" t="s">
        <v>484</v>
      </c>
      <c r="D30" s="2430" t="s">
        <v>485</v>
      </c>
      <c r="E30" s="2430" t="s">
        <v>486</v>
      </c>
      <c r="F30" s="2440" t="s">
        <v>487</v>
      </c>
      <c r="G30" s="2430" t="s">
        <v>488</v>
      </c>
      <c r="H30" s="2430" t="s">
        <v>489</v>
      </c>
      <c r="I30" s="2432" t="s">
        <v>490</v>
      </c>
      <c r="J30" s="2432"/>
      <c r="K30" s="2432"/>
      <c r="L30" s="2432"/>
      <c r="M30" s="663" t="s">
        <v>491</v>
      </c>
      <c r="N30" s="664" t="s">
        <v>492</v>
      </c>
      <c r="O30" s="665" t="s">
        <v>493</v>
      </c>
      <c r="P30" s="664" t="s">
        <v>492</v>
      </c>
      <c r="Q30" s="664" t="s">
        <v>494</v>
      </c>
      <c r="R30" s="2433" t="s">
        <v>495</v>
      </c>
      <c r="S30" s="666" t="s">
        <v>496</v>
      </c>
      <c r="T30" s="2435" t="s">
        <v>497</v>
      </c>
      <c r="U30" s="2436"/>
      <c r="V30" s="2436"/>
      <c r="W30" s="2436"/>
      <c r="X30" s="2437"/>
      <c r="Y30" s="2442" t="s">
        <v>498</v>
      </c>
      <c r="Z30" s="2444"/>
      <c r="AA30" s="2442" t="s">
        <v>499</v>
      </c>
      <c r="AB30" s="2443"/>
      <c r="AC30" s="2443"/>
      <c r="AD30" s="2443"/>
      <c r="AE30" s="2444"/>
    </row>
    <row r="31" spans="1:31" ht="18" x14ac:dyDescent="0.35">
      <c r="A31" s="2439"/>
      <c r="B31" s="2431"/>
      <c r="C31" s="2431"/>
      <c r="D31" s="2431"/>
      <c r="E31" s="2431"/>
      <c r="F31" s="2441"/>
      <c r="G31" s="2431"/>
      <c r="H31" s="2431"/>
      <c r="I31" s="667" t="s">
        <v>500</v>
      </c>
      <c r="J31" s="667" t="s">
        <v>501</v>
      </c>
      <c r="K31" s="667" t="s">
        <v>502</v>
      </c>
      <c r="L31" s="667" t="s">
        <v>503</v>
      </c>
      <c r="M31" s="668" t="s">
        <v>504</v>
      </c>
      <c r="N31" s="669" t="s">
        <v>505</v>
      </c>
      <c r="O31" s="670" t="s">
        <v>506</v>
      </c>
      <c r="P31" s="669" t="s">
        <v>507</v>
      </c>
      <c r="Q31" s="669" t="s">
        <v>507</v>
      </c>
      <c r="R31" s="2434"/>
      <c r="S31" s="671" t="s">
        <v>508</v>
      </c>
      <c r="T31" s="2427"/>
      <c r="U31" s="2428"/>
      <c r="V31" s="2428"/>
      <c r="W31" s="2428"/>
      <c r="X31" s="2429"/>
      <c r="Y31" s="2420"/>
      <c r="Z31" s="2421"/>
      <c r="AA31" s="2420"/>
      <c r="AB31" s="2423"/>
      <c r="AC31" s="2423"/>
      <c r="AD31" s="2423"/>
      <c r="AE31" s="2421"/>
    </row>
    <row r="32" spans="1:31" ht="18" x14ac:dyDescent="0.35">
      <c r="A32" s="2262" t="s">
        <v>509</v>
      </c>
      <c r="B32" s="2263"/>
      <c r="C32" s="2263"/>
      <c r="D32" s="2263"/>
      <c r="E32" s="2263"/>
      <c r="F32" s="2263"/>
      <c r="G32" s="2263"/>
      <c r="H32" s="2263"/>
      <c r="I32" s="2263"/>
      <c r="J32" s="2263"/>
      <c r="K32" s="2263"/>
      <c r="L32" s="2263"/>
      <c r="M32" s="2263"/>
      <c r="N32" s="2263"/>
      <c r="O32" s="2263"/>
      <c r="P32" s="2263"/>
      <c r="Q32" s="2263"/>
      <c r="R32" s="2264"/>
      <c r="S32" s="559"/>
      <c r="T32" s="560" t="s">
        <v>510</v>
      </c>
      <c r="U32" s="561" t="s">
        <v>11</v>
      </c>
      <c r="V32" s="561" t="s">
        <v>511</v>
      </c>
      <c r="W32" s="561" t="s">
        <v>512</v>
      </c>
      <c r="X32" s="562" t="s">
        <v>513</v>
      </c>
      <c r="Y32" s="563" t="s">
        <v>514</v>
      </c>
      <c r="Z32" s="562" t="s">
        <v>515</v>
      </c>
      <c r="AA32" s="563" t="s">
        <v>693</v>
      </c>
      <c r="AB32" s="561" t="s">
        <v>96</v>
      </c>
      <c r="AC32" s="561" t="s">
        <v>97</v>
      </c>
      <c r="AD32" s="561" t="s">
        <v>98</v>
      </c>
      <c r="AE32" s="562" t="s">
        <v>5</v>
      </c>
    </row>
    <row r="33" spans="1:32" ht="18" x14ac:dyDescent="0.35">
      <c r="A33" s="672"/>
      <c r="B33" s="673"/>
      <c r="C33" s="673"/>
      <c r="D33" s="673"/>
      <c r="E33" s="673"/>
      <c r="F33" s="674"/>
      <c r="G33" s="673"/>
      <c r="H33" s="673"/>
      <c r="I33" s="675"/>
      <c r="J33" s="676"/>
      <c r="K33" s="676"/>
      <c r="L33" s="677"/>
      <c r="M33" s="678"/>
      <c r="N33" s="679"/>
      <c r="O33" s="680"/>
      <c r="P33" s="679"/>
      <c r="Q33" s="679"/>
      <c r="R33" s="681"/>
      <c r="S33" s="682"/>
      <c r="T33" s="683"/>
      <c r="X33" s="684"/>
      <c r="Y33" s="685"/>
      <c r="Z33" s="684"/>
      <c r="AA33" s="685"/>
      <c r="AD33" s="676"/>
      <c r="AE33" s="684"/>
    </row>
    <row r="34" spans="1:32" x14ac:dyDescent="0.3">
      <c r="A34" s="156"/>
      <c r="B34" s="157"/>
      <c r="C34" s="157"/>
      <c r="D34" s="157"/>
      <c r="E34" s="157"/>
      <c r="F34" s="158"/>
      <c r="G34" s="157"/>
      <c r="H34" s="157"/>
      <c r="I34" s="188"/>
      <c r="L34" s="286"/>
      <c r="M34" s="163"/>
      <c r="N34" s="164"/>
      <c r="O34" s="165"/>
      <c r="P34" s="164"/>
      <c r="Q34" s="164"/>
      <c r="R34" s="686"/>
      <c r="S34" s="168"/>
      <c r="T34" s="150"/>
      <c r="U34" s="169"/>
      <c r="V34" s="169"/>
      <c r="W34" s="169"/>
      <c r="X34" s="171"/>
      <c r="Y34" s="282"/>
      <c r="Z34" s="171"/>
      <c r="AA34" s="280"/>
      <c r="AB34" s="169"/>
      <c r="AE34" s="152"/>
    </row>
    <row r="35" spans="1:32" x14ac:dyDescent="0.3">
      <c r="A35" s="156" t="s">
        <v>694</v>
      </c>
      <c r="B35" s="157" t="s">
        <v>99</v>
      </c>
      <c r="C35" s="157" t="s">
        <v>695</v>
      </c>
      <c r="D35" s="157" t="s">
        <v>100</v>
      </c>
      <c r="E35" s="157" t="s">
        <v>518</v>
      </c>
      <c r="F35" s="158" t="s">
        <v>51</v>
      </c>
      <c r="G35" s="157">
        <v>1</v>
      </c>
      <c r="H35" s="157" t="s">
        <v>22</v>
      </c>
      <c r="I35" s="592"/>
      <c r="J35" s="285">
        <v>20</v>
      </c>
      <c r="K35" s="285">
        <v>20</v>
      </c>
      <c r="L35" s="286"/>
      <c r="M35" s="163">
        <v>2</v>
      </c>
      <c r="N35" s="503">
        <v>39000</v>
      </c>
      <c r="O35" s="173">
        <v>0.7</v>
      </c>
      <c r="P35" s="503">
        <f t="shared" ref="P35:P42" si="0">N35*(1-O35)</f>
        <v>11700.000000000002</v>
      </c>
      <c r="Q35" s="503">
        <f t="shared" ref="Q35:Q42" si="1">P35*M35*G35</f>
        <v>23400.000000000004</v>
      </c>
      <c r="R35" s="320">
        <f t="shared" ref="R35:R41" si="2">Q35/$Q$47</f>
        <v>0.16055406246376389</v>
      </c>
      <c r="S35" s="168">
        <f>Q35*2</f>
        <v>46800.000000000007</v>
      </c>
      <c r="T35" s="150"/>
      <c r="U35" s="169">
        <f>S35</f>
        <v>46800.000000000007</v>
      </c>
      <c r="V35" s="169"/>
      <c r="X35" s="152"/>
      <c r="Y35" s="283">
        <f>S35</f>
        <v>46800.000000000007</v>
      </c>
      <c r="Z35" s="171"/>
      <c r="AA35" s="282">
        <f>S35</f>
        <v>46800.000000000007</v>
      </c>
      <c r="AB35" s="169"/>
      <c r="AE35" s="152"/>
    </row>
    <row r="36" spans="1:32" x14ac:dyDescent="0.3">
      <c r="A36" s="156" t="s">
        <v>694</v>
      </c>
      <c r="B36" s="157" t="s">
        <v>101</v>
      </c>
      <c r="C36" s="157" t="s">
        <v>696</v>
      </c>
      <c r="D36" s="157" t="s">
        <v>26</v>
      </c>
      <c r="E36" s="157" t="s">
        <v>697</v>
      </c>
      <c r="F36" s="158" t="s">
        <v>640</v>
      </c>
      <c r="G36" s="157">
        <v>2</v>
      </c>
      <c r="H36" s="157" t="s">
        <v>24</v>
      </c>
      <c r="I36" s="182">
        <v>2</v>
      </c>
      <c r="J36" s="183"/>
      <c r="K36" s="183"/>
      <c r="L36" s="2239"/>
      <c r="M36" s="163">
        <v>1</v>
      </c>
      <c r="N36" s="503">
        <v>12690</v>
      </c>
      <c r="O36" s="173">
        <v>0.18</v>
      </c>
      <c r="P36" s="503">
        <f t="shared" si="0"/>
        <v>10405.800000000001</v>
      </c>
      <c r="Q36" s="503">
        <f t="shared" si="1"/>
        <v>20811.600000000002</v>
      </c>
      <c r="R36" s="318">
        <f t="shared" si="2"/>
        <v>0.14279431309277213</v>
      </c>
      <c r="S36" s="168">
        <f t="shared" ref="S36:S42" si="3">Q36*2</f>
        <v>41623.200000000004</v>
      </c>
      <c r="T36" s="150">
        <f t="shared" ref="T36:T38" si="4">S36</f>
        <v>41623.200000000004</v>
      </c>
      <c r="X36" s="152"/>
      <c r="Y36" s="282"/>
      <c r="Z36" s="171">
        <f>S36</f>
        <v>41623.200000000004</v>
      </c>
      <c r="AA36" s="280"/>
      <c r="AB36" s="169">
        <f>S36</f>
        <v>41623.200000000004</v>
      </c>
      <c r="AE36" s="152"/>
    </row>
    <row r="37" spans="1:32" x14ac:dyDescent="0.3">
      <c r="A37" s="156" t="s">
        <v>694</v>
      </c>
      <c r="B37" s="157" t="s">
        <v>101</v>
      </c>
      <c r="C37" s="157" t="s">
        <v>696</v>
      </c>
      <c r="D37" s="157" t="s">
        <v>102</v>
      </c>
      <c r="E37" s="157" t="s">
        <v>697</v>
      </c>
      <c r="F37" s="158" t="s">
        <v>521</v>
      </c>
      <c r="G37" s="157">
        <v>1</v>
      </c>
      <c r="H37" s="157" t="s">
        <v>24</v>
      </c>
      <c r="I37" s="182">
        <v>1</v>
      </c>
      <c r="J37" s="183"/>
      <c r="K37" s="183"/>
      <c r="L37" s="2239"/>
      <c r="M37" s="163">
        <v>1</v>
      </c>
      <c r="N37" s="503">
        <v>12700</v>
      </c>
      <c r="O37" s="173">
        <v>0.32</v>
      </c>
      <c r="P37" s="503">
        <f t="shared" si="0"/>
        <v>8636</v>
      </c>
      <c r="Q37" s="503">
        <f t="shared" si="1"/>
        <v>8636</v>
      </c>
      <c r="R37" s="318">
        <f t="shared" si="2"/>
        <v>5.9254054847737804E-2</v>
      </c>
      <c r="S37" s="168">
        <f t="shared" si="3"/>
        <v>17272</v>
      </c>
      <c r="T37" s="150">
        <f t="shared" si="4"/>
        <v>17272</v>
      </c>
      <c r="V37" s="169"/>
      <c r="X37" s="152"/>
      <c r="Y37" s="283"/>
      <c r="Z37" s="171">
        <f>S37</f>
        <v>17272</v>
      </c>
      <c r="AA37" s="280"/>
      <c r="AB37" s="169">
        <f>S37</f>
        <v>17272</v>
      </c>
      <c r="AC37" s="169"/>
      <c r="AE37" s="152"/>
    </row>
    <row r="38" spans="1:32" x14ac:dyDescent="0.3">
      <c r="A38" s="156" t="s">
        <v>694</v>
      </c>
      <c r="B38" s="157" t="s">
        <v>101</v>
      </c>
      <c r="C38" s="157" t="s">
        <v>696</v>
      </c>
      <c r="D38" s="157" t="s">
        <v>103</v>
      </c>
      <c r="E38" s="157" t="s">
        <v>518</v>
      </c>
      <c r="F38" s="158" t="s">
        <v>43</v>
      </c>
      <c r="G38" s="157">
        <v>1</v>
      </c>
      <c r="H38" s="157" t="s">
        <v>24</v>
      </c>
      <c r="I38" s="182">
        <v>1</v>
      </c>
      <c r="J38" s="183"/>
      <c r="K38" s="183"/>
      <c r="L38" s="2239"/>
      <c r="M38" s="163">
        <v>1</v>
      </c>
      <c r="N38" s="503">
        <v>21640</v>
      </c>
      <c r="O38" s="173">
        <v>0.19</v>
      </c>
      <c r="P38" s="503">
        <f t="shared" si="0"/>
        <v>17528.400000000001</v>
      </c>
      <c r="Q38" s="503">
        <f t="shared" si="1"/>
        <v>17528.400000000001</v>
      </c>
      <c r="R38" s="687">
        <f t="shared" si="2"/>
        <v>0.12026734309785635</v>
      </c>
      <c r="S38" s="168">
        <f t="shared" si="3"/>
        <v>35056.800000000003</v>
      </c>
      <c r="T38" s="565">
        <f t="shared" si="4"/>
        <v>35056.800000000003</v>
      </c>
      <c r="X38" s="152"/>
      <c r="Y38" s="282">
        <f>S38</f>
        <v>35056.800000000003</v>
      </c>
      <c r="Z38" s="171"/>
      <c r="AA38" s="280"/>
      <c r="AB38" s="169">
        <f>S38</f>
        <v>35056.800000000003</v>
      </c>
      <c r="AD38" s="169"/>
      <c r="AE38" s="152"/>
    </row>
    <row r="39" spans="1:32" x14ac:dyDescent="0.3">
      <c r="A39" s="156" t="s">
        <v>694</v>
      </c>
      <c r="B39" s="157" t="s">
        <v>104</v>
      </c>
      <c r="C39" s="157" t="s">
        <v>696</v>
      </c>
      <c r="D39" s="157" t="s">
        <v>105</v>
      </c>
      <c r="E39" s="157" t="s">
        <v>697</v>
      </c>
      <c r="F39" s="158" t="s">
        <v>552</v>
      </c>
      <c r="G39" s="157">
        <v>13</v>
      </c>
      <c r="H39" s="157" t="s">
        <v>106</v>
      </c>
      <c r="I39" s="175">
        <v>13</v>
      </c>
      <c r="J39" s="688"/>
      <c r="L39" s="286"/>
      <c r="M39" s="163">
        <v>1</v>
      </c>
      <c r="N39" s="166">
        <v>1872</v>
      </c>
      <c r="O39" s="173">
        <v>0.2</v>
      </c>
      <c r="P39" s="166">
        <f t="shared" si="0"/>
        <v>1497.6000000000001</v>
      </c>
      <c r="Q39" s="166">
        <f t="shared" si="1"/>
        <v>19468.800000000003</v>
      </c>
      <c r="R39" s="318">
        <f t="shared" si="2"/>
        <v>0.13358097996985155</v>
      </c>
      <c r="S39" s="168">
        <f t="shared" si="3"/>
        <v>38937.600000000006</v>
      </c>
      <c r="T39" s="565">
        <f>S39</f>
        <v>38937.600000000006</v>
      </c>
      <c r="X39" s="152"/>
      <c r="Y39" s="282"/>
      <c r="Z39" s="171">
        <f>S39</f>
        <v>38937.600000000006</v>
      </c>
      <c r="AA39" s="280"/>
      <c r="AC39" s="169">
        <f>S39</f>
        <v>38937.600000000006</v>
      </c>
      <c r="AE39" s="152"/>
    </row>
    <row r="40" spans="1:32" x14ac:dyDescent="0.3">
      <c r="A40" s="156" t="s">
        <v>694</v>
      </c>
      <c r="B40" s="157" t="s">
        <v>104</v>
      </c>
      <c r="C40" s="157" t="s">
        <v>696</v>
      </c>
      <c r="D40" s="157" t="s">
        <v>102</v>
      </c>
      <c r="E40" s="157" t="s">
        <v>518</v>
      </c>
      <c r="F40" s="158" t="s">
        <v>521</v>
      </c>
      <c r="G40" s="157">
        <v>3</v>
      </c>
      <c r="H40" s="157" t="s">
        <v>24</v>
      </c>
      <c r="I40" s="182">
        <v>3</v>
      </c>
      <c r="J40" s="183"/>
      <c r="K40" s="183"/>
      <c r="L40" s="2239"/>
      <c r="M40" s="163">
        <v>1</v>
      </c>
      <c r="N40" s="166">
        <v>6920</v>
      </c>
      <c r="O40" s="173">
        <v>0.2</v>
      </c>
      <c r="P40" s="166">
        <f t="shared" si="0"/>
        <v>5536</v>
      </c>
      <c r="Q40" s="166">
        <f t="shared" si="1"/>
        <v>16608</v>
      </c>
      <c r="R40" s="687">
        <f t="shared" si="2"/>
        <v>0.11395221664094829</v>
      </c>
      <c r="S40" s="168">
        <f t="shared" si="3"/>
        <v>33216</v>
      </c>
      <c r="T40" s="150">
        <f>S40</f>
        <v>33216</v>
      </c>
      <c r="W40" s="169"/>
      <c r="X40" s="152"/>
      <c r="Y40" s="282">
        <f>S40</f>
        <v>33216</v>
      </c>
      <c r="Z40" s="171"/>
      <c r="AA40" s="280"/>
      <c r="AC40" s="169">
        <f>S40</f>
        <v>33216</v>
      </c>
      <c r="AE40" s="152"/>
    </row>
    <row r="41" spans="1:32" x14ac:dyDescent="0.3">
      <c r="A41" s="156" t="s">
        <v>694</v>
      </c>
      <c r="B41" s="157" t="s">
        <v>107</v>
      </c>
      <c r="C41" s="157" t="s">
        <v>696</v>
      </c>
      <c r="D41" s="157" t="s">
        <v>102</v>
      </c>
      <c r="E41" s="157" t="s">
        <v>518</v>
      </c>
      <c r="F41" s="158" t="s">
        <v>521</v>
      </c>
      <c r="G41" s="157">
        <v>2</v>
      </c>
      <c r="H41" s="157" t="s">
        <v>24</v>
      </c>
      <c r="I41" s="182">
        <v>2</v>
      </c>
      <c r="J41" s="183"/>
      <c r="K41" s="183"/>
      <c r="L41" s="2239"/>
      <c r="M41" s="163">
        <v>1</v>
      </c>
      <c r="N41" s="166">
        <v>7440</v>
      </c>
      <c r="O41" s="173">
        <v>0.1</v>
      </c>
      <c r="P41" s="166">
        <f t="shared" si="0"/>
        <v>6696</v>
      </c>
      <c r="Q41" s="166">
        <f t="shared" si="1"/>
        <v>13392</v>
      </c>
      <c r="R41" s="687">
        <f t="shared" si="2"/>
        <v>9.1886324979261774E-2</v>
      </c>
      <c r="S41" s="168">
        <f t="shared" si="3"/>
        <v>26784</v>
      </c>
      <c r="T41" s="150">
        <f>S41</f>
        <v>26784</v>
      </c>
      <c r="X41" s="171"/>
      <c r="Y41" s="282">
        <f>S41</f>
        <v>26784</v>
      </c>
      <c r="Z41" s="152"/>
      <c r="AA41" s="280"/>
      <c r="AD41" s="169">
        <f>S41</f>
        <v>26784</v>
      </c>
      <c r="AE41" s="152"/>
    </row>
    <row r="42" spans="1:32" x14ac:dyDescent="0.3">
      <c r="A42" s="156" t="s">
        <v>694</v>
      </c>
      <c r="B42" s="157" t="s">
        <v>108</v>
      </c>
      <c r="C42" s="157" t="s">
        <v>695</v>
      </c>
      <c r="D42" s="157" t="s">
        <v>100</v>
      </c>
      <c r="E42" s="157" t="s">
        <v>697</v>
      </c>
      <c r="F42" s="158" t="s">
        <v>522</v>
      </c>
      <c r="G42" s="157">
        <v>1</v>
      </c>
      <c r="H42" s="157" t="s">
        <v>22</v>
      </c>
      <c r="I42" s="285">
        <v>15</v>
      </c>
      <c r="L42" s="286"/>
      <c r="M42" s="163">
        <v>1</v>
      </c>
      <c r="N42" s="166">
        <f>5590*3</f>
        <v>16770</v>
      </c>
      <c r="O42" s="173">
        <v>0.35</v>
      </c>
      <c r="P42" s="166">
        <f t="shared" si="0"/>
        <v>10900.5</v>
      </c>
      <c r="Q42" s="166">
        <f t="shared" si="1"/>
        <v>10900.5</v>
      </c>
      <c r="R42" s="318">
        <f>Q42/$Q$75</f>
        <v>7.4334903614556413E-2</v>
      </c>
      <c r="S42" s="168">
        <f t="shared" si="3"/>
        <v>21801</v>
      </c>
      <c r="T42" s="150"/>
      <c r="U42" s="169">
        <f>S42</f>
        <v>21801</v>
      </c>
      <c r="X42" s="152"/>
      <c r="Y42" s="280"/>
      <c r="Z42" s="171">
        <f>S42</f>
        <v>21801</v>
      </c>
      <c r="AA42" s="280"/>
      <c r="AE42" s="171">
        <f>S42</f>
        <v>21801</v>
      </c>
    </row>
    <row r="43" spans="1:32" x14ac:dyDescent="0.3">
      <c r="A43" s="156"/>
      <c r="B43" s="157"/>
      <c r="C43" s="157"/>
      <c r="D43" s="157"/>
      <c r="E43" s="157"/>
      <c r="F43" s="158"/>
      <c r="G43" s="157"/>
      <c r="H43" s="157"/>
      <c r="I43" s="188"/>
      <c r="L43" s="286"/>
      <c r="M43" s="163"/>
      <c r="N43" s="166"/>
      <c r="O43" s="173"/>
      <c r="P43" s="166"/>
      <c r="Q43" s="166"/>
      <c r="R43" s="318"/>
      <c r="S43" s="168"/>
      <c r="T43" s="150"/>
      <c r="X43" s="152"/>
      <c r="Y43" s="280"/>
      <c r="Z43" s="152"/>
      <c r="AA43" s="280"/>
      <c r="AE43" s="152"/>
    </row>
    <row r="44" spans="1:32" x14ac:dyDescent="0.3">
      <c r="A44" s="365" t="s">
        <v>694</v>
      </c>
      <c r="B44" s="108" t="s">
        <v>528</v>
      </c>
      <c r="C44" s="289"/>
      <c r="D44" s="252"/>
      <c r="E44" s="252"/>
      <c r="F44" s="253"/>
      <c r="G44" s="252"/>
      <c r="H44" s="252"/>
      <c r="I44" s="254"/>
      <c r="J44" s="254"/>
      <c r="K44" s="254"/>
      <c r="L44" s="254"/>
      <c r="M44" s="252"/>
      <c r="N44" s="255"/>
      <c r="O44" s="256"/>
      <c r="P44" s="290"/>
      <c r="Q44" s="257"/>
      <c r="R44" s="367"/>
      <c r="S44" s="149"/>
      <c r="T44" s="280"/>
      <c r="X44" s="152"/>
      <c r="Y44" s="280"/>
      <c r="Z44" s="152"/>
      <c r="AA44" s="280"/>
      <c r="AE44" s="152"/>
    </row>
    <row r="45" spans="1:32" x14ac:dyDescent="0.3">
      <c r="A45" s="365" t="s">
        <v>694</v>
      </c>
      <c r="B45" s="108" t="s">
        <v>529</v>
      </c>
      <c r="C45" s="289"/>
      <c r="D45" s="252"/>
      <c r="E45" s="252"/>
      <c r="F45" s="253"/>
      <c r="G45" s="252"/>
      <c r="H45" s="252"/>
      <c r="I45" s="254"/>
      <c r="J45" s="254"/>
      <c r="K45" s="254"/>
      <c r="L45" s="254"/>
      <c r="M45" s="252"/>
      <c r="N45" s="255"/>
      <c r="O45" s="256"/>
      <c r="P45" s="290"/>
      <c r="Q45" s="257">
        <v>15000</v>
      </c>
      <c r="R45" s="367">
        <f>Q45/Q47</f>
        <v>0.10291927081010503</v>
      </c>
      <c r="S45" s="149">
        <f>Q45*2</f>
        <v>30000</v>
      </c>
      <c r="T45" s="280"/>
      <c r="X45" s="689">
        <f>S45</f>
        <v>30000</v>
      </c>
      <c r="Y45" s="280"/>
      <c r="Z45" s="152"/>
      <c r="AA45" s="280"/>
      <c r="AE45" s="152"/>
    </row>
    <row r="46" spans="1:32" x14ac:dyDescent="0.3">
      <c r="A46" s="368"/>
      <c r="B46" s="369"/>
      <c r="C46" s="369"/>
      <c r="D46" s="369"/>
      <c r="E46" s="369"/>
      <c r="F46" s="370"/>
      <c r="G46" s="369"/>
      <c r="H46" s="369"/>
      <c r="I46" s="2184">
        <f>I47/M47</f>
        <v>0.48051948051948051</v>
      </c>
      <c r="J46" s="2184">
        <f>J47/M47</f>
        <v>0.25974025974025972</v>
      </c>
      <c r="K46" s="2184">
        <f>K47/M47</f>
        <v>0.25974025974025972</v>
      </c>
      <c r="L46" s="208"/>
      <c r="M46" s="369"/>
      <c r="N46" s="371"/>
      <c r="O46" s="372"/>
      <c r="P46" s="371"/>
      <c r="Q46" s="371"/>
      <c r="R46" s="261"/>
      <c r="S46" s="149"/>
      <c r="T46" s="280"/>
      <c r="X46" s="152"/>
      <c r="Y46" s="280"/>
      <c r="Z46" s="152"/>
      <c r="AA46" s="280"/>
      <c r="AE46" s="152"/>
    </row>
    <row r="47" spans="1:32" x14ac:dyDescent="0.3">
      <c r="A47" s="212" t="s">
        <v>531</v>
      </c>
      <c r="B47" s="213"/>
      <c r="C47" s="213"/>
      <c r="D47" s="213"/>
      <c r="E47" s="213"/>
      <c r="F47" s="214"/>
      <c r="G47" s="213"/>
      <c r="H47" s="213"/>
      <c r="I47" s="690">
        <f>I41+I40+I39+I38+I37+I36+I42</f>
        <v>37</v>
      </c>
      <c r="J47" s="690">
        <f>J35</f>
        <v>20</v>
      </c>
      <c r="K47" s="690">
        <f>K35</f>
        <v>20</v>
      </c>
      <c r="L47" s="690"/>
      <c r="M47" s="213">
        <f>SUM(I47:L47)</f>
        <v>77</v>
      </c>
      <c r="N47" s="215"/>
      <c r="O47" s="216"/>
      <c r="P47" s="215"/>
      <c r="Q47" s="481">
        <f>SUM(Q33:Q45)</f>
        <v>145745.29999999999</v>
      </c>
      <c r="R47" s="218">
        <f>SUM(R34:R45)</f>
        <v>0.99954346951685313</v>
      </c>
      <c r="S47" s="568">
        <f>SUM(S34:S45)</f>
        <v>291490.59999999998</v>
      </c>
      <c r="T47" s="569">
        <f>SUM(T34:T45)</f>
        <v>192889.60000000001</v>
      </c>
      <c r="U47" s="570">
        <f>SUM(U34:U45)</f>
        <v>68601</v>
      </c>
      <c r="V47" s="570">
        <f>SUM(V34:V41)</f>
        <v>0</v>
      </c>
      <c r="W47" s="570">
        <f>SUM(W34:W41)</f>
        <v>0</v>
      </c>
      <c r="X47" s="571">
        <f>SUM(X33:X46)</f>
        <v>30000</v>
      </c>
      <c r="Y47" s="222">
        <f>SUM(Y34:Y41)</f>
        <v>141856.80000000002</v>
      </c>
      <c r="Z47" s="223">
        <f>SUM(Z34:Z44)</f>
        <v>119633.80000000002</v>
      </c>
      <c r="AA47" s="614">
        <f>SUM(AA33:AA46)</f>
        <v>46800.000000000007</v>
      </c>
      <c r="AB47" s="641">
        <f>SUM(AB33:AB46)</f>
        <v>93952</v>
      </c>
      <c r="AC47" s="641">
        <f>SUM(AC33:AC46)</f>
        <v>72153.600000000006</v>
      </c>
      <c r="AD47" s="641">
        <f>SUM(AD33:AD46)</f>
        <v>26784</v>
      </c>
      <c r="AE47" s="642">
        <f>SUM(AE33:AE46)</f>
        <v>21801</v>
      </c>
      <c r="AF47" s="303"/>
    </row>
    <row r="48" spans="1:32" x14ac:dyDescent="0.3">
      <c r="A48" s="228" t="s">
        <v>532</v>
      </c>
      <c r="B48" s="229"/>
      <c r="C48" s="229"/>
      <c r="D48" s="229"/>
      <c r="E48" s="229"/>
      <c r="F48" s="230"/>
      <c r="G48" s="229"/>
      <c r="H48" s="229"/>
      <c r="I48" s="691">
        <f>I41+I40+I39+I38+I37+I36+I42</f>
        <v>37</v>
      </c>
      <c r="J48" s="691">
        <f>I41+I40+I39+I38+I37+I36+J35</f>
        <v>42</v>
      </c>
      <c r="K48" s="691">
        <f>I41+I40+I38+I37+I36+K35</f>
        <v>29</v>
      </c>
      <c r="L48" s="691">
        <f>I41+I40+I38+I37+I36</f>
        <v>9</v>
      </c>
      <c r="M48" s="229">
        <f>SUM(I48:L48)</f>
        <v>117</v>
      </c>
      <c r="N48" s="231"/>
      <c r="O48" s="232"/>
      <c r="P48" s="231"/>
      <c r="Q48" s="231"/>
      <c r="R48" s="233"/>
      <c r="S48" s="234"/>
      <c r="T48" s="235">
        <f>T47/S47</f>
        <v>0.66173523262842793</v>
      </c>
      <c r="U48" s="236">
        <f>U47/S47</f>
        <v>0.23534549656146719</v>
      </c>
      <c r="V48" s="236">
        <f>V47/S47</f>
        <v>0</v>
      </c>
      <c r="W48" s="236">
        <f>W47/S47</f>
        <v>0</v>
      </c>
      <c r="X48" s="297">
        <f>X47/S47</f>
        <v>0.10291927081010503</v>
      </c>
      <c r="Y48" s="298">
        <f>Y47/S47</f>
        <v>0.48665994718183031</v>
      </c>
      <c r="Z48" s="297">
        <f>Z47/S47</f>
        <v>0.41042078200806487</v>
      </c>
      <c r="AA48" s="573"/>
      <c r="AB48" s="486"/>
      <c r="AC48" s="487"/>
      <c r="AD48" s="487"/>
      <c r="AE48" s="242"/>
    </row>
    <row r="49" spans="1:31" x14ac:dyDescent="0.3">
      <c r="A49" s="243" t="s">
        <v>533</v>
      </c>
      <c r="B49" s="193"/>
      <c r="C49" s="193"/>
      <c r="D49" s="193"/>
      <c r="E49" s="193"/>
      <c r="F49" s="244"/>
      <c r="G49" s="193"/>
      <c r="H49" s="193"/>
      <c r="I49" s="2182">
        <f>I48/M48</f>
        <v>0.31623931623931623</v>
      </c>
      <c r="J49" s="2182">
        <f>J48/M48</f>
        <v>0.35897435897435898</v>
      </c>
      <c r="K49" s="2182">
        <f>K48/M48</f>
        <v>0.24786324786324787</v>
      </c>
      <c r="L49" s="2182">
        <f>L48/M48</f>
        <v>7.6923076923076927E-2</v>
      </c>
      <c r="M49" s="193"/>
      <c r="N49" s="246"/>
      <c r="O49" s="196"/>
      <c r="P49" s="246"/>
      <c r="Q49" s="194">
        <f>T47/2</f>
        <v>96444.800000000003</v>
      </c>
      <c r="R49" s="247">
        <f>Q49/Q53</f>
        <v>0.66173523262842793</v>
      </c>
      <c r="T49" s="111"/>
      <c r="X49" s="248"/>
      <c r="Y49" s="357">
        <f>J35+K35+I38+I40+I41</f>
        <v>46</v>
      </c>
      <c r="Z49" s="358">
        <f>I36+I37+I39+I42</f>
        <v>31</v>
      </c>
      <c r="AA49" s="4"/>
      <c r="AE49" s="303"/>
    </row>
    <row r="50" spans="1:31" x14ac:dyDescent="0.3">
      <c r="A50" s="251" t="s">
        <v>11</v>
      </c>
      <c r="B50" s="252"/>
      <c r="C50" s="252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55"/>
      <c r="Q50" s="257">
        <f>U47/2</f>
        <v>34300.5</v>
      </c>
      <c r="R50" s="262">
        <f>Q50/Q53</f>
        <v>0.23534549656146719</v>
      </c>
      <c r="S50" s="574">
        <f>Q47/M47</f>
        <v>1892.7961038961037</v>
      </c>
      <c r="T50" s="489" t="s">
        <v>535</v>
      </c>
      <c r="X50" s="169">
        <f>SUM(T33:X46)</f>
        <v>291490.59999999998</v>
      </c>
      <c r="Y50" s="195">
        <f>Y49/M47</f>
        <v>0.59740259740259738</v>
      </c>
      <c r="Z50" s="247">
        <f>Z49/M47</f>
        <v>0.40259740259740262</v>
      </c>
    </row>
    <row r="51" spans="1:31" x14ac:dyDescent="0.3">
      <c r="A51" s="251" t="s">
        <v>528</v>
      </c>
      <c r="B51" s="252"/>
      <c r="C51" s="252"/>
      <c r="D51" s="252"/>
      <c r="E51" s="252"/>
      <c r="F51" s="253"/>
      <c r="G51" s="252"/>
      <c r="H51" s="252"/>
      <c r="I51" s="254"/>
      <c r="J51" s="254"/>
      <c r="K51" s="254"/>
      <c r="L51" s="254"/>
      <c r="M51" s="252"/>
      <c r="N51" s="255"/>
      <c r="O51" s="256"/>
      <c r="P51" s="255"/>
      <c r="Q51" s="257"/>
      <c r="R51" s="262">
        <f>Q51/Q47</f>
        <v>0</v>
      </c>
      <c r="T51" s="111"/>
      <c r="U51" s="263"/>
      <c r="W51" s="99"/>
      <c r="X51" s="263"/>
      <c r="Y51" s="2265" t="s">
        <v>537</v>
      </c>
      <c r="Z51" s="2265"/>
    </row>
    <row r="52" spans="1:31" x14ac:dyDescent="0.3">
      <c r="A52" s="251" t="s">
        <v>529</v>
      </c>
      <c r="B52" s="252"/>
      <c r="C52" s="252"/>
      <c r="D52" s="252"/>
      <c r="E52" s="252"/>
      <c r="F52" s="253"/>
      <c r="G52" s="252"/>
      <c r="H52" s="252"/>
      <c r="I52" s="254"/>
      <c r="J52" s="254"/>
      <c r="K52" s="254"/>
      <c r="L52" s="254"/>
      <c r="M52" s="252"/>
      <c r="N52" s="255"/>
      <c r="O52" s="256"/>
      <c r="P52" s="255"/>
      <c r="Q52" s="257">
        <f>X47/2</f>
        <v>15000</v>
      </c>
      <c r="R52" s="262">
        <f>Q52/Q53</f>
        <v>0.10291927081010503</v>
      </c>
      <c r="T52" s="111"/>
      <c r="U52" s="263"/>
    </row>
    <row r="53" spans="1:31" x14ac:dyDescent="0.3">
      <c r="A53" s="243"/>
      <c r="B53" s="193"/>
      <c r="C53" s="193"/>
      <c r="D53" s="193"/>
      <c r="E53" s="193"/>
      <c r="F53" s="244"/>
      <c r="G53" s="193"/>
      <c r="H53" s="193"/>
      <c r="I53" s="245"/>
      <c r="J53" s="245"/>
      <c r="K53" s="245"/>
      <c r="L53" s="245"/>
      <c r="M53" s="193"/>
      <c r="N53" s="246"/>
      <c r="O53" s="196"/>
      <c r="P53" s="246"/>
      <c r="Q53" s="194">
        <f>SUM(Q49:Q52)</f>
        <v>145745.29999999999</v>
      </c>
      <c r="R53" s="247">
        <f>SUM(R49:R52)</f>
        <v>1.0000000000000002</v>
      </c>
    </row>
    <row r="55" spans="1:31" ht="18" x14ac:dyDescent="0.35">
      <c r="A55" s="118" t="s">
        <v>538</v>
      </c>
    </row>
    <row r="57" spans="1:31" x14ac:dyDescent="0.3">
      <c r="A57" s="2415" t="s">
        <v>480</v>
      </c>
      <c r="B57" s="2416"/>
      <c r="C57" s="2416"/>
      <c r="D57" s="2416"/>
      <c r="E57" s="2416"/>
      <c r="F57" s="2416"/>
      <c r="G57" s="2416"/>
      <c r="H57" s="2416"/>
      <c r="I57" s="2416"/>
      <c r="J57" s="2416"/>
      <c r="K57" s="2416"/>
      <c r="L57" s="2416"/>
      <c r="M57" s="2416"/>
      <c r="N57" s="2416"/>
      <c r="O57" s="2416"/>
      <c r="P57" s="2416"/>
      <c r="Q57" s="2416"/>
      <c r="R57" s="2417"/>
      <c r="S57" s="2400" t="s">
        <v>584</v>
      </c>
      <c r="T57" s="2401"/>
      <c r="U57" s="2401"/>
      <c r="V57" s="2401"/>
      <c r="W57" s="2401"/>
      <c r="X57" s="2401"/>
      <c r="Y57" s="2401"/>
      <c r="Z57" s="2401"/>
      <c r="AA57" s="2401"/>
      <c r="AB57" s="2401"/>
      <c r="AC57" s="2401"/>
      <c r="AD57" s="2401"/>
      <c r="AE57" s="2402"/>
    </row>
    <row r="58" spans="1:31" ht="18" x14ac:dyDescent="0.35">
      <c r="A58" s="2284" t="s">
        <v>482</v>
      </c>
      <c r="B58" s="2286" t="s">
        <v>483</v>
      </c>
      <c r="C58" s="2286" t="s">
        <v>484</v>
      </c>
      <c r="D58" s="2286" t="s">
        <v>485</v>
      </c>
      <c r="E58" s="2286" t="s">
        <v>486</v>
      </c>
      <c r="F58" s="2288" t="s">
        <v>487</v>
      </c>
      <c r="G58" s="2286" t="s">
        <v>488</v>
      </c>
      <c r="H58" s="2286" t="s">
        <v>489</v>
      </c>
      <c r="I58" s="2266" t="s">
        <v>490</v>
      </c>
      <c r="J58" s="2266"/>
      <c r="K58" s="2266"/>
      <c r="L58" s="2266"/>
      <c r="M58" s="265" t="s">
        <v>491</v>
      </c>
      <c r="N58" s="266" t="s">
        <v>492</v>
      </c>
      <c r="O58" s="267" t="s">
        <v>493</v>
      </c>
      <c r="P58" s="266" t="s">
        <v>492</v>
      </c>
      <c r="Q58" s="266" t="s">
        <v>494</v>
      </c>
      <c r="R58" s="2267" t="s">
        <v>495</v>
      </c>
      <c r="S58" s="692" t="s">
        <v>496</v>
      </c>
      <c r="T58" s="2424" t="s">
        <v>497</v>
      </c>
      <c r="U58" s="2425"/>
      <c r="V58" s="2425"/>
      <c r="W58" s="2425"/>
      <c r="X58" s="2426"/>
      <c r="Y58" s="2418" t="s">
        <v>498</v>
      </c>
      <c r="Z58" s="2419"/>
      <c r="AA58" s="2418" t="s">
        <v>499</v>
      </c>
      <c r="AB58" s="2422"/>
      <c r="AC58" s="2422"/>
      <c r="AD58" s="2422"/>
      <c r="AE58" s="2419"/>
    </row>
    <row r="59" spans="1:31" ht="18" x14ac:dyDescent="0.35">
      <c r="A59" s="2285"/>
      <c r="B59" s="2287"/>
      <c r="C59" s="2287"/>
      <c r="D59" s="2287"/>
      <c r="E59" s="2287"/>
      <c r="F59" s="2289"/>
      <c r="G59" s="2287"/>
      <c r="H59" s="2287"/>
      <c r="I59" s="269" t="s">
        <v>500</v>
      </c>
      <c r="J59" s="269" t="s">
        <v>501</v>
      </c>
      <c r="K59" s="269" t="s">
        <v>502</v>
      </c>
      <c r="L59" s="269" t="s">
        <v>503</v>
      </c>
      <c r="M59" s="270" t="s">
        <v>504</v>
      </c>
      <c r="N59" s="271" t="s">
        <v>505</v>
      </c>
      <c r="O59" s="272" t="s">
        <v>506</v>
      </c>
      <c r="P59" s="271" t="s">
        <v>507</v>
      </c>
      <c r="Q59" s="271" t="s">
        <v>507</v>
      </c>
      <c r="R59" s="2268"/>
      <c r="S59" s="671" t="s">
        <v>508</v>
      </c>
      <c r="T59" s="2427"/>
      <c r="U59" s="2428"/>
      <c r="V59" s="2428"/>
      <c r="W59" s="2428"/>
      <c r="X59" s="2429"/>
      <c r="Y59" s="2420"/>
      <c r="Z59" s="2421"/>
      <c r="AA59" s="2420"/>
      <c r="AB59" s="2423"/>
      <c r="AC59" s="2423"/>
      <c r="AD59" s="2423"/>
      <c r="AE59" s="2421"/>
    </row>
    <row r="60" spans="1:31" ht="18" x14ac:dyDescent="0.35">
      <c r="A60" s="2359" t="s">
        <v>540</v>
      </c>
      <c r="B60" s="2360"/>
      <c r="C60" s="2360"/>
      <c r="D60" s="2360"/>
      <c r="E60" s="2360"/>
      <c r="F60" s="2360"/>
      <c r="G60" s="2360"/>
      <c r="H60" s="2360"/>
      <c r="I60" s="2360"/>
      <c r="J60" s="2360"/>
      <c r="K60" s="2360"/>
      <c r="L60" s="2360"/>
      <c r="M60" s="2360"/>
      <c r="N60" s="2360"/>
      <c r="O60" s="2360"/>
      <c r="P60" s="2360"/>
      <c r="Q60" s="2360"/>
      <c r="R60" s="2360"/>
      <c r="S60" s="559"/>
      <c r="T60" s="560" t="s">
        <v>510</v>
      </c>
      <c r="U60" s="561" t="s">
        <v>11</v>
      </c>
      <c r="V60" s="561" t="s">
        <v>511</v>
      </c>
      <c r="W60" s="561" t="s">
        <v>512</v>
      </c>
      <c r="X60" s="562" t="s">
        <v>513</v>
      </c>
      <c r="Y60" s="563" t="s">
        <v>514</v>
      </c>
      <c r="Z60" s="562" t="s">
        <v>515</v>
      </c>
      <c r="AA60" s="563" t="s">
        <v>693</v>
      </c>
      <c r="AB60" s="561" t="s">
        <v>96</v>
      </c>
      <c r="AC60" s="561" t="s">
        <v>97</v>
      </c>
      <c r="AD60" s="561" t="s">
        <v>98</v>
      </c>
      <c r="AE60" s="562" t="s">
        <v>5</v>
      </c>
    </row>
    <row r="61" spans="1:31" ht="18" x14ac:dyDescent="0.35">
      <c r="A61" s="154"/>
      <c r="B61" s="462"/>
      <c r="C61" s="462"/>
      <c r="D61" s="462"/>
      <c r="E61" s="462"/>
      <c r="F61" s="463"/>
      <c r="G61" s="462"/>
      <c r="H61" s="462"/>
      <c r="I61" s="465"/>
      <c r="J61" s="465"/>
      <c r="K61" s="465"/>
      <c r="L61" s="465"/>
      <c r="M61" s="462"/>
      <c r="N61" s="468"/>
      <c r="O61" s="469"/>
      <c r="P61" s="468"/>
      <c r="Q61" s="468"/>
      <c r="R61" s="501"/>
      <c r="S61" s="682"/>
      <c r="T61" s="683"/>
      <c r="U61" s="137"/>
      <c r="V61" s="137"/>
      <c r="W61" s="137"/>
      <c r="X61" s="684"/>
      <c r="Y61" s="685"/>
      <c r="Z61" s="684"/>
      <c r="AA61" s="685"/>
      <c r="AB61" s="137"/>
      <c r="AC61" s="137"/>
      <c r="AD61" s="676"/>
      <c r="AE61" s="684"/>
    </row>
    <row r="62" spans="1:31" x14ac:dyDescent="0.3">
      <c r="A62" s="157" t="s">
        <v>694</v>
      </c>
      <c r="B62" s="157" t="s">
        <v>99</v>
      </c>
      <c r="C62" s="157" t="s">
        <v>695</v>
      </c>
      <c r="D62" s="157" t="s">
        <v>100</v>
      </c>
      <c r="E62" s="157" t="s">
        <v>518</v>
      </c>
      <c r="F62" s="158" t="s">
        <v>51</v>
      </c>
      <c r="G62" s="157">
        <v>1</v>
      </c>
      <c r="H62" s="157" t="s">
        <v>22</v>
      </c>
      <c r="I62" s="592"/>
      <c r="J62" s="285">
        <v>20</v>
      </c>
      <c r="K62" s="285">
        <v>20</v>
      </c>
      <c r="L62" s="286"/>
      <c r="M62" s="163">
        <v>2</v>
      </c>
      <c r="N62" s="503">
        <v>39000</v>
      </c>
      <c r="O62" s="173">
        <v>0.7</v>
      </c>
      <c r="P62" s="503">
        <f t="shared" ref="P62:P68" si="5">N62*(1-O62)</f>
        <v>11700.000000000002</v>
      </c>
      <c r="Q62" s="503">
        <f t="shared" ref="Q62:Q68" si="6">P62*M62*G62</f>
        <v>23400.000000000004</v>
      </c>
      <c r="R62" s="178">
        <f>Q62/$Q$75</f>
        <v>0.15957403280405671</v>
      </c>
      <c r="S62" s="168">
        <f>Q62</f>
        <v>23400.000000000004</v>
      </c>
      <c r="T62" s="150"/>
      <c r="U62" s="169">
        <f>S62</f>
        <v>23400.000000000004</v>
      </c>
      <c r="V62" s="169"/>
      <c r="X62" s="152"/>
      <c r="Y62" s="283">
        <f>S62</f>
        <v>23400.000000000004</v>
      </c>
      <c r="Z62" s="171"/>
      <c r="AA62" s="282">
        <f>S62</f>
        <v>23400.000000000004</v>
      </c>
      <c r="AB62" s="169"/>
      <c r="AE62" s="152"/>
    </row>
    <row r="63" spans="1:31" x14ac:dyDescent="0.3">
      <c r="A63" s="157" t="s">
        <v>694</v>
      </c>
      <c r="B63" s="157" t="s">
        <v>101</v>
      </c>
      <c r="C63" s="157" t="s">
        <v>696</v>
      </c>
      <c r="D63" s="157" t="s">
        <v>26</v>
      </c>
      <c r="E63" s="157" t="s">
        <v>697</v>
      </c>
      <c r="F63" s="158" t="s">
        <v>588</v>
      </c>
      <c r="G63" s="157">
        <v>2</v>
      </c>
      <c r="H63" s="157" t="s">
        <v>24</v>
      </c>
      <c r="I63" s="182">
        <v>2</v>
      </c>
      <c r="J63" s="183"/>
      <c r="K63" s="183"/>
      <c r="L63" s="2239"/>
      <c r="M63" s="163">
        <v>1</v>
      </c>
      <c r="N63" s="503">
        <v>12690</v>
      </c>
      <c r="O63" s="173">
        <v>0.18</v>
      </c>
      <c r="P63" s="503">
        <f t="shared" si="5"/>
        <v>10405.800000000001</v>
      </c>
      <c r="Q63" s="503">
        <f t="shared" si="6"/>
        <v>20811.600000000002</v>
      </c>
      <c r="R63" s="167">
        <f t="shared" ref="R63:R68" si="7">Q63/$Q$75</f>
        <v>0.14192268979080799</v>
      </c>
      <c r="S63" s="168">
        <f>Q63</f>
        <v>20811.600000000002</v>
      </c>
      <c r="T63" s="150">
        <f t="shared" ref="T63:T65" si="8">S63</f>
        <v>20811.600000000002</v>
      </c>
      <c r="X63" s="152"/>
      <c r="Y63" s="282"/>
      <c r="Z63" s="171">
        <f>S63</f>
        <v>20811.600000000002</v>
      </c>
      <c r="AA63" s="280"/>
      <c r="AB63" s="169">
        <f>S63</f>
        <v>20811.600000000002</v>
      </c>
      <c r="AE63" s="152"/>
    </row>
    <row r="64" spans="1:31" x14ac:dyDescent="0.3">
      <c r="A64" s="157" t="s">
        <v>694</v>
      </c>
      <c r="B64" s="157" t="s">
        <v>101</v>
      </c>
      <c r="C64" s="157" t="s">
        <v>696</v>
      </c>
      <c r="D64" s="157" t="s">
        <v>102</v>
      </c>
      <c r="E64" s="157" t="s">
        <v>518</v>
      </c>
      <c r="F64" s="158" t="s">
        <v>551</v>
      </c>
      <c r="G64" s="157">
        <v>1</v>
      </c>
      <c r="H64" s="157" t="s">
        <v>24</v>
      </c>
      <c r="I64" s="182">
        <v>1</v>
      </c>
      <c r="J64" s="183"/>
      <c r="K64" s="183"/>
      <c r="L64" s="2239"/>
      <c r="M64" s="163">
        <v>1</v>
      </c>
      <c r="N64" s="503">
        <v>12700</v>
      </c>
      <c r="O64" s="173">
        <v>0.32</v>
      </c>
      <c r="P64" s="503">
        <f t="shared" si="5"/>
        <v>8636</v>
      </c>
      <c r="Q64" s="503">
        <f t="shared" si="6"/>
        <v>8636</v>
      </c>
      <c r="R64" s="178">
        <f t="shared" si="7"/>
        <v>5.889236526905272E-2</v>
      </c>
      <c r="S64" s="168">
        <f t="shared" ref="S64:S68" si="9">Q64</f>
        <v>8636</v>
      </c>
      <c r="T64" s="150">
        <f t="shared" si="8"/>
        <v>8636</v>
      </c>
      <c r="V64" s="169"/>
      <c r="X64" s="152"/>
      <c r="Y64" s="283">
        <f>S64</f>
        <v>8636</v>
      </c>
      <c r="Z64" s="171"/>
      <c r="AA64" s="280"/>
      <c r="AB64" s="169">
        <f>S64</f>
        <v>8636</v>
      </c>
      <c r="AC64" s="169"/>
      <c r="AE64" s="152"/>
    </row>
    <row r="65" spans="1:31" x14ac:dyDescent="0.3">
      <c r="A65" s="157" t="s">
        <v>694</v>
      </c>
      <c r="B65" s="157" t="s">
        <v>104</v>
      </c>
      <c r="C65" s="157" t="s">
        <v>696</v>
      </c>
      <c r="D65" s="157" t="s">
        <v>105</v>
      </c>
      <c r="E65" s="157" t="s">
        <v>697</v>
      </c>
      <c r="F65" s="158" t="s">
        <v>698</v>
      </c>
      <c r="G65" s="157">
        <v>18</v>
      </c>
      <c r="H65" s="157" t="s">
        <v>106</v>
      </c>
      <c r="I65" s="175">
        <v>18</v>
      </c>
      <c r="J65" s="688"/>
      <c r="L65" s="286"/>
      <c r="M65" s="163">
        <v>1</v>
      </c>
      <c r="N65" s="166">
        <v>1872</v>
      </c>
      <c r="O65" s="173">
        <v>0.2</v>
      </c>
      <c r="P65" s="166">
        <f t="shared" si="5"/>
        <v>1497.6000000000001</v>
      </c>
      <c r="Q65" s="166">
        <f t="shared" si="6"/>
        <v>26956.800000000003</v>
      </c>
      <c r="R65" s="167">
        <f t="shared" si="7"/>
        <v>0.18382928579027333</v>
      </c>
      <c r="S65" s="168">
        <f t="shared" si="9"/>
        <v>26956.800000000003</v>
      </c>
      <c r="T65" s="565">
        <f t="shared" si="8"/>
        <v>26956.800000000003</v>
      </c>
      <c r="X65" s="152"/>
      <c r="Y65" s="282">
        <f>S65</f>
        <v>26956.800000000003</v>
      </c>
      <c r="Z65" s="171"/>
      <c r="AA65" s="280"/>
      <c r="AB65" s="169"/>
      <c r="AC65" s="169">
        <f>S65</f>
        <v>26956.800000000003</v>
      </c>
      <c r="AD65" s="169"/>
      <c r="AE65" s="152"/>
    </row>
    <row r="66" spans="1:31" x14ac:dyDescent="0.3">
      <c r="A66" s="157" t="s">
        <v>694</v>
      </c>
      <c r="B66" s="157" t="s">
        <v>104</v>
      </c>
      <c r="C66" s="157" t="s">
        <v>696</v>
      </c>
      <c r="D66" s="157" t="s">
        <v>102</v>
      </c>
      <c r="E66" s="157" t="s">
        <v>518</v>
      </c>
      <c r="F66" s="158" t="s">
        <v>551</v>
      </c>
      <c r="G66" s="157">
        <v>2</v>
      </c>
      <c r="H66" s="157" t="s">
        <v>24</v>
      </c>
      <c r="I66" s="182">
        <v>2</v>
      </c>
      <c r="J66" s="183"/>
      <c r="K66" s="183"/>
      <c r="L66" s="2239"/>
      <c r="M66" s="163">
        <v>1</v>
      </c>
      <c r="N66" s="166">
        <v>6920</v>
      </c>
      <c r="O66" s="173">
        <v>0.2</v>
      </c>
      <c r="P66" s="166">
        <f t="shared" si="5"/>
        <v>5536</v>
      </c>
      <c r="Q66" s="166">
        <f t="shared" si="6"/>
        <v>11072</v>
      </c>
      <c r="R66" s="178">
        <f t="shared" si="7"/>
        <v>7.5504431248141698E-2</v>
      </c>
      <c r="S66" s="168">
        <f t="shared" si="9"/>
        <v>11072</v>
      </c>
      <c r="T66" s="565">
        <f>S66</f>
        <v>11072</v>
      </c>
      <c r="X66" s="152"/>
      <c r="Y66" s="282"/>
      <c r="Z66" s="171">
        <f>S66</f>
        <v>11072</v>
      </c>
      <c r="AA66" s="280"/>
      <c r="AC66" s="169">
        <f>S66</f>
        <v>11072</v>
      </c>
      <c r="AE66" s="152"/>
    </row>
    <row r="67" spans="1:31" x14ac:dyDescent="0.3">
      <c r="A67" s="157" t="s">
        <v>694</v>
      </c>
      <c r="B67" s="157" t="s">
        <v>107</v>
      </c>
      <c r="C67" s="157" t="s">
        <v>696</v>
      </c>
      <c r="D67" s="157" t="s">
        <v>102</v>
      </c>
      <c r="E67" s="157" t="s">
        <v>518</v>
      </c>
      <c r="F67" s="158" t="s">
        <v>551</v>
      </c>
      <c r="G67" s="157">
        <v>1</v>
      </c>
      <c r="H67" s="157" t="s">
        <v>24</v>
      </c>
      <c r="I67" s="182">
        <v>1</v>
      </c>
      <c r="J67" s="183"/>
      <c r="K67" s="183"/>
      <c r="L67" s="2239"/>
      <c r="M67" s="163">
        <v>1</v>
      </c>
      <c r="N67" s="166">
        <v>7440</v>
      </c>
      <c r="O67" s="173">
        <v>0.1</v>
      </c>
      <c r="P67" s="166">
        <f t="shared" si="5"/>
        <v>6696</v>
      </c>
      <c r="Q67" s="166">
        <f t="shared" si="6"/>
        <v>6696</v>
      </c>
      <c r="R67" s="178">
        <f t="shared" si="7"/>
        <v>4.566272323316084E-2</v>
      </c>
      <c r="S67" s="168">
        <f t="shared" si="9"/>
        <v>6696</v>
      </c>
      <c r="T67" s="150">
        <f>S67</f>
        <v>6696</v>
      </c>
      <c r="W67" s="169"/>
      <c r="X67" s="152"/>
      <c r="Y67" s="282"/>
      <c r="Z67" s="171">
        <f>S67</f>
        <v>6696</v>
      </c>
      <c r="AA67" s="280"/>
      <c r="AC67" s="169"/>
      <c r="AD67" s="169">
        <f>S67</f>
        <v>6696</v>
      </c>
      <c r="AE67" s="152"/>
    </row>
    <row r="68" spans="1:31" x14ac:dyDescent="0.3">
      <c r="A68" s="157" t="s">
        <v>694</v>
      </c>
      <c r="B68" s="157" t="s">
        <v>108</v>
      </c>
      <c r="C68" s="157" t="s">
        <v>695</v>
      </c>
      <c r="D68" s="157" t="s">
        <v>100</v>
      </c>
      <c r="E68" s="157" t="s">
        <v>697</v>
      </c>
      <c r="F68" s="158" t="s">
        <v>522</v>
      </c>
      <c r="G68" s="157">
        <v>1</v>
      </c>
      <c r="H68" s="157" t="s">
        <v>22</v>
      </c>
      <c r="I68" s="285">
        <v>20</v>
      </c>
      <c r="J68" s="285">
        <v>20</v>
      </c>
      <c r="L68" s="286"/>
      <c r="M68" s="163">
        <v>2</v>
      </c>
      <c r="N68" s="166">
        <f>5590*4</f>
        <v>22360</v>
      </c>
      <c r="O68" s="173">
        <v>0.35</v>
      </c>
      <c r="P68" s="166">
        <f t="shared" si="5"/>
        <v>14534</v>
      </c>
      <c r="Q68" s="166">
        <f t="shared" si="6"/>
        <v>29068</v>
      </c>
      <c r="R68" s="167">
        <f t="shared" si="7"/>
        <v>0.1982264096388171</v>
      </c>
      <c r="S68" s="168">
        <f t="shared" si="9"/>
        <v>29068</v>
      </c>
      <c r="T68" s="150"/>
      <c r="U68" s="169">
        <f>S68</f>
        <v>29068</v>
      </c>
      <c r="X68" s="171"/>
      <c r="Y68" s="282">
        <f>S68</f>
        <v>29068</v>
      </c>
      <c r="Z68" s="152"/>
      <c r="AA68" s="280"/>
      <c r="AD68" s="169"/>
      <c r="AE68" s="171">
        <f>S68</f>
        <v>29068</v>
      </c>
    </row>
    <row r="69" spans="1:31" x14ac:dyDescent="0.3">
      <c r="A69" s="157"/>
      <c r="B69" s="157"/>
      <c r="C69" s="157"/>
      <c r="D69" s="157"/>
      <c r="E69" s="157"/>
      <c r="F69" s="158"/>
      <c r="G69" s="157"/>
      <c r="H69" s="157"/>
      <c r="I69" s="188"/>
      <c r="L69" s="286"/>
      <c r="M69" s="163"/>
      <c r="N69" s="166"/>
      <c r="O69" s="173"/>
      <c r="P69" s="166"/>
      <c r="Q69" s="166"/>
      <c r="R69" s="167"/>
      <c r="S69" s="168"/>
      <c r="T69" s="150"/>
      <c r="U69" s="169"/>
      <c r="X69" s="152"/>
      <c r="Y69" s="280"/>
      <c r="Z69" s="171"/>
      <c r="AA69" s="280"/>
      <c r="AE69" s="171"/>
    </row>
    <row r="70" spans="1:31" x14ac:dyDescent="0.3">
      <c r="A70" s="157"/>
      <c r="B70" s="157"/>
      <c r="C70" s="157"/>
      <c r="D70" s="157"/>
      <c r="E70" s="157"/>
      <c r="F70" s="158"/>
      <c r="G70" s="157"/>
      <c r="H70" s="157"/>
      <c r="I70" s="188"/>
      <c r="L70" s="286"/>
      <c r="M70" s="163"/>
      <c r="N70" s="166"/>
      <c r="O70" s="173"/>
      <c r="P70" s="166"/>
      <c r="Q70" s="166"/>
      <c r="R70" s="167"/>
      <c r="S70" s="168"/>
      <c r="T70" s="150"/>
      <c r="U70" s="169"/>
      <c r="X70" s="152"/>
      <c r="Y70" s="280"/>
      <c r="Z70" s="171"/>
      <c r="AA70" s="280"/>
      <c r="AE70" s="171"/>
    </row>
    <row r="71" spans="1:31" x14ac:dyDescent="0.3">
      <c r="A71" s="172"/>
      <c r="B71" s="157"/>
      <c r="C71" s="157"/>
      <c r="D71" s="157"/>
      <c r="E71" s="157"/>
      <c r="F71" s="158"/>
      <c r="G71" s="157"/>
      <c r="H71" s="157"/>
      <c r="I71" s="243"/>
      <c r="J71" s="245"/>
      <c r="K71" s="245"/>
      <c r="L71" s="287"/>
      <c r="M71" s="163"/>
      <c r="N71" s="166"/>
      <c r="O71" s="173"/>
      <c r="P71" s="166"/>
      <c r="Q71" s="166"/>
      <c r="R71" s="393"/>
      <c r="S71" s="168"/>
      <c r="T71" s="150"/>
      <c r="X71" s="152"/>
      <c r="Y71" s="280"/>
      <c r="Z71" s="152"/>
      <c r="AA71" s="280"/>
      <c r="AE71" s="152"/>
    </row>
    <row r="72" spans="1:31" x14ac:dyDescent="0.3">
      <c r="A72" s="108" t="s">
        <v>694</v>
      </c>
      <c r="B72" s="108" t="s">
        <v>528</v>
      </c>
      <c r="C72" s="289"/>
      <c r="D72" s="252"/>
      <c r="E72" s="252"/>
      <c r="F72" s="253"/>
      <c r="G72" s="252"/>
      <c r="H72" s="252"/>
      <c r="I72" s="254"/>
      <c r="J72" s="254"/>
      <c r="K72" s="254"/>
      <c r="L72" s="254"/>
      <c r="M72" s="252"/>
      <c r="N72" s="255"/>
      <c r="O72" s="256"/>
      <c r="P72" s="290"/>
      <c r="Q72" s="257"/>
      <c r="R72" s="291"/>
      <c r="S72" s="149"/>
      <c r="T72" s="280"/>
      <c r="X72" s="152"/>
      <c r="Y72" s="280"/>
      <c r="Z72" s="152"/>
      <c r="AA72" s="280"/>
      <c r="AE72" s="152"/>
    </row>
    <row r="73" spans="1:31" x14ac:dyDescent="0.3">
      <c r="A73" s="108" t="s">
        <v>694</v>
      </c>
      <c r="B73" s="108" t="s">
        <v>529</v>
      </c>
      <c r="C73" s="289"/>
      <c r="D73" s="252"/>
      <c r="E73" s="252"/>
      <c r="F73" s="253"/>
      <c r="G73" s="252"/>
      <c r="H73" s="252"/>
      <c r="I73" s="254"/>
      <c r="J73" s="254"/>
      <c r="K73" s="254"/>
      <c r="L73" s="254"/>
      <c r="M73" s="252"/>
      <c r="N73" s="255"/>
      <c r="O73" s="256"/>
      <c r="P73" s="290"/>
      <c r="Q73" s="257">
        <v>20000</v>
      </c>
      <c r="R73" s="291">
        <f>Q73/Q75</f>
        <v>0.1363880622256895</v>
      </c>
      <c r="S73" s="168">
        <f t="shared" ref="S73" si="10">Q73</f>
        <v>20000</v>
      </c>
      <c r="T73" s="280"/>
      <c r="X73" s="689">
        <f>S73</f>
        <v>20000</v>
      </c>
      <c r="Y73" s="280"/>
      <c r="Z73" s="152"/>
      <c r="AA73" s="280"/>
      <c r="AE73" s="152"/>
    </row>
    <row r="74" spans="1:31" x14ac:dyDescent="0.3">
      <c r="I74" s="115">
        <f>I75/M75</f>
        <v>0.42307692307692307</v>
      </c>
      <c r="J74" s="115">
        <f>J75/M75</f>
        <v>0.38461538461538464</v>
      </c>
      <c r="K74" s="115">
        <f>K75/M75</f>
        <v>0.19230769230769232</v>
      </c>
      <c r="S74" s="149"/>
      <c r="T74" s="280"/>
      <c r="X74" s="152"/>
      <c r="Y74" s="280"/>
      <c r="Z74" s="152"/>
      <c r="AA74" s="280"/>
      <c r="AE74" s="152"/>
    </row>
    <row r="75" spans="1:31" x14ac:dyDescent="0.3">
      <c r="A75" s="212" t="s">
        <v>531</v>
      </c>
      <c r="B75" s="213"/>
      <c r="C75" s="213"/>
      <c r="D75" s="213"/>
      <c r="E75" s="213"/>
      <c r="F75" s="214"/>
      <c r="G75" s="213"/>
      <c r="H75" s="213"/>
      <c r="I75" s="690">
        <f>I68+I67+I66+I65+I64+I63</f>
        <v>44</v>
      </c>
      <c r="J75" s="690">
        <f>J68+J62</f>
        <v>40</v>
      </c>
      <c r="K75" s="690">
        <f>K62</f>
        <v>20</v>
      </c>
      <c r="L75" s="690"/>
      <c r="M75" s="213">
        <f>SUM(I75:L75)</f>
        <v>104</v>
      </c>
      <c r="N75" s="215"/>
      <c r="O75" s="216"/>
      <c r="P75" s="215"/>
      <c r="Q75" s="481">
        <f>SUM(Q61:Q74)</f>
        <v>146640.40000000002</v>
      </c>
      <c r="R75" s="218">
        <f>SUM(R61:R73)</f>
        <v>0.99999999999999978</v>
      </c>
      <c r="S75" s="292">
        <f>SUM(S62:S73)</f>
        <v>146640.40000000002</v>
      </c>
      <c r="T75" s="293">
        <f>SUM(T62:T73)</f>
        <v>74172.400000000009</v>
      </c>
      <c r="U75" s="294">
        <f>SUM(U62:U73)</f>
        <v>52468</v>
      </c>
      <c r="V75" s="294">
        <f>SUM(V62:V69)</f>
        <v>0</v>
      </c>
      <c r="W75" s="294">
        <f>SUM(W62:W69)</f>
        <v>0</v>
      </c>
      <c r="X75" s="295">
        <f>SUM(X61:X74)</f>
        <v>20000</v>
      </c>
      <c r="Y75" s="296">
        <f>SUM(Y62:Y69)</f>
        <v>88060.800000000003</v>
      </c>
      <c r="Z75" s="295">
        <f>SUM(Z62:Z72)</f>
        <v>38579.600000000006</v>
      </c>
      <c r="AA75" s="693">
        <f>SUM(AA61:AA74)</f>
        <v>23400.000000000004</v>
      </c>
      <c r="AB75" s="612">
        <f>SUM(AB61:AB74)</f>
        <v>29447.600000000002</v>
      </c>
      <c r="AC75" s="612">
        <f>SUM(AC61:AC74)</f>
        <v>38028.800000000003</v>
      </c>
      <c r="AD75" s="612">
        <f>SUM(AD61:AD74)</f>
        <v>6696</v>
      </c>
      <c r="AE75" s="694">
        <f>SUM(AE61:AE74)</f>
        <v>29068</v>
      </c>
    </row>
    <row r="76" spans="1:31" x14ac:dyDescent="0.3">
      <c r="A76" s="228" t="s">
        <v>532</v>
      </c>
      <c r="B76" s="229"/>
      <c r="C76" s="229"/>
      <c r="D76" s="229"/>
      <c r="E76" s="229"/>
      <c r="F76" s="230"/>
      <c r="G76" s="229"/>
      <c r="H76" s="229"/>
      <c r="I76" s="691">
        <f>I68+I67+I66+I65+I64+I63</f>
        <v>44</v>
      </c>
      <c r="J76" s="691">
        <f>J68+I67+I66+I65+I64+I63+J62</f>
        <v>64</v>
      </c>
      <c r="K76" s="691">
        <f>I67+I66+I64+I63+K62</f>
        <v>26</v>
      </c>
      <c r="L76" s="691">
        <f>I67+I66+I64+I63</f>
        <v>6</v>
      </c>
      <c r="M76" s="229">
        <f>SUM(I76:L76)</f>
        <v>140</v>
      </c>
      <c r="N76" s="231"/>
      <c r="O76" s="232"/>
      <c r="P76" s="231"/>
      <c r="Q76" s="231"/>
      <c r="R76" s="233"/>
      <c r="S76" s="234"/>
      <c r="T76" s="235">
        <f>T75/S75</f>
        <v>0.50581149533143666</v>
      </c>
      <c r="U76" s="236">
        <f>U75/S75</f>
        <v>0.35780044244287379</v>
      </c>
      <c r="V76" s="236">
        <f>V75/S75</f>
        <v>0</v>
      </c>
      <c r="W76" s="236">
        <f>W75/S75</f>
        <v>0</v>
      </c>
      <c r="X76" s="297">
        <f>X75/S75</f>
        <v>0.1363880622256895</v>
      </c>
      <c r="Y76" s="298">
        <f>Y75/S75</f>
        <v>0.60052209350219987</v>
      </c>
      <c r="Z76" s="297">
        <f>Z75/S75</f>
        <v>0.26308984427211057</v>
      </c>
      <c r="AA76" s="573"/>
      <c r="AB76" s="486"/>
      <c r="AC76" s="487"/>
      <c r="AD76" s="487"/>
      <c r="AE76" s="242"/>
    </row>
    <row r="77" spans="1:31" x14ac:dyDescent="0.3">
      <c r="A77" s="243" t="s">
        <v>533</v>
      </c>
      <c r="B77" s="193"/>
      <c r="C77" s="193"/>
      <c r="D77" s="193"/>
      <c r="E77" s="193"/>
      <c r="F77" s="244"/>
      <c r="G77" s="193"/>
      <c r="H77" s="193"/>
      <c r="I77" s="2182">
        <f>I76/M76</f>
        <v>0.31428571428571428</v>
      </c>
      <c r="J77" s="2182">
        <f>J76/M76</f>
        <v>0.45714285714285713</v>
      </c>
      <c r="K77" s="2182">
        <f>K76/M76</f>
        <v>0.18571428571428572</v>
      </c>
      <c r="L77" s="2182">
        <f>L76/M76</f>
        <v>4.2857142857142858E-2</v>
      </c>
      <c r="M77" s="193"/>
      <c r="N77" s="246"/>
      <c r="O77" s="196"/>
      <c r="P77" s="246"/>
      <c r="Q77" s="194">
        <f>T75</f>
        <v>74172.400000000009</v>
      </c>
      <c r="R77" s="247">
        <f>Q77/Q81</f>
        <v>0.50581149533143666</v>
      </c>
      <c r="T77" s="111"/>
      <c r="X77" s="248"/>
      <c r="Y77" s="357">
        <f>J62+K62+I64+I66+I67</f>
        <v>44</v>
      </c>
      <c r="Z77" s="358">
        <f>I63+I65+I68+J68</f>
        <v>60</v>
      </c>
      <c r="AA77" s="4"/>
      <c r="AE77" s="303"/>
    </row>
    <row r="78" spans="1:31" x14ac:dyDescent="0.3">
      <c r="A78" s="251" t="s">
        <v>11</v>
      </c>
      <c r="B78" s="252"/>
      <c r="C78" s="252"/>
      <c r="D78" s="252"/>
      <c r="E78" s="252"/>
      <c r="F78" s="253"/>
      <c r="G78" s="252"/>
      <c r="H78" s="252"/>
      <c r="I78" s="254"/>
      <c r="J78" s="254"/>
      <c r="K78" s="254"/>
      <c r="L78" s="254"/>
      <c r="M78" s="252"/>
      <c r="N78" s="255"/>
      <c r="O78" s="256"/>
      <c r="P78" s="255"/>
      <c r="Q78" s="257">
        <f>U75</f>
        <v>52468</v>
      </c>
      <c r="R78" s="262">
        <f>Q78/Q81</f>
        <v>0.35780044244287379</v>
      </c>
      <c r="S78" s="574">
        <f>Q75/M75</f>
        <v>1410.0038461538463</v>
      </c>
      <c r="T78" s="489" t="s">
        <v>535</v>
      </c>
      <c r="X78" s="169"/>
      <c r="Y78" s="195">
        <f>Y77/M75</f>
        <v>0.42307692307692307</v>
      </c>
      <c r="Z78" s="247">
        <f>Z77/M75</f>
        <v>0.57692307692307687</v>
      </c>
    </row>
    <row r="79" spans="1:31" x14ac:dyDescent="0.3">
      <c r="A79" s="251" t="s">
        <v>528</v>
      </c>
      <c r="B79" s="252"/>
      <c r="C79" s="252"/>
      <c r="D79" s="252"/>
      <c r="E79" s="252"/>
      <c r="F79" s="253"/>
      <c r="G79" s="252"/>
      <c r="H79" s="252"/>
      <c r="I79" s="254"/>
      <c r="J79" s="254"/>
      <c r="K79" s="254"/>
      <c r="L79" s="254"/>
      <c r="M79" s="252"/>
      <c r="N79" s="255"/>
      <c r="O79" s="256"/>
      <c r="P79" s="255"/>
      <c r="Q79" s="257">
        <f>Q72</f>
        <v>0</v>
      </c>
      <c r="R79" s="262">
        <f>Q79/Q75</f>
        <v>0</v>
      </c>
      <c r="T79" s="111"/>
      <c r="U79" s="263"/>
      <c r="W79" s="99"/>
      <c r="X79" s="263"/>
      <c r="Y79" s="2265" t="s">
        <v>537</v>
      </c>
      <c r="Z79" s="2265"/>
    </row>
    <row r="80" spans="1:31" x14ac:dyDescent="0.3">
      <c r="A80" s="251" t="s">
        <v>529</v>
      </c>
      <c r="B80" s="252"/>
      <c r="C80" s="252"/>
      <c r="D80" s="252"/>
      <c r="E80" s="252"/>
      <c r="F80" s="253"/>
      <c r="G80" s="252"/>
      <c r="H80" s="252"/>
      <c r="I80" s="254"/>
      <c r="J80" s="254"/>
      <c r="K80" s="254"/>
      <c r="L80" s="254"/>
      <c r="M80" s="252"/>
      <c r="N80" s="255"/>
      <c r="O80" s="256"/>
      <c r="P80" s="255"/>
      <c r="Q80" s="257">
        <f>Q73</f>
        <v>20000</v>
      </c>
      <c r="R80" s="262">
        <f>Q80/Q81</f>
        <v>0.1363880622256895</v>
      </c>
      <c r="T80" s="111"/>
      <c r="U80" s="263"/>
    </row>
    <row r="81" spans="1:31" x14ac:dyDescent="0.3">
      <c r="A81" s="243"/>
      <c r="B81" s="193"/>
      <c r="C81" s="193"/>
      <c r="D81" s="193"/>
      <c r="E81" s="193"/>
      <c r="F81" s="244"/>
      <c r="G81" s="193"/>
      <c r="H81" s="193"/>
      <c r="I81" s="245"/>
      <c r="J81" s="245"/>
      <c r="K81" s="245"/>
      <c r="L81" s="245"/>
      <c r="M81" s="193"/>
      <c r="N81" s="246"/>
      <c r="O81" s="196"/>
      <c r="P81" s="246"/>
      <c r="Q81" s="194">
        <f>SUM(Q77:Q80)</f>
        <v>146640.40000000002</v>
      </c>
      <c r="R81" s="247">
        <f>SUM(R77:R80)</f>
        <v>1</v>
      </c>
    </row>
    <row r="84" spans="1:31" x14ac:dyDescent="0.3">
      <c r="B84" s="2"/>
    </row>
    <row r="87" spans="1:31" x14ac:dyDescent="0.3">
      <c r="B87" s="2"/>
      <c r="E87" s="1" t="s">
        <v>543</v>
      </c>
      <c r="F87" s="2" t="s">
        <v>598</v>
      </c>
      <c r="G87" s="1" t="s">
        <v>545</v>
      </c>
      <c r="H87" s="1"/>
      <c r="I87" s="1"/>
      <c r="J87" s="304">
        <v>0.32</v>
      </c>
      <c r="K87" s="304"/>
      <c r="L87" s="304"/>
    </row>
    <row r="88" spans="1:31" x14ac:dyDescent="0.3">
      <c r="E88" s="1" t="s">
        <v>473</v>
      </c>
      <c r="F88" s="2" t="s">
        <v>699</v>
      </c>
      <c r="G88" s="1" t="s">
        <v>473</v>
      </c>
      <c r="H88" s="1"/>
      <c r="I88" s="1"/>
      <c r="J88" s="1">
        <v>83</v>
      </c>
      <c r="K88" s="1"/>
      <c r="L88" s="1"/>
    </row>
    <row r="89" spans="1:31" x14ac:dyDescent="0.3">
      <c r="E89" s="1" t="s">
        <v>475</v>
      </c>
      <c r="F89" s="2" t="s">
        <v>700</v>
      </c>
      <c r="G89" s="1" t="s">
        <v>475</v>
      </c>
      <c r="H89" s="1"/>
      <c r="I89" s="1"/>
      <c r="J89" s="95">
        <v>2624</v>
      </c>
      <c r="K89" s="95"/>
      <c r="L89" s="95"/>
    </row>
    <row r="90" spans="1:31" x14ac:dyDescent="0.3">
      <c r="E90" s="1" t="s">
        <v>477</v>
      </c>
      <c r="F90" s="2" t="s">
        <v>701</v>
      </c>
      <c r="G90" s="1" t="s">
        <v>477</v>
      </c>
      <c r="H90" s="1"/>
      <c r="I90" s="1"/>
      <c r="J90" s="95">
        <v>30446798</v>
      </c>
      <c r="K90" s="95"/>
      <c r="L90" s="95"/>
    </row>
    <row r="91" spans="1:31" ht="18" x14ac:dyDescent="0.35">
      <c r="A91" s="118" t="s">
        <v>549</v>
      </c>
    </row>
    <row r="93" spans="1:31" x14ac:dyDescent="0.3">
      <c r="A93" s="2415" t="s">
        <v>480</v>
      </c>
      <c r="B93" s="2416"/>
      <c r="C93" s="2416"/>
      <c r="D93" s="2416"/>
      <c r="E93" s="2416"/>
      <c r="F93" s="2416"/>
      <c r="G93" s="2416"/>
      <c r="H93" s="2416"/>
      <c r="I93" s="2416"/>
      <c r="J93" s="2416"/>
      <c r="K93" s="2416"/>
      <c r="L93" s="2416"/>
      <c r="M93" s="2416"/>
      <c r="N93" s="2416"/>
      <c r="O93" s="2416"/>
      <c r="P93" s="2416"/>
      <c r="Q93" s="2416"/>
      <c r="R93" s="2417"/>
      <c r="S93" s="2400" t="s">
        <v>584</v>
      </c>
      <c r="T93" s="2401"/>
      <c r="U93" s="2401"/>
      <c r="V93" s="2401"/>
      <c r="W93" s="2401"/>
      <c r="X93" s="2401"/>
      <c r="Y93" s="2401"/>
      <c r="Z93" s="2401"/>
      <c r="AA93" s="2401"/>
      <c r="AB93" s="2401"/>
      <c r="AC93" s="2401"/>
      <c r="AD93" s="2401"/>
      <c r="AE93" s="2402"/>
    </row>
    <row r="94" spans="1:31" ht="18" x14ac:dyDescent="0.35">
      <c r="A94" s="2256" t="s">
        <v>482</v>
      </c>
      <c r="B94" s="2258" t="s">
        <v>483</v>
      </c>
      <c r="C94" s="2258" t="s">
        <v>484</v>
      </c>
      <c r="D94" s="2258" t="s">
        <v>555</v>
      </c>
      <c r="E94" s="2258" t="s">
        <v>556</v>
      </c>
      <c r="F94" s="2260" t="s">
        <v>487</v>
      </c>
      <c r="G94" s="2258" t="s">
        <v>557</v>
      </c>
      <c r="H94" s="2258" t="s">
        <v>489</v>
      </c>
      <c r="I94" s="2240" t="s">
        <v>490</v>
      </c>
      <c r="J94" s="2240"/>
      <c r="K94" s="2240"/>
      <c r="L94" s="2240"/>
      <c r="M94" s="305" t="s">
        <v>491</v>
      </c>
      <c r="N94" s="306" t="s">
        <v>558</v>
      </c>
      <c r="O94" s="307" t="s">
        <v>493</v>
      </c>
      <c r="P94" s="306" t="s">
        <v>558</v>
      </c>
      <c r="Q94" s="306" t="s">
        <v>559</v>
      </c>
      <c r="R94" s="2343" t="s">
        <v>495</v>
      </c>
      <c r="S94" s="695" t="s">
        <v>496</v>
      </c>
      <c r="T94" s="2409" t="s">
        <v>497</v>
      </c>
      <c r="U94" s="2410"/>
      <c r="V94" s="2410"/>
      <c r="W94" s="2410"/>
      <c r="X94" s="2411"/>
      <c r="Y94" s="2403" t="s">
        <v>498</v>
      </c>
      <c r="Z94" s="2405"/>
      <c r="AA94" s="2403" t="s">
        <v>499</v>
      </c>
      <c r="AB94" s="2404"/>
      <c r="AC94" s="2404"/>
      <c r="AD94" s="2404"/>
      <c r="AE94" s="2405"/>
    </row>
    <row r="95" spans="1:31" ht="18" x14ac:dyDescent="0.35">
      <c r="A95" s="2257"/>
      <c r="B95" s="2259"/>
      <c r="C95" s="2259"/>
      <c r="D95" s="2259"/>
      <c r="E95" s="2259"/>
      <c r="F95" s="2261"/>
      <c r="G95" s="2259"/>
      <c r="H95" s="2259"/>
      <c r="I95" s="310" t="s">
        <v>500</v>
      </c>
      <c r="J95" s="310" t="s">
        <v>501</v>
      </c>
      <c r="K95" s="310" t="s">
        <v>502</v>
      </c>
      <c r="L95" s="310" t="s">
        <v>503</v>
      </c>
      <c r="M95" s="311" t="s">
        <v>504</v>
      </c>
      <c r="N95" s="312" t="s">
        <v>505</v>
      </c>
      <c r="O95" s="313" t="s">
        <v>506</v>
      </c>
      <c r="P95" s="312" t="s">
        <v>507</v>
      </c>
      <c r="Q95" s="312" t="s">
        <v>560</v>
      </c>
      <c r="R95" s="2344"/>
      <c r="S95" s="696" t="s">
        <v>508</v>
      </c>
      <c r="T95" s="2412"/>
      <c r="U95" s="2413"/>
      <c r="V95" s="2413"/>
      <c r="W95" s="2413"/>
      <c r="X95" s="2414"/>
      <c r="Y95" s="2406"/>
      <c r="Z95" s="2408"/>
      <c r="AA95" s="2406"/>
      <c r="AB95" s="2407"/>
      <c r="AC95" s="2407"/>
      <c r="AD95" s="2407"/>
      <c r="AE95" s="2408"/>
    </row>
    <row r="96" spans="1:31" ht="18" x14ac:dyDescent="0.35">
      <c r="A96" s="2377" t="s">
        <v>639</v>
      </c>
      <c r="B96" s="2378"/>
      <c r="C96" s="2378"/>
      <c r="D96" s="2378"/>
      <c r="E96" s="2378"/>
      <c r="F96" s="2378"/>
      <c r="G96" s="2378"/>
      <c r="H96" s="2378"/>
      <c r="I96" s="2378"/>
      <c r="J96" s="2378"/>
      <c r="K96" s="2378"/>
      <c r="L96" s="2378"/>
      <c r="M96" s="2378"/>
      <c r="N96" s="2378"/>
      <c r="O96" s="2378"/>
      <c r="P96" s="2378"/>
      <c r="Q96" s="2378"/>
      <c r="R96" s="2378"/>
      <c r="S96" s="559"/>
      <c r="T96" s="560" t="s">
        <v>510</v>
      </c>
      <c r="U96" s="561" t="s">
        <v>11</v>
      </c>
      <c r="V96" s="561" t="s">
        <v>511</v>
      </c>
      <c r="W96" s="561" t="s">
        <v>512</v>
      </c>
      <c r="X96" s="562" t="s">
        <v>513</v>
      </c>
      <c r="Y96" s="563" t="s">
        <v>514</v>
      </c>
      <c r="Z96" s="562" t="s">
        <v>515</v>
      </c>
      <c r="AA96" s="563" t="s">
        <v>693</v>
      </c>
      <c r="AB96" s="561" t="s">
        <v>96</v>
      </c>
      <c r="AC96" s="561" t="s">
        <v>97</v>
      </c>
      <c r="AD96" s="561" t="s">
        <v>98</v>
      </c>
      <c r="AE96" s="562" t="s">
        <v>5</v>
      </c>
    </row>
    <row r="97" spans="1:31" ht="18" x14ac:dyDescent="0.35">
      <c r="A97" s="154"/>
      <c r="B97" s="462"/>
      <c r="C97" s="462"/>
      <c r="D97" s="462"/>
      <c r="E97" s="462"/>
      <c r="F97" s="463"/>
      <c r="G97" s="462"/>
      <c r="H97" s="462"/>
      <c r="I97" s="465"/>
      <c r="J97" s="465"/>
      <c r="K97" s="465"/>
      <c r="L97" s="465"/>
      <c r="M97" s="462"/>
      <c r="N97" s="468"/>
      <c r="O97" s="469"/>
      <c r="P97" s="468"/>
      <c r="Q97" s="468"/>
      <c r="R97" s="532"/>
      <c r="S97" s="682"/>
      <c r="T97" s="683"/>
      <c r="U97" s="137"/>
      <c r="V97" s="137"/>
      <c r="W97" s="137"/>
      <c r="X97" s="684"/>
      <c r="Y97" s="685"/>
      <c r="Z97" s="684"/>
      <c r="AA97" s="685"/>
      <c r="AB97" s="137"/>
      <c r="AC97" s="137"/>
      <c r="AD97" s="676"/>
      <c r="AE97" s="684"/>
    </row>
    <row r="98" spans="1:31" x14ac:dyDescent="0.3">
      <c r="A98" s="157" t="s">
        <v>694</v>
      </c>
      <c r="B98" s="157" t="s">
        <v>99</v>
      </c>
      <c r="C98" s="157" t="s">
        <v>695</v>
      </c>
      <c r="D98" s="157" t="s">
        <v>100</v>
      </c>
      <c r="E98" s="157" t="s">
        <v>518</v>
      </c>
      <c r="F98" s="158" t="s">
        <v>51</v>
      </c>
      <c r="G98" s="157">
        <v>1</v>
      </c>
      <c r="H98" s="157" t="s">
        <v>22</v>
      </c>
      <c r="I98" s="592"/>
      <c r="J98" s="285">
        <v>20</v>
      </c>
      <c r="L98" s="286"/>
      <c r="M98" s="163">
        <v>1</v>
      </c>
      <c r="N98" s="503">
        <v>39000</v>
      </c>
      <c r="O98" s="173">
        <v>0.7</v>
      </c>
      <c r="P98" s="503">
        <f t="shared" ref="P98:P104" si="11">N98*(1-O98)</f>
        <v>11700.000000000002</v>
      </c>
      <c r="Q98" s="503">
        <f t="shared" ref="Q98:Q104" si="12">P98*M98*G98</f>
        <v>11700.000000000002</v>
      </c>
      <c r="R98" s="178">
        <f>Q98/$Q$111</f>
        <v>0.10586434163237388</v>
      </c>
      <c r="S98" s="168">
        <f>Q98*3</f>
        <v>35100.000000000007</v>
      </c>
      <c r="T98" s="150"/>
      <c r="U98" s="169">
        <f>S98</f>
        <v>35100.000000000007</v>
      </c>
      <c r="V98" s="169"/>
      <c r="X98" s="152"/>
      <c r="Y98" s="283">
        <f>S98</f>
        <v>35100.000000000007</v>
      </c>
      <c r="Z98" s="171"/>
      <c r="AA98" s="282">
        <f>S98</f>
        <v>35100.000000000007</v>
      </c>
      <c r="AB98" s="169"/>
      <c r="AE98" s="152"/>
    </row>
    <row r="99" spans="1:31" x14ac:dyDescent="0.3">
      <c r="A99" s="157" t="s">
        <v>694</v>
      </c>
      <c r="B99" s="157" t="s">
        <v>101</v>
      </c>
      <c r="C99" s="157" t="s">
        <v>696</v>
      </c>
      <c r="D99" s="157" t="s">
        <v>26</v>
      </c>
      <c r="E99" s="157" t="s">
        <v>697</v>
      </c>
      <c r="F99" s="158" t="s">
        <v>43</v>
      </c>
      <c r="G99" s="157">
        <v>1</v>
      </c>
      <c r="H99" s="157" t="s">
        <v>24</v>
      </c>
      <c r="I99" s="182">
        <v>1</v>
      </c>
      <c r="J99" s="183"/>
      <c r="K99" s="183"/>
      <c r="L99" s="2239"/>
      <c r="M99" s="163">
        <v>1</v>
      </c>
      <c r="N99" s="503">
        <v>12690</v>
      </c>
      <c r="O99" s="173">
        <v>0.18</v>
      </c>
      <c r="P99" s="503">
        <f t="shared" si="11"/>
        <v>10405.800000000001</v>
      </c>
      <c r="Q99" s="503">
        <f t="shared" si="12"/>
        <v>10405.800000000001</v>
      </c>
      <c r="R99" s="167">
        <f t="shared" ref="R99:R104" si="13">Q99/$Q$111</f>
        <v>9.4154116765654355E-2</v>
      </c>
      <c r="S99" s="168">
        <f t="shared" ref="S99:S104" si="14">Q99*3</f>
        <v>31217.4</v>
      </c>
      <c r="T99" s="150">
        <f t="shared" ref="T99:T101" si="15">S99</f>
        <v>31217.4</v>
      </c>
      <c r="X99" s="152"/>
      <c r="Y99" s="282"/>
      <c r="Z99" s="171">
        <f>S99</f>
        <v>31217.4</v>
      </c>
      <c r="AA99" s="280"/>
      <c r="AB99" s="169">
        <f>S99</f>
        <v>31217.4</v>
      </c>
      <c r="AE99" s="152"/>
    </row>
    <row r="100" spans="1:31" x14ac:dyDescent="0.3">
      <c r="A100" s="157" t="s">
        <v>694</v>
      </c>
      <c r="B100" s="157" t="s">
        <v>101</v>
      </c>
      <c r="C100" s="157" t="s">
        <v>696</v>
      </c>
      <c r="D100" s="157" t="s">
        <v>102</v>
      </c>
      <c r="E100" s="157" t="s">
        <v>697</v>
      </c>
      <c r="F100" s="158" t="s">
        <v>551</v>
      </c>
      <c r="G100" s="157">
        <v>1</v>
      </c>
      <c r="H100" s="157" t="s">
        <v>24</v>
      </c>
      <c r="I100" s="182">
        <v>1</v>
      </c>
      <c r="J100" s="183"/>
      <c r="K100" s="183"/>
      <c r="L100" s="2239"/>
      <c r="M100" s="163">
        <v>1</v>
      </c>
      <c r="N100" s="503">
        <v>12700</v>
      </c>
      <c r="O100" s="173">
        <v>0.32</v>
      </c>
      <c r="P100" s="503">
        <f t="shared" si="11"/>
        <v>8636</v>
      </c>
      <c r="Q100" s="503">
        <f t="shared" si="12"/>
        <v>8636</v>
      </c>
      <c r="R100" s="167">
        <f t="shared" si="13"/>
        <v>7.8140551652750481E-2</v>
      </c>
      <c r="S100" s="168">
        <f t="shared" si="14"/>
        <v>25908</v>
      </c>
      <c r="T100" s="150">
        <f t="shared" si="15"/>
        <v>25908</v>
      </c>
      <c r="V100" s="169"/>
      <c r="X100" s="152"/>
      <c r="Y100" s="283">
        <f>S100</f>
        <v>25908</v>
      </c>
      <c r="Z100" s="171"/>
      <c r="AA100" s="280"/>
      <c r="AB100" s="169">
        <f>S100</f>
        <v>25908</v>
      </c>
      <c r="AC100" s="169"/>
      <c r="AE100" s="152"/>
    </row>
    <row r="101" spans="1:31" x14ac:dyDescent="0.3">
      <c r="A101" s="157" t="s">
        <v>694</v>
      </c>
      <c r="B101" s="157" t="s">
        <v>104</v>
      </c>
      <c r="C101" s="157" t="s">
        <v>696</v>
      </c>
      <c r="D101" s="157" t="s">
        <v>105</v>
      </c>
      <c r="E101" s="157" t="s">
        <v>697</v>
      </c>
      <c r="F101" s="158" t="s">
        <v>519</v>
      </c>
      <c r="G101" s="157">
        <v>10</v>
      </c>
      <c r="H101" s="157" t="s">
        <v>106</v>
      </c>
      <c r="I101" s="175">
        <v>10</v>
      </c>
      <c r="J101" s="688"/>
      <c r="L101" s="286"/>
      <c r="M101" s="163">
        <v>1</v>
      </c>
      <c r="N101" s="166">
        <v>1872</v>
      </c>
      <c r="O101" s="173">
        <v>0.2</v>
      </c>
      <c r="P101" s="166">
        <f t="shared" si="11"/>
        <v>1497.6000000000001</v>
      </c>
      <c r="Q101" s="166">
        <f t="shared" si="12"/>
        <v>14976.000000000002</v>
      </c>
      <c r="R101" s="178">
        <f t="shared" si="13"/>
        <v>0.13550635728943855</v>
      </c>
      <c r="S101" s="168">
        <f t="shared" si="14"/>
        <v>44928.000000000007</v>
      </c>
      <c r="T101" s="565">
        <f t="shared" si="15"/>
        <v>44928.000000000007</v>
      </c>
      <c r="X101" s="152"/>
      <c r="Y101" s="282">
        <f>S101</f>
        <v>44928.000000000007</v>
      </c>
      <c r="Z101" s="171"/>
      <c r="AA101" s="280"/>
      <c r="AB101" s="169"/>
      <c r="AC101" s="169">
        <f>T101</f>
        <v>44928.000000000007</v>
      </c>
      <c r="AD101" s="169"/>
      <c r="AE101" s="152"/>
    </row>
    <row r="102" spans="1:31" x14ac:dyDescent="0.3">
      <c r="A102" s="157" t="s">
        <v>694</v>
      </c>
      <c r="B102" s="157" t="s">
        <v>104</v>
      </c>
      <c r="C102" s="157" t="s">
        <v>696</v>
      </c>
      <c r="D102" s="157" t="s">
        <v>102</v>
      </c>
      <c r="E102" s="157" t="s">
        <v>518</v>
      </c>
      <c r="F102" s="158" t="s">
        <v>551</v>
      </c>
      <c r="G102" s="157">
        <v>3</v>
      </c>
      <c r="H102" s="157" t="s">
        <v>24</v>
      </c>
      <c r="I102" s="182">
        <v>3</v>
      </c>
      <c r="J102" s="183"/>
      <c r="K102" s="183"/>
      <c r="L102" s="2239"/>
      <c r="M102" s="163">
        <v>1</v>
      </c>
      <c r="N102" s="166">
        <v>6920</v>
      </c>
      <c r="O102" s="173">
        <v>0.2</v>
      </c>
      <c r="P102" s="166">
        <f t="shared" si="11"/>
        <v>5536</v>
      </c>
      <c r="Q102" s="166">
        <f t="shared" si="12"/>
        <v>16608</v>
      </c>
      <c r="R102" s="178">
        <f t="shared" si="13"/>
        <v>0.15027307571200554</v>
      </c>
      <c r="S102" s="168">
        <f t="shared" si="14"/>
        <v>49824</v>
      </c>
      <c r="T102" s="565">
        <f>S102</f>
        <v>49824</v>
      </c>
      <c r="X102" s="152"/>
      <c r="Y102" s="282"/>
      <c r="Z102" s="171">
        <f>S102</f>
        <v>49824</v>
      </c>
      <c r="AA102" s="280"/>
      <c r="AC102" s="169">
        <f>S102</f>
        <v>49824</v>
      </c>
      <c r="AE102" s="152"/>
    </row>
    <row r="103" spans="1:31" x14ac:dyDescent="0.3">
      <c r="A103" s="157" t="s">
        <v>694</v>
      </c>
      <c r="B103" s="157" t="s">
        <v>107</v>
      </c>
      <c r="C103" s="157" t="s">
        <v>696</v>
      </c>
      <c r="D103" s="157" t="s">
        <v>102</v>
      </c>
      <c r="E103" s="157" t="s">
        <v>518</v>
      </c>
      <c r="F103" s="158" t="s">
        <v>551</v>
      </c>
      <c r="G103" s="157">
        <v>2</v>
      </c>
      <c r="H103" s="157" t="s">
        <v>24</v>
      </c>
      <c r="I103" s="182">
        <v>2</v>
      </c>
      <c r="J103" s="183"/>
      <c r="K103" s="183"/>
      <c r="L103" s="2239"/>
      <c r="M103" s="163">
        <v>1</v>
      </c>
      <c r="N103" s="166">
        <v>7440</v>
      </c>
      <c r="O103" s="173">
        <v>0.1</v>
      </c>
      <c r="P103" s="166">
        <f t="shared" si="11"/>
        <v>6696</v>
      </c>
      <c r="Q103" s="166">
        <f t="shared" si="12"/>
        <v>13392</v>
      </c>
      <c r="R103" s="178">
        <f t="shared" si="13"/>
        <v>0.12117395411459407</v>
      </c>
      <c r="S103" s="168">
        <f t="shared" si="14"/>
        <v>40176</v>
      </c>
      <c r="T103" s="150">
        <f>S103</f>
        <v>40176</v>
      </c>
      <c r="W103" s="169"/>
      <c r="X103" s="152"/>
      <c r="Y103" s="282"/>
      <c r="Z103" s="171">
        <f>S103</f>
        <v>40176</v>
      </c>
      <c r="AA103" s="280"/>
      <c r="AC103" s="169"/>
      <c r="AD103" s="169">
        <f>S103</f>
        <v>40176</v>
      </c>
      <c r="AE103" s="152"/>
    </row>
    <row r="104" spans="1:31" x14ac:dyDescent="0.3">
      <c r="A104" s="157" t="s">
        <v>694</v>
      </c>
      <c r="B104" s="157" t="s">
        <v>108</v>
      </c>
      <c r="C104" s="157" t="s">
        <v>695</v>
      </c>
      <c r="D104" s="157" t="s">
        <v>100</v>
      </c>
      <c r="E104" s="157" t="s">
        <v>697</v>
      </c>
      <c r="F104" s="158" t="s">
        <v>552</v>
      </c>
      <c r="G104" s="157">
        <v>1</v>
      </c>
      <c r="H104" s="157" t="s">
        <v>22</v>
      </c>
      <c r="I104" s="285">
        <v>15</v>
      </c>
      <c r="J104" s="285">
        <v>15</v>
      </c>
      <c r="L104" s="286"/>
      <c r="M104" s="163">
        <v>2</v>
      </c>
      <c r="N104" s="166">
        <f>5590*3</f>
        <v>16770</v>
      </c>
      <c r="O104" s="173">
        <v>0.35</v>
      </c>
      <c r="P104" s="166">
        <f t="shared" si="11"/>
        <v>10900.5</v>
      </c>
      <c r="Q104" s="166">
        <f t="shared" si="12"/>
        <v>21801</v>
      </c>
      <c r="R104" s="167">
        <f t="shared" si="13"/>
        <v>0.19726055657498995</v>
      </c>
      <c r="S104" s="168">
        <f t="shared" si="14"/>
        <v>65403</v>
      </c>
      <c r="T104" s="150"/>
      <c r="U104" s="169">
        <f>S104</f>
        <v>65403</v>
      </c>
      <c r="X104" s="171"/>
      <c r="Y104" s="282">
        <f>S104</f>
        <v>65403</v>
      </c>
      <c r="Z104" s="152"/>
      <c r="AA104" s="280"/>
      <c r="AD104" s="169"/>
      <c r="AE104" s="171">
        <f>S104</f>
        <v>65403</v>
      </c>
    </row>
    <row r="105" spans="1:31" x14ac:dyDescent="0.3">
      <c r="A105" s="157"/>
      <c r="B105" s="157"/>
      <c r="C105" s="157"/>
      <c r="D105" s="157"/>
      <c r="E105" s="157"/>
      <c r="F105" s="158"/>
      <c r="G105" s="157"/>
      <c r="H105" s="157"/>
      <c r="I105" s="188"/>
      <c r="L105" s="286"/>
      <c r="M105" s="163"/>
      <c r="N105" s="166"/>
      <c r="O105" s="173"/>
      <c r="P105" s="166"/>
      <c r="Q105" s="166"/>
      <c r="R105" s="167"/>
      <c r="S105" s="168"/>
      <c r="T105" s="150"/>
      <c r="U105" s="169"/>
      <c r="X105" s="152"/>
      <c r="Y105" s="280"/>
      <c r="Z105" s="171"/>
      <c r="AA105" s="280"/>
      <c r="AE105" s="171"/>
    </row>
    <row r="106" spans="1:31" x14ac:dyDescent="0.3">
      <c r="A106" s="157"/>
      <c r="B106" s="157"/>
      <c r="C106" s="157"/>
      <c r="D106" s="157"/>
      <c r="E106" s="157"/>
      <c r="F106" s="158"/>
      <c r="G106" s="157"/>
      <c r="H106" s="157"/>
      <c r="I106" s="188"/>
      <c r="L106" s="286"/>
      <c r="M106" s="163"/>
      <c r="N106" s="166"/>
      <c r="O106" s="173"/>
      <c r="P106" s="166"/>
      <c r="Q106" s="166"/>
      <c r="R106" s="167"/>
      <c r="S106" s="168"/>
      <c r="T106" s="150"/>
      <c r="U106" s="169"/>
      <c r="X106" s="152"/>
      <c r="Y106" s="280"/>
      <c r="Z106" s="171"/>
      <c r="AA106" s="280"/>
      <c r="AE106" s="171"/>
    </row>
    <row r="107" spans="1:31" x14ac:dyDescent="0.3">
      <c r="A107" s="172"/>
      <c r="B107" s="157"/>
      <c r="C107" s="157"/>
      <c r="D107" s="157"/>
      <c r="E107" s="157"/>
      <c r="F107" s="158"/>
      <c r="G107" s="157"/>
      <c r="H107" s="157"/>
      <c r="I107" s="243"/>
      <c r="J107" s="245"/>
      <c r="K107" s="245"/>
      <c r="L107" s="287"/>
      <c r="M107" s="163"/>
      <c r="N107" s="166"/>
      <c r="O107" s="173"/>
      <c r="P107" s="166"/>
      <c r="Q107" s="166"/>
      <c r="R107" s="393"/>
      <c r="S107" s="168"/>
      <c r="T107" s="150"/>
      <c r="X107" s="152"/>
      <c r="Y107" s="280"/>
      <c r="Z107" s="152"/>
      <c r="AA107" s="280"/>
      <c r="AE107" s="152"/>
    </row>
    <row r="108" spans="1:31" x14ac:dyDescent="0.3">
      <c r="A108" s="108" t="s">
        <v>694</v>
      </c>
      <c r="B108" s="108" t="s">
        <v>528</v>
      </c>
      <c r="C108" s="289"/>
      <c r="D108" s="252"/>
      <c r="E108" s="252"/>
      <c r="F108" s="253"/>
      <c r="G108" s="252"/>
      <c r="H108" s="252"/>
      <c r="I108" s="254"/>
      <c r="J108" s="254"/>
      <c r="K108" s="254"/>
      <c r="L108" s="254"/>
      <c r="M108" s="252"/>
      <c r="N108" s="255"/>
      <c r="O108" s="256"/>
      <c r="P108" s="290"/>
      <c r="Q108" s="257"/>
      <c r="R108" s="291"/>
      <c r="S108" s="149"/>
      <c r="T108" s="280"/>
      <c r="X108" s="152"/>
      <c r="Y108" s="280"/>
      <c r="Z108" s="152"/>
      <c r="AA108" s="280"/>
      <c r="AE108" s="152"/>
    </row>
    <row r="109" spans="1:31" x14ac:dyDescent="0.3">
      <c r="A109" s="108" t="s">
        <v>694</v>
      </c>
      <c r="B109" s="108" t="s">
        <v>529</v>
      </c>
      <c r="C109" s="289"/>
      <c r="D109" s="252"/>
      <c r="E109" s="252"/>
      <c r="F109" s="253"/>
      <c r="G109" s="252"/>
      <c r="H109" s="252"/>
      <c r="I109" s="254"/>
      <c r="J109" s="254"/>
      <c r="K109" s="254"/>
      <c r="L109" s="254"/>
      <c r="M109" s="252"/>
      <c r="N109" s="255"/>
      <c r="O109" s="256"/>
      <c r="P109" s="290"/>
      <c r="Q109" s="257">
        <v>13000</v>
      </c>
      <c r="R109" s="291">
        <f>Q109/Q111</f>
        <v>0.11762704625819317</v>
      </c>
      <c r="S109" s="168">
        <f>Q109*3</f>
        <v>39000</v>
      </c>
      <c r="T109" s="280"/>
      <c r="X109" s="689">
        <f>S109</f>
        <v>39000</v>
      </c>
      <c r="Y109" s="280"/>
      <c r="Z109" s="152"/>
      <c r="AA109" s="280"/>
      <c r="AE109" s="152"/>
    </row>
    <row r="110" spans="1:31" x14ac:dyDescent="0.3">
      <c r="I110" s="115">
        <f>I111/M111</f>
        <v>0.47761194029850745</v>
      </c>
      <c r="J110" s="115">
        <f>J111/M111</f>
        <v>0.52238805970149249</v>
      </c>
      <c r="S110" s="149"/>
      <c r="T110" s="280"/>
      <c r="X110" s="152"/>
      <c r="Y110" s="280"/>
      <c r="Z110" s="152"/>
      <c r="AA110" s="280"/>
      <c r="AE110" s="152"/>
    </row>
    <row r="111" spans="1:31" x14ac:dyDescent="0.3">
      <c r="A111" s="326" t="s">
        <v>531</v>
      </c>
      <c r="B111" s="327"/>
      <c r="C111" s="327"/>
      <c r="D111" s="327"/>
      <c r="E111" s="327"/>
      <c r="F111" s="328"/>
      <c r="G111" s="327"/>
      <c r="H111" s="327"/>
      <c r="I111" s="697">
        <f>I104+I103+I102+I101+I100+I99</f>
        <v>32</v>
      </c>
      <c r="J111" s="697">
        <f>J104+J98</f>
        <v>35</v>
      </c>
      <c r="K111" s="697">
        <f>K98</f>
        <v>0</v>
      </c>
      <c r="L111" s="697"/>
      <c r="M111" s="327">
        <f>SUM(I111:L111)</f>
        <v>67</v>
      </c>
      <c r="N111" s="329"/>
      <c r="O111" s="330"/>
      <c r="P111" s="329"/>
      <c r="Q111" s="331">
        <f>SUM(Q97:Q110)</f>
        <v>110518.8</v>
      </c>
      <c r="R111" s="332">
        <f>SUM(R97:R109)</f>
        <v>1</v>
      </c>
      <c r="S111" s="333">
        <f>SUM(S98:S109)</f>
        <v>331556.40000000002</v>
      </c>
      <c r="T111" s="334">
        <f>SUM(T98:T109)</f>
        <v>192053.40000000002</v>
      </c>
      <c r="U111" s="335">
        <f>SUM(U98:U109)</f>
        <v>100503</v>
      </c>
      <c r="V111" s="335">
        <f>SUM(V98:V105)</f>
        <v>0</v>
      </c>
      <c r="W111" s="335">
        <f>SUM(W98:W105)</f>
        <v>0</v>
      </c>
      <c r="X111" s="337">
        <f>SUM(X97:X110)</f>
        <v>39000</v>
      </c>
      <c r="Y111" s="336">
        <f>SUM(Y98:Y105)</f>
        <v>171339</v>
      </c>
      <c r="Z111" s="337">
        <f>SUM(Z98:Z108)</f>
        <v>121217.4</v>
      </c>
      <c r="AA111" s="619">
        <f>SUM(AA97:AA110)</f>
        <v>35100.000000000007</v>
      </c>
      <c r="AB111" s="698">
        <f>SUM(AB97:AB110)</f>
        <v>57125.4</v>
      </c>
      <c r="AC111" s="698">
        <f>SUM(AC97:AC110)</f>
        <v>94752</v>
      </c>
      <c r="AD111" s="698">
        <f>SUM(AD97:AD110)</f>
        <v>40176</v>
      </c>
      <c r="AE111" s="699">
        <f>SUM(AE97:AE110)</f>
        <v>65403</v>
      </c>
    </row>
    <row r="112" spans="1:31" x14ac:dyDescent="0.3">
      <c r="A112" s="342" t="s">
        <v>532</v>
      </c>
      <c r="B112" s="343"/>
      <c r="C112" s="343"/>
      <c r="D112" s="343"/>
      <c r="E112" s="343"/>
      <c r="F112" s="344"/>
      <c r="G112" s="343"/>
      <c r="H112" s="343"/>
      <c r="I112" s="700">
        <f>I104+I103+I102+I101+I100+I99</f>
        <v>32</v>
      </c>
      <c r="J112" s="700">
        <f>J104+I103+I102+I101+I100+I99+J98</f>
        <v>52</v>
      </c>
      <c r="K112" s="700">
        <f>I103+I102+I100+I99+K98</f>
        <v>7</v>
      </c>
      <c r="L112" s="700">
        <f>I103+I102+I100+I99</f>
        <v>7</v>
      </c>
      <c r="M112" s="343">
        <f>SUM(I112:L112)</f>
        <v>98</v>
      </c>
      <c r="N112" s="345"/>
      <c r="O112" s="346"/>
      <c r="P112" s="345"/>
      <c r="Q112" s="345"/>
      <c r="R112" s="347"/>
      <c r="S112" s="348"/>
      <c r="T112" s="349">
        <f>T111/S111</f>
        <v>0.57924805553444303</v>
      </c>
      <c r="U112" s="350">
        <f>U111/S111</f>
        <v>0.30312489820736377</v>
      </c>
      <c r="V112" s="350">
        <f>V111/S111</f>
        <v>0</v>
      </c>
      <c r="W112" s="350">
        <f>W111/S111</f>
        <v>0</v>
      </c>
      <c r="X112" s="352">
        <f>X111/S111</f>
        <v>0.11762704625819317</v>
      </c>
      <c r="Y112" s="351">
        <f>Y111/S111</f>
        <v>0.51677180714955284</v>
      </c>
      <c r="Z112" s="352">
        <f>Z111/S111</f>
        <v>0.36560114659225396</v>
      </c>
      <c r="AA112" s="591"/>
      <c r="AB112" s="523"/>
      <c r="AC112" s="524"/>
      <c r="AD112" s="524"/>
      <c r="AE112" s="356"/>
    </row>
    <row r="113" spans="1:31" x14ac:dyDescent="0.3">
      <c r="A113" s="243" t="s">
        <v>533</v>
      </c>
      <c r="B113" s="193"/>
      <c r="C113" s="193"/>
      <c r="D113" s="193"/>
      <c r="E113" s="193"/>
      <c r="F113" s="244"/>
      <c r="G113" s="193"/>
      <c r="H113" s="193"/>
      <c r="I113" s="2182">
        <f>I112/M112</f>
        <v>0.32653061224489793</v>
      </c>
      <c r="J113" s="2182">
        <f>J112/M112</f>
        <v>0.53061224489795922</v>
      </c>
      <c r="K113" s="2182">
        <f>K112/M112</f>
        <v>7.1428571428571425E-2</v>
      </c>
      <c r="L113" s="2182">
        <f>L112/M112</f>
        <v>7.1428571428571425E-2</v>
      </c>
      <c r="M113" s="193"/>
      <c r="N113" s="246"/>
      <c r="O113" s="196"/>
      <c r="P113" s="246"/>
      <c r="Q113" s="194">
        <f>T111/3</f>
        <v>64017.80000000001</v>
      </c>
      <c r="R113" s="247">
        <f>Q113/Q117</f>
        <v>0.57924805553444303</v>
      </c>
      <c r="T113" s="111"/>
      <c r="X113" s="248"/>
      <c r="Y113" s="357">
        <f>J98+I101+I102+I103</f>
        <v>35</v>
      </c>
      <c r="Z113" s="358">
        <f>I99+I100+I104+J104</f>
        <v>32</v>
      </c>
      <c r="AA113" s="4"/>
      <c r="AE113" s="303"/>
    </row>
    <row r="114" spans="1:31" x14ac:dyDescent="0.3">
      <c r="A114" s="251" t="s">
        <v>11</v>
      </c>
      <c r="B114" s="252"/>
      <c r="C114" s="252"/>
      <c r="D114" s="252"/>
      <c r="E114" s="252"/>
      <c r="F114" s="253"/>
      <c r="G114" s="252"/>
      <c r="H114" s="252"/>
      <c r="I114" s="254"/>
      <c r="J114" s="254"/>
      <c r="K114" s="254"/>
      <c r="L114" s="254"/>
      <c r="M114" s="252"/>
      <c r="N114" s="255"/>
      <c r="O114" s="256"/>
      <c r="P114" s="255"/>
      <c r="Q114" s="257">
        <f>U111/3</f>
        <v>33501</v>
      </c>
      <c r="R114" s="262">
        <f>Q114/Q117</f>
        <v>0.30312489820736377</v>
      </c>
      <c r="S114" s="525">
        <f>Q111/M111</f>
        <v>1649.534328358209</v>
      </c>
      <c r="T114" s="526" t="s">
        <v>535</v>
      </c>
      <c r="X114" s="169"/>
      <c r="Y114" s="195">
        <f>Y113/M111</f>
        <v>0.52238805970149249</v>
      </c>
      <c r="Z114" s="247">
        <f>Z113/M111</f>
        <v>0.47761194029850745</v>
      </c>
    </row>
    <row r="115" spans="1:31" x14ac:dyDescent="0.3">
      <c r="A115" s="251" t="s">
        <v>528</v>
      </c>
      <c r="B115" s="252"/>
      <c r="C115" s="252"/>
      <c r="D115" s="252"/>
      <c r="E115" s="252"/>
      <c r="F115" s="253"/>
      <c r="G115" s="252"/>
      <c r="H115" s="252"/>
      <c r="I115" s="254"/>
      <c r="J115" s="254"/>
      <c r="K115" s="254"/>
      <c r="L115" s="254"/>
      <c r="M115" s="252"/>
      <c r="N115" s="255"/>
      <c r="O115" s="256"/>
      <c r="P115" s="255"/>
      <c r="Q115" s="257">
        <f>Q108</f>
        <v>0</v>
      </c>
      <c r="R115" s="262">
        <f>Q115/Q111</f>
        <v>0</v>
      </c>
      <c r="T115" s="111"/>
      <c r="U115" s="263"/>
      <c r="W115" s="99"/>
      <c r="X115" s="263"/>
      <c r="Y115" s="2265" t="s">
        <v>537</v>
      </c>
      <c r="Z115" s="2265"/>
    </row>
    <row r="116" spans="1:31" x14ac:dyDescent="0.3">
      <c r="A116" s="251" t="s">
        <v>529</v>
      </c>
      <c r="B116" s="252"/>
      <c r="C116" s="252"/>
      <c r="D116" s="252"/>
      <c r="E116" s="252"/>
      <c r="F116" s="253"/>
      <c r="G116" s="252"/>
      <c r="H116" s="252"/>
      <c r="I116" s="254"/>
      <c r="J116" s="254"/>
      <c r="K116" s="254"/>
      <c r="L116" s="254"/>
      <c r="M116" s="252"/>
      <c r="N116" s="255"/>
      <c r="O116" s="256"/>
      <c r="P116" s="255"/>
      <c r="Q116" s="257">
        <f>Q109</f>
        <v>13000</v>
      </c>
      <c r="R116" s="262">
        <f>Q116/Q117</f>
        <v>0.11762704625819316</v>
      </c>
    </row>
    <row r="117" spans="1:31" x14ac:dyDescent="0.3">
      <c r="A117" s="243"/>
      <c r="B117" s="193"/>
      <c r="C117" s="193"/>
      <c r="D117" s="193"/>
      <c r="E117" s="193"/>
      <c r="F117" s="244"/>
      <c r="G117" s="193"/>
      <c r="H117" s="193"/>
      <c r="I117" s="245"/>
      <c r="J117" s="245"/>
      <c r="K117" s="245"/>
      <c r="L117" s="245"/>
      <c r="M117" s="193"/>
      <c r="N117" s="246"/>
      <c r="O117" s="196"/>
      <c r="P117" s="246"/>
      <c r="Q117" s="194">
        <f>SUM(Q113:Q116)</f>
        <v>110518.80000000002</v>
      </c>
      <c r="R117" s="247">
        <f>SUM(R113:R116)</f>
        <v>1</v>
      </c>
      <c r="S117" s="600"/>
    </row>
    <row r="118" spans="1:31" x14ac:dyDescent="0.3">
      <c r="A118" s="188"/>
      <c r="I118" s="1"/>
      <c r="J118" s="1"/>
      <c r="K118" s="1"/>
      <c r="L118" s="1"/>
      <c r="N118" s="5"/>
      <c r="O118" s="6"/>
      <c r="P118" s="5"/>
      <c r="Q118" s="5"/>
      <c r="R118" s="6"/>
      <c r="S118" s="701"/>
    </row>
    <row r="119" spans="1:31" ht="18" x14ac:dyDescent="0.35">
      <c r="A119" s="118" t="s">
        <v>554</v>
      </c>
      <c r="N119" s="5"/>
      <c r="O119" s="6"/>
      <c r="P119" s="5"/>
      <c r="Q119" s="5"/>
      <c r="R119" s="6"/>
      <c r="S119" s="701"/>
    </row>
    <row r="120" spans="1:31" ht="18" x14ac:dyDescent="0.35">
      <c r="A120" s="118"/>
      <c r="I120" s="245"/>
      <c r="J120" s="245"/>
      <c r="K120" s="245"/>
      <c r="L120" s="245"/>
      <c r="N120" s="5"/>
      <c r="O120" s="6"/>
      <c r="P120" s="246"/>
      <c r="Q120" s="246"/>
      <c r="R120" s="196"/>
      <c r="S120" s="702"/>
    </row>
    <row r="121" spans="1:31" x14ac:dyDescent="0.3">
      <c r="A121" s="2335" t="s">
        <v>480</v>
      </c>
      <c r="B121" s="2336"/>
      <c r="C121" s="2336"/>
      <c r="D121" s="2336"/>
      <c r="E121" s="2336"/>
      <c r="F121" s="2336"/>
      <c r="G121" s="2336"/>
      <c r="H121" s="2336"/>
      <c r="I121" s="2336"/>
      <c r="J121" s="2336"/>
      <c r="K121" s="2336"/>
      <c r="L121" s="2336"/>
      <c r="M121" s="2336"/>
      <c r="N121" s="2336"/>
      <c r="O121" s="2336"/>
      <c r="P121" s="2336"/>
      <c r="Q121" s="2336"/>
      <c r="R121" s="2337"/>
      <c r="S121" s="2400" t="s">
        <v>584</v>
      </c>
      <c r="T121" s="2401"/>
      <c r="U121" s="2401"/>
      <c r="V121" s="2401"/>
      <c r="W121" s="2401"/>
      <c r="X121" s="2401"/>
      <c r="Y121" s="2401"/>
      <c r="Z121" s="2401"/>
      <c r="AA121" s="2401"/>
      <c r="AB121" s="2401"/>
      <c r="AC121" s="2401"/>
      <c r="AD121" s="2401"/>
      <c r="AE121" s="2402"/>
    </row>
    <row r="122" spans="1:31" ht="18" x14ac:dyDescent="0.35">
      <c r="A122" s="2256" t="s">
        <v>482</v>
      </c>
      <c r="B122" s="2258" t="s">
        <v>483</v>
      </c>
      <c r="C122" s="2258" t="s">
        <v>484</v>
      </c>
      <c r="D122" s="2258" t="s">
        <v>555</v>
      </c>
      <c r="E122" s="2258" t="s">
        <v>556</v>
      </c>
      <c r="F122" s="2260" t="s">
        <v>487</v>
      </c>
      <c r="G122" s="2258" t="s">
        <v>557</v>
      </c>
      <c r="H122" s="2258" t="s">
        <v>489</v>
      </c>
      <c r="I122" s="2240" t="s">
        <v>490</v>
      </c>
      <c r="J122" s="2240"/>
      <c r="K122" s="2240"/>
      <c r="L122" s="2240"/>
      <c r="M122" s="305" t="s">
        <v>491</v>
      </c>
      <c r="N122" s="306" t="s">
        <v>558</v>
      </c>
      <c r="O122" s="307" t="s">
        <v>493</v>
      </c>
      <c r="P122" s="306" t="s">
        <v>558</v>
      </c>
      <c r="Q122" s="306" t="s">
        <v>559</v>
      </c>
      <c r="R122" s="2343" t="s">
        <v>495</v>
      </c>
      <c r="S122" s="695" t="s">
        <v>496</v>
      </c>
      <c r="T122" s="2409" t="s">
        <v>497</v>
      </c>
      <c r="U122" s="2410"/>
      <c r="V122" s="2410"/>
      <c r="W122" s="2410"/>
      <c r="X122" s="2411"/>
      <c r="Y122" s="2403" t="s">
        <v>498</v>
      </c>
      <c r="Z122" s="2405"/>
      <c r="AA122" s="2403" t="s">
        <v>499</v>
      </c>
      <c r="AB122" s="2404"/>
      <c r="AC122" s="2404"/>
      <c r="AD122" s="2404"/>
      <c r="AE122" s="2405"/>
    </row>
    <row r="123" spans="1:31" ht="18" x14ac:dyDescent="0.35">
      <c r="A123" s="2257"/>
      <c r="B123" s="2259"/>
      <c r="C123" s="2259"/>
      <c r="D123" s="2259"/>
      <c r="E123" s="2259"/>
      <c r="F123" s="2261"/>
      <c r="G123" s="2259"/>
      <c r="H123" s="2259"/>
      <c r="I123" s="310" t="s">
        <v>500</v>
      </c>
      <c r="J123" s="310" t="s">
        <v>501</v>
      </c>
      <c r="K123" s="310" t="s">
        <v>502</v>
      </c>
      <c r="L123" s="310" t="s">
        <v>503</v>
      </c>
      <c r="M123" s="311" t="s">
        <v>504</v>
      </c>
      <c r="N123" s="312" t="s">
        <v>505</v>
      </c>
      <c r="O123" s="313" t="s">
        <v>506</v>
      </c>
      <c r="P123" s="312" t="s">
        <v>507</v>
      </c>
      <c r="Q123" s="312" t="s">
        <v>560</v>
      </c>
      <c r="R123" s="2344"/>
      <c r="S123" s="696" t="s">
        <v>508</v>
      </c>
      <c r="T123" s="2412"/>
      <c r="U123" s="2413"/>
      <c r="V123" s="2413"/>
      <c r="W123" s="2413"/>
      <c r="X123" s="2414"/>
      <c r="Y123" s="2406"/>
      <c r="Z123" s="2408"/>
      <c r="AA123" s="2406"/>
      <c r="AB123" s="2407"/>
      <c r="AC123" s="2407"/>
      <c r="AD123" s="2407"/>
      <c r="AE123" s="2408"/>
    </row>
    <row r="124" spans="1:31" ht="18" x14ac:dyDescent="0.35">
      <c r="A124" s="2377" t="s">
        <v>561</v>
      </c>
      <c r="B124" s="2378"/>
      <c r="C124" s="2378"/>
      <c r="D124" s="2378"/>
      <c r="E124" s="2378"/>
      <c r="F124" s="2378"/>
      <c r="G124" s="2378"/>
      <c r="H124" s="2378"/>
      <c r="I124" s="2378"/>
      <c r="J124" s="2378"/>
      <c r="K124" s="2378"/>
      <c r="L124" s="2378"/>
      <c r="M124" s="2378"/>
      <c r="N124" s="2378"/>
      <c r="O124" s="2378"/>
      <c r="P124" s="2378"/>
      <c r="Q124" s="2378"/>
      <c r="R124" s="2378"/>
      <c r="S124" s="559"/>
      <c r="T124" s="560" t="s">
        <v>510</v>
      </c>
      <c r="U124" s="561" t="s">
        <v>11</v>
      </c>
      <c r="V124" s="561" t="s">
        <v>511</v>
      </c>
      <c r="W124" s="561" t="s">
        <v>512</v>
      </c>
      <c r="X124" s="562" t="s">
        <v>513</v>
      </c>
      <c r="Y124" s="563" t="s">
        <v>514</v>
      </c>
      <c r="Z124" s="562" t="s">
        <v>515</v>
      </c>
      <c r="AA124" s="563" t="s">
        <v>693</v>
      </c>
      <c r="AB124" s="561" t="s">
        <v>96</v>
      </c>
      <c r="AC124" s="561" t="s">
        <v>97</v>
      </c>
      <c r="AD124" s="561" t="s">
        <v>98</v>
      </c>
      <c r="AE124" s="562" t="s">
        <v>5</v>
      </c>
    </row>
    <row r="125" spans="1:31" ht="18" x14ac:dyDescent="0.35">
      <c r="A125" s="154"/>
      <c r="B125" s="462"/>
      <c r="C125" s="462"/>
      <c r="D125" s="462"/>
      <c r="E125" s="462"/>
      <c r="F125" s="463"/>
      <c r="G125" s="462"/>
      <c r="H125" s="462"/>
      <c r="I125" s="465"/>
      <c r="J125" s="465"/>
      <c r="K125" s="465"/>
      <c r="L125" s="465"/>
      <c r="M125" s="462"/>
      <c r="N125" s="468"/>
      <c r="O125" s="469"/>
      <c r="P125" s="468"/>
      <c r="Q125" s="468"/>
      <c r="R125" s="532"/>
      <c r="S125" s="682"/>
      <c r="T125" s="683"/>
      <c r="U125" s="137"/>
      <c r="V125" s="137"/>
      <c r="W125" s="137"/>
      <c r="X125" s="684"/>
      <c r="Y125" s="685"/>
      <c r="Z125" s="684"/>
      <c r="AA125" s="685"/>
      <c r="AB125" s="137"/>
      <c r="AC125" s="137"/>
      <c r="AD125" s="676"/>
      <c r="AE125" s="684"/>
    </row>
    <row r="126" spans="1:31" x14ac:dyDescent="0.3">
      <c r="A126" s="157" t="s">
        <v>694</v>
      </c>
      <c r="B126" s="157" t="s">
        <v>99</v>
      </c>
      <c r="C126" s="157" t="s">
        <v>695</v>
      </c>
      <c r="D126" s="157" t="s">
        <v>100</v>
      </c>
      <c r="E126" s="157" t="s">
        <v>518</v>
      </c>
      <c r="F126" s="158" t="s">
        <v>51</v>
      </c>
      <c r="G126" s="157">
        <v>1</v>
      </c>
      <c r="H126" s="157" t="s">
        <v>22</v>
      </c>
      <c r="I126" s="592"/>
      <c r="J126" s="285">
        <v>20</v>
      </c>
      <c r="K126" s="285">
        <v>20</v>
      </c>
      <c r="L126" s="286"/>
      <c r="M126" s="163">
        <v>2</v>
      </c>
      <c r="N126" s="503">
        <v>39000</v>
      </c>
      <c r="O126" s="173">
        <v>0.7</v>
      </c>
      <c r="P126" s="503">
        <f t="shared" ref="P126:P131" si="16">N126*(1-O126)</f>
        <v>11700.000000000002</v>
      </c>
      <c r="Q126" s="503">
        <f t="shared" ref="Q126:Q131" si="17">P126*M126*G126</f>
        <v>23400.000000000004</v>
      </c>
      <c r="R126" s="178">
        <f t="shared" ref="R126:R131" si="18">Q126/$Q$138</f>
        <v>0.21256919854144829</v>
      </c>
      <c r="S126" s="168">
        <f>Q126</f>
        <v>23400.000000000004</v>
      </c>
      <c r="T126" s="150"/>
      <c r="U126" s="169">
        <f>S126</f>
        <v>23400.000000000004</v>
      </c>
      <c r="V126" s="169"/>
      <c r="X126" s="152"/>
      <c r="Y126" s="283">
        <f>S126</f>
        <v>23400.000000000004</v>
      </c>
      <c r="Z126" s="171"/>
      <c r="AA126" s="282">
        <f>S126</f>
        <v>23400.000000000004</v>
      </c>
      <c r="AB126" s="169"/>
      <c r="AE126" s="152"/>
    </row>
    <row r="127" spans="1:31" x14ac:dyDescent="0.3">
      <c r="A127" s="157" t="s">
        <v>694</v>
      </c>
      <c r="B127" s="157" t="s">
        <v>101</v>
      </c>
      <c r="C127" s="157" t="s">
        <v>696</v>
      </c>
      <c r="D127" s="157" t="s">
        <v>26</v>
      </c>
      <c r="E127" s="157" t="s">
        <v>697</v>
      </c>
      <c r="F127" s="158" t="s">
        <v>43</v>
      </c>
      <c r="G127" s="157">
        <v>1</v>
      </c>
      <c r="H127" s="157" t="s">
        <v>24</v>
      </c>
      <c r="I127" s="182">
        <v>1</v>
      </c>
      <c r="J127" s="183"/>
      <c r="K127" s="183"/>
      <c r="L127" s="2239"/>
      <c r="M127" s="163">
        <v>1</v>
      </c>
      <c r="N127" s="503">
        <v>12690</v>
      </c>
      <c r="O127" s="173">
        <v>0.18</v>
      </c>
      <c r="P127" s="503">
        <f t="shared" si="16"/>
        <v>10405.800000000001</v>
      </c>
      <c r="Q127" s="503">
        <f t="shared" si="17"/>
        <v>10405.800000000001</v>
      </c>
      <c r="R127" s="167">
        <f t="shared" si="18"/>
        <v>9.452788744370097E-2</v>
      </c>
      <c r="S127" s="168">
        <f t="shared" ref="S127:S131" si="19">Q127</f>
        <v>10405.800000000001</v>
      </c>
      <c r="T127" s="150">
        <f t="shared" ref="T127:T129" si="20">S127</f>
        <v>10405.800000000001</v>
      </c>
      <c r="X127" s="152"/>
      <c r="Y127" s="282"/>
      <c r="Z127" s="171">
        <f>S127</f>
        <v>10405.800000000001</v>
      </c>
      <c r="AA127" s="280"/>
      <c r="AB127" s="169">
        <f>S127</f>
        <v>10405.800000000001</v>
      </c>
      <c r="AE127" s="152"/>
    </row>
    <row r="128" spans="1:31" x14ac:dyDescent="0.3">
      <c r="A128" s="157" t="s">
        <v>694</v>
      </c>
      <c r="B128" s="157" t="s">
        <v>104</v>
      </c>
      <c r="C128" s="157" t="s">
        <v>696</v>
      </c>
      <c r="D128" s="157" t="s">
        <v>105</v>
      </c>
      <c r="E128" s="157" t="s">
        <v>697</v>
      </c>
      <c r="F128" s="158" t="s">
        <v>519</v>
      </c>
      <c r="G128" s="157">
        <v>10</v>
      </c>
      <c r="H128" s="157" t="s">
        <v>106</v>
      </c>
      <c r="I128" s="175">
        <v>10</v>
      </c>
      <c r="J128" s="688"/>
      <c r="L128" s="286"/>
      <c r="M128" s="163">
        <v>1</v>
      </c>
      <c r="N128" s="166">
        <v>1872</v>
      </c>
      <c r="O128" s="173">
        <v>0.2</v>
      </c>
      <c r="P128" s="166">
        <f t="shared" si="16"/>
        <v>1497.6000000000001</v>
      </c>
      <c r="Q128" s="166">
        <f t="shared" si="17"/>
        <v>14976.000000000002</v>
      </c>
      <c r="R128" s="167">
        <f t="shared" si="18"/>
        <v>0.13604428706652691</v>
      </c>
      <c r="S128" s="168">
        <f t="shared" si="19"/>
        <v>14976.000000000002</v>
      </c>
      <c r="T128" s="150">
        <f t="shared" si="20"/>
        <v>14976.000000000002</v>
      </c>
      <c r="V128" s="169"/>
      <c r="X128" s="152"/>
      <c r="Y128" s="283">
        <f>S128</f>
        <v>14976.000000000002</v>
      </c>
      <c r="Z128" s="171"/>
      <c r="AA128" s="280"/>
      <c r="AB128" s="169"/>
      <c r="AC128" s="169">
        <f>S128</f>
        <v>14976.000000000002</v>
      </c>
      <c r="AE128" s="152"/>
    </row>
    <row r="129" spans="1:31" x14ac:dyDescent="0.3">
      <c r="A129" s="157" t="s">
        <v>694</v>
      </c>
      <c r="B129" s="157" t="s">
        <v>104</v>
      </c>
      <c r="C129" s="157" t="s">
        <v>696</v>
      </c>
      <c r="D129" s="157" t="s">
        <v>102</v>
      </c>
      <c r="E129" s="157" t="s">
        <v>518</v>
      </c>
      <c r="F129" s="158" t="s">
        <v>587</v>
      </c>
      <c r="G129" s="157">
        <v>1</v>
      </c>
      <c r="H129" s="157" t="s">
        <v>24</v>
      </c>
      <c r="I129" s="182">
        <v>1</v>
      </c>
      <c r="J129" s="183"/>
      <c r="K129" s="183"/>
      <c r="L129" s="2239"/>
      <c r="M129" s="163">
        <v>1</v>
      </c>
      <c r="N129" s="166">
        <v>6920</v>
      </c>
      <c r="O129" s="173">
        <v>0.2</v>
      </c>
      <c r="P129" s="166">
        <f t="shared" si="16"/>
        <v>5536</v>
      </c>
      <c r="Q129" s="166">
        <f t="shared" si="17"/>
        <v>5536</v>
      </c>
      <c r="R129" s="178">
        <f t="shared" si="18"/>
        <v>5.0289875347241775E-2</v>
      </c>
      <c r="S129" s="168">
        <f t="shared" si="19"/>
        <v>5536</v>
      </c>
      <c r="T129" s="565">
        <f t="shared" si="20"/>
        <v>5536</v>
      </c>
      <c r="X129" s="152"/>
      <c r="Y129" s="282">
        <f>S129</f>
        <v>5536</v>
      </c>
      <c r="Z129" s="171"/>
      <c r="AA129" s="280"/>
      <c r="AB129" s="169"/>
      <c r="AC129" s="169">
        <f>T129</f>
        <v>5536</v>
      </c>
      <c r="AD129" s="169"/>
      <c r="AE129" s="152"/>
    </row>
    <row r="130" spans="1:31" x14ac:dyDescent="0.3">
      <c r="A130" s="157" t="s">
        <v>694</v>
      </c>
      <c r="B130" s="157" t="s">
        <v>107</v>
      </c>
      <c r="C130" s="157" t="s">
        <v>696</v>
      </c>
      <c r="D130" s="157" t="s">
        <v>102</v>
      </c>
      <c r="E130" s="157" t="s">
        <v>518</v>
      </c>
      <c r="F130" s="158" t="s">
        <v>587</v>
      </c>
      <c r="G130" s="157">
        <v>1</v>
      </c>
      <c r="H130" s="157" t="s">
        <v>24</v>
      </c>
      <c r="I130" s="182">
        <v>1</v>
      </c>
      <c r="J130" s="183"/>
      <c r="K130" s="183"/>
      <c r="L130" s="2239"/>
      <c r="M130" s="163">
        <v>1</v>
      </c>
      <c r="N130" s="166">
        <v>7440</v>
      </c>
      <c r="O130" s="173">
        <v>0.1</v>
      </c>
      <c r="P130" s="166">
        <f t="shared" si="16"/>
        <v>6696</v>
      </c>
      <c r="Q130" s="166">
        <f t="shared" si="17"/>
        <v>6696</v>
      </c>
      <c r="R130" s="178">
        <f t="shared" si="18"/>
        <v>6.0827493736475967E-2</v>
      </c>
      <c r="S130" s="168">
        <f t="shared" si="19"/>
        <v>6696</v>
      </c>
      <c r="T130" s="565">
        <f>S130</f>
        <v>6696</v>
      </c>
      <c r="X130" s="152"/>
      <c r="Y130" s="282"/>
      <c r="Z130" s="171">
        <f>S130</f>
        <v>6696</v>
      </c>
      <c r="AA130" s="280"/>
      <c r="AC130" s="169"/>
      <c r="AD130" s="169">
        <f>S130</f>
        <v>6696</v>
      </c>
      <c r="AE130" s="152"/>
    </row>
    <row r="131" spans="1:31" x14ac:dyDescent="0.3">
      <c r="A131" s="157" t="s">
        <v>694</v>
      </c>
      <c r="B131" s="157" t="s">
        <v>108</v>
      </c>
      <c r="C131" s="157" t="s">
        <v>695</v>
      </c>
      <c r="D131" s="157" t="s">
        <v>100</v>
      </c>
      <c r="E131" s="157" t="s">
        <v>697</v>
      </c>
      <c r="F131" s="158" t="s">
        <v>552</v>
      </c>
      <c r="G131" s="157">
        <v>1</v>
      </c>
      <c r="H131" s="157" t="s">
        <v>22</v>
      </c>
      <c r="I131" s="285">
        <v>20</v>
      </c>
      <c r="J131" s="285">
        <v>20</v>
      </c>
      <c r="L131" s="286"/>
      <c r="M131" s="163">
        <v>2</v>
      </c>
      <c r="N131" s="166">
        <f>5590*4</f>
        <v>22360</v>
      </c>
      <c r="O131" s="173">
        <v>0.35</v>
      </c>
      <c r="P131" s="166">
        <f t="shared" si="16"/>
        <v>14534</v>
      </c>
      <c r="Q131" s="166">
        <f t="shared" si="17"/>
        <v>29068</v>
      </c>
      <c r="R131" s="167">
        <f t="shared" si="18"/>
        <v>0.26405818218815463</v>
      </c>
      <c r="S131" s="168">
        <f t="shared" si="19"/>
        <v>29068</v>
      </c>
      <c r="T131" s="150">
        <f>S131</f>
        <v>29068</v>
      </c>
      <c r="W131" s="169"/>
      <c r="X131" s="152"/>
      <c r="Y131" s="282"/>
      <c r="Z131" s="171">
        <f>S131</f>
        <v>29068</v>
      </c>
      <c r="AA131" s="280"/>
      <c r="AC131" s="169"/>
      <c r="AD131" s="169"/>
      <c r="AE131" s="171">
        <f>S131</f>
        <v>29068</v>
      </c>
    </row>
    <row r="132" spans="1:31" x14ac:dyDescent="0.3">
      <c r="A132" s="157"/>
      <c r="B132" s="157"/>
      <c r="C132" s="157"/>
      <c r="D132" s="157"/>
      <c r="E132" s="157"/>
      <c r="F132" s="158"/>
      <c r="G132" s="157"/>
      <c r="H132" s="157"/>
      <c r="I132" s="188"/>
      <c r="L132" s="286"/>
      <c r="M132" s="163"/>
      <c r="N132" s="166"/>
      <c r="O132" s="173"/>
      <c r="P132" s="166"/>
      <c r="Q132" s="166"/>
      <c r="R132" s="167"/>
      <c r="S132" s="168"/>
      <c r="T132" s="150"/>
      <c r="U132" s="169"/>
      <c r="X132" s="171"/>
      <c r="Y132" s="282"/>
      <c r="Z132" s="152"/>
      <c r="AA132" s="280"/>
      <c r="AD132" s="169"/>
      <c r="AE132" s="171"/>
    </row>
    <row r="133" spans="1:31" x14ac:dyDescent="0.3">
      <c r="A133" s="157"/>
      <c r="B133" s="157"/>
      <c r="C133" s="157"/>
      <c r="D133" s="157"/>
      <c r="E133" s="157"/>
      <c r="F133" s="158"/>
      <c r="G133" s="157"/>
      <c r="H133" s="157"/>
      <c r="I133" s="188"/>
      <c r="L133" s="286"/>
      <c r="M133" s="163"/>
      <c r="N133" s="166"/>
      <c r="O133" s="173"/>
      <c r="P133" s="166"/>
      <c r="Q133" s="166"/>
      <c r="R133" s="167"/>
      <c r="S133" s="168"/>
      <c r="T133" s="150"/>
      <c r="U133" s="169"/>
      <c r="X133" s="152"/>
      <c r="Y133" s="280"/>
      <c r="Z133" s="171"/>
      <c r="AA133" s="280"/>
      <c r="AE133" s="171"/>
    </row>
    <row r="134" spans="1:31" x14ac:dyDescent="0.3">
      <c r="A134" s="172"/>
      <c r="B134" s="157"/>
      <c r="C134" s="157"/>
      <c r="D134" s="157"/>
      <c r="E134" s="157"/>
      <c r="F134" s="158"/>
      <c r="G134" s="157"/>
      <c r="H134" s="157"/>
      <c r="I134" s="243"/>
      <c r="J134" s="245"/>
      <c r="K134" s="245"/>
      <c r="L134" s="287"/>
      <c r="M134" s="163"/>
      <c r="N134" s="166"/>
      <c r="O134" s="173"/>
      <c r="P134" s="166"/>
      <c r="Q134" s="166"/>
      <c r="R134" s="393"/>
      <c r="S134" s="168"/>
      <c r="T134" s="150"/>
      <c r="U134" s="169"/>
      <c r="X134" s="152"/>
      <c r="Y134" s="280"/>
      <c r="Z134" s="171"/>
      <c r="AA134" s="280"/>
      <c r="AE134" s="171"/>
    </row>
    <row r="135" spans="1:31" x14ac:dyDescent="0.3">
      <c r="A135" s="108" t="s">
        <v>694</v>
      </c>
      <c r="B135" s="108" t="s">
        <v>528</v>
      </c>
      <c r="C135" s="289"/>
      <c r="D135" s="252"/>
      <c r="E135" s="252"/>
      <c r="F135" s="253"/>
      <c r="G135" s="252"/>
      <c r="H135" s="252"/>
      <c r="I135" s="254"/>
      <c r="J135" s="254"/>
      <c r="K135" s="254"/>
      <c r="L135" s="254"/>
      <c r="M135" s="252"/>
      <c r="N135" s="255"/>
      <c r="O135" s="256"/>
      <c r="P135" s="290"/>
      <c r="Q135" s="257"/>
      <c r="R135" s="291"/>
      <c r="S135" s="168"/>
      <c r="T135" s="150"/>
      <c r="X135" s="152"/>
      <c r="Y135" s="280"/>
      <c r="Z135" s="152"/>
      <c r="AA135" s="280"/>
      <c r="AE135" s="152"/>
    </row>
    <row r="136" spans="1:31" x14ac:dyDescent="0.3">
      <c r="A136" s="108" t="s">
        <v>694</v>
      </c>
      <c r="B136" s="108" t="s">
        <v>529</v>
      </c>
      <c r="C136" s="289"/>
      <c r="D136" s="252"/>
      <c r="E136" s="252"/>
      <c r="F136" s="253"/>
      <c r="G136" s="252"/>
      <c r="H136" s="252"/>
      <c r="I136" s="254"/>
      <c r="J136" s="254"/>
      <c r="K136" s="254"/>
      <c r="L136" s="254"/>
      <c r="M136" s="252"/>
      <c r="N136" s="255"/>
      <c r="O136" s="256"/>
      <c r="P136" s="290"/>
      <c r="Q136" s="257">
        <v>20000</v>
      </c>
      <c r="R136" s="291">
        <f>Q136/Q138</f>
        <v>0.18168307567645151</v>
      </c>
      <c r="S136" s="149">
        <f>Q136</f>
        <v>20000</v>
      </c>
      <c r="T136" s="280"/>
      <c r="X136" s="689">
        <f>Q136</f>
        <v>20000</v>
      </c>
      <c r="Y136" s="280"/>
      <c r="Z136" s="152"/>
      <c r="AA136" s="280"/>
      <c r="AE136" s="152"/>
    </row>
    <row r="137" spans="1:31" x14ac:dyDescent="0.3">
      <c r="I137" s="115">
        <f>I138/M138</f>
        <v>0.35483870967741937</v>
      </c>
      <c r="J137" s="115">
        <f>J138/M138</f>
        <v>0.43010752688172044</v>
      </c>
      <c r="K137" s="115">
        <f>K138/M138</f>
        <v>0.21505376344086022</v>
      </c>
      <c r="S137" s="168"/>
      <c r="T137" s="280"/>
      <c r="X137" s="689"/>
      <c r="Y137" s="280"/>
      <c r="Z137" s="152"/>
      <c r="AA137" s="280"/>
      <c r="AE137" s="152"/>
    </row>
    <row r="138" spans="1:31" x14ac:dyDescent="0.3">
      <c r="A138" s="326" t="s">
        <v>531</v>
      </c>
      <c r="B138" s="327"/>
      <c r="C138" s="327"/>
      <c r="D138" s="327"/>
      <c r="E138" s="327"/>
      <c r="F138" s="328"/>
      <c r="G138" s="327"/>
      <c r="H138" s="327"/>
      <c r="I138" s="697">
        <f>I131+I130+I129+I128+I127</f>
        <v>33</v>
      </c>
      <c r="J138" s="697">
        <f>J131+J126</f>
        <v>40</v>
      </c>
      <c r="K138" s="697">
        <f>K126</f>
        <v>20</v>
      </c>
      <c r="L138" s="697"/>
      <c r="M138" s="327">
        <f>SUM(I138:L138)</f>
        <v>93</v>
      </c>
      <c r="N138" s="329"/>
      <c r="O138" s="330"/>
      <c r="P138" s="329"/>
      <c r="Q138" s="331">
        <f>SUM(Q125:Q137)</f>
        <v>110081.8</v>
      </c>
      <c r="R138" s="332">
        <f>SUM(R125:R136)</f>
        <v>1.0000000000000002</v>
      </c>
      <c r="S138" s="333">
        <f>SUM(S126:S137)</f>
        <v>110081.8</v>
      </c>
      <c r="T138" s="334">
        <f>SUM(T126:T137)</f>
        <v>66681.8</v>
      </c>
      <c r="U138" s="335">
        <f>SUM(U126:U137)</f>
        <v>23400.000000000004</v>
      </c>
      <c r="V138" s="335">
        <f>SUM(V126:V133)</f>
        <v>0</v>
      </c>
      <c r="W138" s="335">
        <f>SUM(W126:W133)</f>
        <v>0</v>
      </c>
      <c r="X138" s="337">
        <f>SUM(X125:X137)</f>
        <v>20000</v>
      </c>
      <c r="Y138" s="336">
        <f>SUM(Y126:Y133)</f>
        <v>43912.000000000007</v>
      </c>
      <c r="Z138" s="337">
        <f>SUM(Z126:Z136)</f>
        <v>46169.8</v>
      </c>
      <c r="AA138" s="619">
        <f>SUM(AA125:AA137)</f>
        <v>23400.000000000004</v>
      </c>
      <c r="AB138" s="698">
        <f>SUM(AB125:AB137)</f>
        <v>10405.800000000001</v>
      </c>
      <c r="AC138" s="698">
        <f>SUM(AC125:AC137)</f>
        <v>20512</v>
      </c>
      <c r="AD138" s="698">
        <f>SUM(AD125:AD137)</f>
        <v>6696</v>
      </c>
      <c r="AE138" s="699">
        <f>SUM(AE125:AE137)</f>
        <v>29068</v>
      </c>
    </row>
    <row r="139" spans="1:31" x14ac:dyDescent="0.3">
      <c r="A139" s="342" t="s">
        <v>532</v>
      </c>
      <c r="B139" s="343"/>
      <c r="C139" s="343"/>
      <c r="D139" s="343"/>
      <c r="E139" s="343"/>
      <c r="F139" s="344"/>
      <c r="G139" s="343"/>
      <c r="H139" s="343"/>
      <c r="I139" s="700">
        <f>I131+I130+I129+I128+I127</f>
        <v>33</v>
      </c>
      <c r="J139" s="700">
        <f>J131+I130+I129+I128+I127+J126</f>
        <v>53</v>
      </c>
      <c r="K139" s="700">
        <f>I130+I129+I127+K126</f>
        <v>23</v>
      </c>
      <c r="L139" s="700">
        <f>I130+I129+I127</f>
        <v>3</v>
      </c>
      <c r="M139" s="343">
        <f>SUM(I139:L139)</f>
        <v>112</v>
      </c>
      <c r="N139" s="345"/>
      <c r="O139" s="346"/>
      <c r="P139" s="345"/>
      <c r="Q139" s="345"/>
      <c r="R139" s="347"/>
      <c r="S139" s="348"/>
      <c r="T139" s="349">
        <f>T138/S138</f>
        <v>0.60574772578210023</v>
      </c>
      <c r="U139" s="350">
        <f>U138/S138</f>
        <v>0.21256919854144829</v>
      </c>
      <c r="V139" s="350">
        <f>V138/S138</f>
        <v>0</v>
      </c>
      <c r="W139" s="350">
        <f>W138/S138</f>
        <v>0</v>
      </c>
      <c r="X139" s="352">
        <f>X138/S138</f>
        <v>0.18168307567645151</v>
      </c>
      <c r="Y139" s="351">
        <f>Y138/S138</f>
        <v>0.398903360955217</v>
      </c>
      <c r="Z139" s="352">
        <f>Z138/S138</f>
        <v>0.41941356336833158</v>
      </c>
      <c r="AA139" s="591"/>
      <c r="AB139" s="523"/>
      <c r="AC139" s="524"/>
      <c r="AD139" s="524"/>
      <c r="AE139" s="356"/>
    </row>
    <row r="140" spans="1:31" x14ac:dyDescent="0.3">
      <c r="A140" s="243" t="s">
        <v>533</v>
      </c>
      <c r="B140" s="193"/>
      <c r="C140" s="193"/>
      <c r="D140" s="193"/>
      <c r="E140" s="193"/>
      <c r="F140" s="244"/>
      <c r="G140" s="193"/>
      <c r="H140" s="193"/>
      <c r="I140" s="2182">
        <f>I139/M139</f>
        <v>0.29464285714285715</v>
      </c>
      <c r="J140" s="2182">
        <f>J139/M139</f>
        <v>0.4732142857142857</v>
      </c>
      <c r="K140" s="2182">
        <f>K139/M139</f>
        <v>0.20535714285714285</v>
      </c>
      <c r="L140" s="2182">
        <f>L139/M139</f>
        <v>2.6785714285714284E-2</v>
      </c>
      <c r="M140" s="193"/>
      <c r="N140" s="246"/>
      <c r="O140" s="196"/>
      <c r="P140" s="246"/>
      <c r="Q140" s="194">
        <f>T138</f>
        <v>66681.8</v>
      </c>
      <c r="R140" s="247">
        <f>Q140/Q144</f>
        <v>0.60574772578210023</v>
      </c>
      <c r="T140" s="111"/>
      <c r="X140" s="248"/>
      <c r="Y140" s="357">
        <f>J126+I129+I130+I131</f>
        <v>42</v>
      </c>
      <c r="Z140" s="358">
        <f>I127+I128+I132+J132</f>
        <v>11</v>
      </c>
      <c r="AA140" s="4"/>
      <c r="AE140" s="303"/>
    </row>
    <row r="141" spans="1:31" x14ac:dyDescent="0.3">
      <c r="A141" s="251" t="s">
        <v>11</v>
      </c>
      <c r="B141" s="252"/>
      <c r="C141" s="252"/>
      <c r="D141" s="252"/>
      <c r="E141" s="252"/>
      <c r="F141" s="253"/>
      <c r="G141" s="252"/>
      <c r="H141" s="252"/>
      <c r="I141" s="254"/>
      <c r="J141" s="254"/>
      <c r="K141" s="254"/>
      <c r="L141" s="254"/>
      <c r="M141" s="252"/>
      <c r="N141" s="255"/>
      <c r="O141" s="256"/>
      <c r="P141" s="255"/>
      <c r="Q141" s="257">
        <f>U138</f>
        <v>23400.000000000004</v>
      </c>
      <c r="R141" s="262">
        <f>Q141/Q144</f>
        <v>0.21256919854144829</v>
      </c>
      <c r="S141" s="525">
        <f>Q138/M138</f>
        <v>1183.6752688172044</v>
      </c>
      <c r="T141" s="526" t="s">
        <v>535</v>
      </c>
      <c r="X141" s="169"/>
      <c r="Y141" s="195">
        <f>Y140/M139</f>
        <v>0.375</v>
      </c>
      <c r="Z141" s="247">
        <f>Z140/M139</f>
        <v>9.8214285714285712E-2</v>
      </c>
    </row>
    <row r="142" spans="1:31" x14ac:dyDescent="0.3">
      <c r="A142" s="251" t="s">
        <v>528</v>
      </c>
      <c r="B142" s="252"/>
      <c r="C142" s="252"/>
      <c r="D142" s="252"/>
      <c r="E142" s="252"/>
      <c r="F142" s="253"/>
      <c r="G142" s="252"/>
      <c r="H142" s="252"/>
      <c r="I142" s="254"/>
      <c r="J142" s="254"/>
      <c r="K142" s="254"/>
      <c r="L142" s="254"/>
      <c r="M142" s="252"/>
      <c r="N142" s="255"/>
      <c r="O142" s="256"/>
      <c r="P142" s="255"/>
      <c r="Q142" s="257"/>
      <c r="R142" s="262">
        <f>Q142/Q138</f>
        <v>0</v>
      </c>
      <c r="T142" s="111"/>
      <c r="U142" s="263"/>
      <c r="W142" s="99"/>
      <c r="X142" s="263"/>
      <c r="Y142" s="2386" t="s">
        <v>537</v>
      </c>
      <c r="Z142" s="2387"/>
    </row>
    <row r="143" spans="1:31" x14ac:dyDescent="0.3">
      <c r="A143" s="251" t="s">
        <v>529</v>
      </c>
      <c r="B143" s="252"/>
      <c r="C143" s="252"/>
      <c r="D143" s="252"/>
      <c r="E143" s="252"/>
      <c r="F143" s="253"/>
      <c r="G143" s="252"/>
      <c r="H143" s="252"/>
      <c r="I143" s="254"/>
      <c r="J143" s="254"/>
      <c r="K143" s="254"/>
      <c r="L143" s="254"/>
      <c r="M143" s="252"/>
      <c r="N143" s="255"/>
      <c r="O143" s="256"/>
      <c r="P143" s="255"/>
      <c r="Q143" s="257">
        <f>Q136</f>
        <v>20000</v>
      </c>
      <c r="R143" s="262">
        <f>Q143/Q144</f>
        <v>0.18168307567645151</v>
      </c>
      <c r="S143" s="600"/>
    </row>
    <row r="144" spans="1:31" x14ac:dyDescent="0.3">
      <c r="A144" s="243"/>
      <c r="B144" s="193"/>
      <c r="C144" s="193"/>
      <c r="D144" s="193"/>
      <c r="E144" s="193"/>
      <c r="F144" s="244"/>
      <c r="G144" s="193"/>
      <c r="H144" s="193"/>
      <c r="I144" s="245"/>
      <c r="J144" s="245"/>
      <c r="K144" s="245"/>
      <c r="L144" s="245"/>
      <c r="M144" s="193"/>
      <c r="N144" s="246"/>
      <c r="O144" s="196"/>
      <c r="P144" s="246"/>
      <c r="Q144" s="194">
        <f>SUM(Q140:Q143)</f>
        <v>110081.8</v>
      </c>
      <c r="R144" s="247">
        <f>SUM(R140:R143)</f>
        <v>1</v>
      </c>
    </row>
    <row r="148" spans="1:31" x14ac:dyDescent="0.3">
      <c r="E148" s="1" t="s">
        <v>562</v>
      </c>
      <c r="F148" s="2" t="s">
        <v>702</v>
      </c>
    </row>
    <row r="149" spans="1:31" x14ac:dyDescent="0.3">
      <c r="E149" s="1" t="s">
        <v>473</v>
      </c>
      <c r="F149" s="2" t="s">
        <v>703</v>
      </c>
    </row>
    <row r="150" spans="1:31" x14ac:dyDescent="0.3">
      <c r="E150" s="1" t="s">
        <v>475</v>
      </c>
      <c r="F150" s="2" t="s">
        <v>704</v>
      </c>
    </row>
    <row r="151" spans="1:31" ht="18" x14ac:dyDescent="0.35">
      <c r="A151" s="118" t="s">
        <v>554</v>
      </c>
      <c r="E151" s="1" t="s">
        <v>477</v>
      </c>
      <c r="F151" s="2" t="s">
        <v>705</v>
      </c>
    </row>
    <row r="153" spans="1:31" x14ac:dyDescent="0.3">
      <c r="A153" s="2335" t="s">
        <v>480</v>
      </c>
      <c r="B153" s="2336"/>
      <c r="C153" s="2336"/>
      <c r="D153" s="2336"/>
      <c r="E153" s="2336"/>
      <c r="F153" s="2336"/>
      <c r="G153" s="2336"/>
      <c r="H153" s="2336"/>
      <c r="I153" s="2336"/>
      <c r="J153" s="2336"/>
      <c r="K153" s="2336"/>
      <c r="L153" s="2336"/>
      <c r="M153" s="2336"/>
      <c r="N153" s="2336"/>
      <c r="O153" s="2336"/>
      <c r="P153" s="2336"/>
      <c r="Q153" s="2336"/>
      <c r="R153" s="2337"/>
      <c r="S153" s="2400" t="s">
        <v>584</v>
      </c>
      <c r="T153" s="2401"/>
      <c r="U153" s="2401"/>
      <c r="V153" s="2401"/>
      <c r="W153" s="2401"/>
      <c r="X153" s="2401"/>
      <c r="Y153" s="2401"/>
      <c r="Z153" s="2401"/>
      <c r="AA153" s="2401"/>
      <c r="AB153" s="2401"/>
      <c r="AC153" s="2401"/>
      <c r="AD153" s="2401"/>
      <c r="AE153" s="2402"/>
    </row>
    <row r="154" spans="1:31" ht="18" x14ac:dyDescent="0.35">
      <c r="A154" s="2227" t="s">
        <v>482</v>
      </c>
      <c r="B154" s="2215" t="s">
        <v>483</v>
      </c>
      <c r="C154" s="2215" t="s">
        <v>484</v>
      </c>
      <c r="D154" s="2215" t="s">
        <v>555</v>
      </c>
      <c r="E154" s="2215" t="s">
        <v>556</v>
      </c>
      <c r="F154" s="2213" t="s">
        <v>487</v>
      </c>
      <c r="G154" s="2215" t="s">
        <v>557</v>
      </c>
      <c r="H154" s="2215" t="s">
        <v>489</v>
      </c>
      <c r="I154" s="2217" t="s">
        <v>490</v>
      </c>
      <c r="J154" s="373"/>
      <c r="K154" s="373"/>
      <c r="L154" s="2218"/>
      <c r="M154" s="374" t="s">
        <v>491</v>
      </c>
      <c r="N154" s="375" t="s">
        <v>558</v>
      </c>
      <c r="O154" s="376" t="s">
        <v>493</v>
      </c>
      <c r="P154" s="375" t="s">
        <v>558</v>
      </c>
      <c r="Q154" s="375" t="s">
        <v>559</v>
      </c>
      <c r="R154" s="2327" t="s">
        <v>495</v>
      </c>
      <c r="S154" s="703" t="s">
        <v>496</v>
      </c>
      <c r="T154" s="2388" t="s">
        <v>497</v>
      </c>
      <c r="U154" s="2389"/>
      <c r="V154" s="2389"/>
      <c r="W154" s="2389"/>
      <c r="X154" s="2390"/>
      <c r="Y154" s="2394" t="s">
        <v>498</v>
      </c>
      <c r="Z154" s="2395"/>
      <c r="AA154" s="2394" t="s">
        <v>499</v>
      </c>
      <c r="AB154" s="2398"/>
      <c r="AC154" s="2398"/>
      <c r="AD154" s="2398"/>
      <c r="AE154" s="2395"/>
    </row>
    <row r="155" spans="1:31" ht="18" x14ac:dyDescent="0.35">
      <c r="A155" s="2341"/>
      <c r="B155" s="2326"/>
      <c r="C155" s="2326"/>
      <c r="D155" s="2326"/>
      <c r="E155" s="2326"/>
      <c r="F155" s="2342"/>
      <c r="G155" s="2326"/>
      <c r="H155" s="2326"/>
      <c r="I155" s="536" t="s">
        <v>500</v>
      </c>
      <c r="J155" s="536" t="s">
        <v>501</v>
      </c>
      <c r="K155" s="536" t="s">
        <v>502</v>
      </c>
      <c r="L155" s="536" t="s">
        <v>503</v>
      </c>
      <c r="M155" s="537" t="s">
        <v>504</v>
      </c>
      <c r="N155" s="538" t="s">
        <v>505</v>
      </c>
      <c r="O155" s="539" t="s">
        <v>506</v>
      </c>
      <c r="P155" s="538" t="s">
        <v>507</v>
      </c>
      <c r="Q155" s="538" t="s">
        <v>560</v>
      </c>
      <c r="R155" s="2328"/>
      <c r="S155" s="704" t="s">
        <v>508</v>
      </c>
      <c r="T155" s="2391"/>
      <c r="U155" s="2392"/>
      <c r="V155" s="2392"/>
      <c r="W155" s="2392"/>
      <c r="X155" s="2393"/>
      <c r="Y155" s="2396"/>
      <c r="Z155" s="2397"/>
      <c r="AA155" s="2396"/>
      <c r="AB155" s="2399"/>
      <c r="AC155" s="2399"/>
      <c r="AD155" s="2399"/>
      <c r="AE155" s="2397"/>
    </row>
    <row r="156" spans="1:31" ht="18" x14ac:dyDescent="0.35">
      <c r="A156" s="2323" t="s">
        <v>568</v>
      </c>
      <c r="B156" s="2324"/>
      <c r="C156" s="2324"/>
      <c r="D156" s="2324"/>
      <c r="E156" s="2324"/>
      <c r="F156" s="2324"/>
      <c r="G156" s="2324"/>
      <c r="H156" s="2324"/>
      <c r="I156" s="2324"/>
      <c r="J156" s="2324"/>
      <c r="K156" s="2324"/>
      <c r="L156" s="2324"/>
      <c r="M156" s="2324"/>
      <c r="N156" s="2324"/>
      <c r="O156" s="2324"/>
      <c r="P156" s="2324"/>
      <c r="Q156" s="2324"/>
      <c r="R156" s="2324"/>
      <c r="S156" s="559"/>
      <c r="T156" s="596" t="s">
        <v>510</v>
      </c>
      <c r="U156" s="561" t="s">
        <v>11</v>
      </c>
      <c r="V156" s="561" t="s">
        <v>511</v>
      </c>
      <c r="W156" s="561" t="s">
        <v>512</v>
      </c>
      <c r="X156" s="561" t="s">
        <v>513</v>
      </c>
      <c r="Y156" s="563" t="s">
        <v>514</v>
      </c>
      <c r="Z156" s="562" t="s">
        <v>515</v>
      </c>
      <c r="AA156" s="563" t="s">
        <v>693</v>
      </c>
      <c r="AB156" s="561" t="s">
        <v>96</v>
      </c>
      <c r="AC156" s="561" t="s">
        <v>97</v>
      </c>
      <c r="AD156" s="561" t="s">
        <v>98</v>
      </c>
      <c r="AE156" s="562" t="s">
        <v>5</v>
      </c>
    </row>
    <row r="157" spans="1:31" x14ac:dyDescent="0.3">
      <c r="A157" s="154"/>
      <c r="B157" s="462"/>
      <c r="C157" s="462"/>
      <c r="D157" s="462"/>
      <c r="E157" s="462"/>
      <c r="F157" s="463"/>
      <c r="G157" s="462"/>
      <c r="H157" s="462"/>
      <c r="I157" s="465"/>
      <c r="J157" s="465"/>
      <c r="K157" s="465"/>
      <c r="L157" s="465"/>
      <c r="M157" s="462"/>
      <c r="N157" s="468"/>
      <c r="O157" s="469"/>
      <c r="P157" s="468"/>
      <c r="Q157" s="468"/>
      <c r="R157" s="532"/>
      <c r="S157" s="149"/>
      <c r="Y157" s="280"/>
      <c r="Z157" s="152"/>
      <c r="AA157" s="280"/>
      <c r="AE157" s="152"/>
    </row>
    <row r="158" spans="1:31" x14ac:dyDescent="0.3">
      <c r="A158" s="157" t="s">
        <v>694</v>
      </c>
      <c r="B158" s="157" t="s">
        <v>101</v>
      </c>
      <c r="C158" s="157" t="s">
        <v>696</v>
      </c>
      <c r="D158" s="157" t="s">
        <v>26</v>
      </c>
      <c r="E158" s="157" t="s">
        <v>697</v>
      </c>
      <c r="F158" s="158" t="s">
        <v>589</v>
      </c>
      <c r="G158" s="157">
        <v>1</v>
      </c>
      <c r="H158" s="157" t="s">
        <v>24</v>
      </c>
      <c r="I158" s="182">
        <v>1</v>
      </c>
      <c r="J158" s="183"/>
      <c r="K158" s="183"/>
      <c r="L158" s="2239"/>
      <c r="M158" s="163">
        <v>1</v>
      </c>
      <c r="N158" s="503">
        <v>12690</v>
      </c>
      <c r="O158" s="173">
        <v>0.18</v>
      </c>
      <c r="P158" s="503">
        <f t="shared" ref="P158:P161" si="21">N158*(1-O158)</f>
        <v>10405.800000000001</v>
      </c>
      <c r="Q158" s="503">
        <f t="shared" ref="Q158:Q161" si="22">P158*M158*G158</f>
        <v>10405.800000000001</v>
      </c>
      <c r="R158" s="167">
        <f>Q158/$Q$168</f>
        <v>0.18331559921359164</v>
      </c>
      <c r="S158" s="168">
        <f>Q158*4</f>
        <v>41623.200000000004</v>
      </c>
      <c r="T158" s="169">
        <f>S158</f>
        <v>41623.200000000004</v>
      </c>
      <c r="U158" s="169"/>
      <c r="V158" s="169"/>
      <c r="W158" s="169"/>
      <c r="X158" s="169"/>
      <c r="Y158" s="282"/>
      <c r="Z158" s="171">
        <f>S158</f>
        <v>41623.200000000004</v>
      </c>
      <c r="AA158" s="280"/>
      <c r="AB158" s="169">
        <f>S158</f>
        <v>41623.200000000004</v>
      </c>
      <c r="AE158" s="152"/>
    </row>
    <row r="159" spans="1:31" x14ac:dyDescent="0.3">
      <c r="A159" s="157" t="s">
        <v>694</v>
      </c>
      <c r="B159" s="157" t="s">
        <v>104</v>
      </c>
      <c r="C159" s="157" t="s">
        <v>696</v>
      </c>
      <c r="D159" s="157" t="s">
        <v>105</v>
      </c>
      <c r="E159" s="157" t="s">
        <v>697</v>
      </c>
      <c r="F159" s="158" t="s">
        <v>521</v>
      </c>
      <c r="G159" s="157">
        <v>6</v>
      </c>
      <c r="H159" s="157" t="s">
        <v>106</v>
      </c>
      <c r="I159" s="175">
        <v>6</v>
      </c>
      <c r="J159" s="688"/>
      <c r="L159" s="286"/>
      <c r="M159" s="163">
        <v>1</v>
      </c>
      <c r="N159" s="166">
        <v>1872</v>
      </c>
      <c r="O159" s="173">
        <v>0.2</v>
      </c>
      <c r="P159" s="166">
        <f t="shared" si="21"/>
        <v>1497.6000000000001</v>
      </c>
      <c r="Q159" s="166">
        <f t="shared" si="22"/>
        <v>8985.6</v>
      </c>
      <c r="R159" s="167">
        <f t="shared" ref="R159:R161" si="23">Q159/$Q$168</f>
        <v>0.15829639703757989</v>
      </c>
      <c r="S159" s="168">
        <f t="shared" ref="S159:S161" si="24">Q159*4</f>
        <v>35942.400000000001</v>
      </c>
      <c r="T159" s="169">
        <f>S159</f>
        <v>35942.400000000001</v>
      </c>
      <c r="U159" s="169"/>
      <c r="Y159" s="282"/>
      <c r="Z159" s="171">
        <f>S159</f>
        <v>35942.400000000001</v>
      </c>
      <c r="AA159" s="280"/>
      <c r="AC159" s="169">
        <f>S159</f>
        <v>35942.400000000001</v>
      </c>
      <c r="AE159" s="152"/>
    </row>
    <row r="160" spans="1:31" x14ac:dyDescent="0.3">
      <c r="A160" s="157" t="s">
        <v>694</v>
      </c>
      <c r="B160" s="157" t="s">
        <v>104</v>
      </c>
      <c r="C160" s="157" t="s">
        <v>696</v>
      </c>
      <c r="D160" s="157" t="s">
        <v>102</v>
      </c>
      <c r="E160" s="157" t="s">
        <v>518</v>
      </c>
      <c r="F160" s="158" t="s">
        <v>588</v>
      </c>
      <c r="G160" s="157">
        <v>2</v>
      </c>
      <c r="H160" s="157" t="s">
        <v>24</v>
      </c>
      <c r="I160" s="182">
        <v>2</v>
      </c>
      <c r="J160" s="183"/>
      <c r="K160" s="183"/>
      <c r="L160" s="2239"/>
      <c r="M160" s="163">
        <v>1</v>
      </c>
      <c r="N160" s="166">
        <v>6920</v>
      </c>
      <c r="O160" s="173">
        <v>0.2</v>
      </c>
      <c r="P160" s="166">
        <f t="shared" si="21"/>
        <v>5536</v>
      </c>
      <c r="Q160" s="166">
        <f t="shared" si="22"/>
        <v>11072</v>
      </c>
      <c r="R160" s="178">
        <f t="shared" si="23"/>
        <v>0.19505182825855641</v>
      </c>
      <c r="S160" s="168">
        <f t="shared" si="24"/>
        <v>44288</v>
      </c>
      <c r="T160" s="169">
        <f>S160</f>
        <v>44288</v>
      </c>
      <c r="Y160" s="282">
        <f>S160</f>
        <v>44288</v>
      </c>
      <c r="Z160" s="171"/>
      <c r="AA160" s="280"/>
      <c r="AC160" s="169">
        <f>S160</f>
        <v>44288</v>
      </c>
      <c r="AE160" s="152"/>
    </row>
    <row r="161" spans="1:31" x14ac:dyDescent="0.3">
      <c r="A161" s="157" t="s">
        <v>694</v>
      </c>
      <c r="B161" s="157" t="s">
        <v>108</v>
      </c>
      <c r="C161" s="157" t="s">
        <v>695</v>
      </c>
      <c r="D161" s="157" t="s">
        <v>100</v>
      </c>
      <c r="E161" s="157" t="s">
        <v>697</v>
      </c>
      <c r="F161" s="158" t="s">
        <v>655</v>
      </c>
      <c r="G161" s="157">
        <v>1</v>
      </c>
      <c r="H161" s="157" t="s">
        <v>22</v>
      </c>
      <c r="I161" s="285">
        <v>15</v>
      </c>
      <c r="J161" s="285">
        <v>15</v>
      </c>
      <c r="L161" s="286"/>
      <c r="M161" s="163">
        <v>2</v>
      </c>
      <c r="N161" s="166">
        <f>5590*3</f>
        <v>16770</v>
      </c>
      <c r="O161" s="173">
        <v>0.35</v>
      </c>
      <c r="P161" s="166">
        <f t="shared" si="21"/>
        <v>10900.5</v>
      </c>
      <c r="Q161" s="166">
        <f t="shared" si="22"/>
        <v>21801</v>
      </c>
      <c r="R161" s="167">
        <f t="shared" si="23"/>
        <v>0.3840611369097533</v>
      </c>
      <c r="S161" s="168">
        <f t="shared" si="24"/>
        <v>87204</v>
      </c>
      <c r="T161" s="169"/>
      <c r="U161" s="169">
        <f>S161</f>
        <v>87204</v>
      </c>
      <c r="Y161" s="282"/>
      <c r="Z161" s="171">
        <f>S161</f>
        <v>87204</v>
      </c>
      <c r="AA161" s="280"/>
      <c r="AE161" s="171">
        <f>S161</f>
        <v>87204</v>
      </c>
    </row>
    <row r="162" spans="1:31" x14ac:dyDescent="0.3">
      <c r="A162" s="157"/>
      <c r="B162" s="157"/>
      <c r="C162" s="157"/>
      <c r="D162" s="157"/>
      <c r="E162" s="157"/>
      <c r="F162" s="158"/>
      <c r="G162" s="157"/>
      <c r="H162" s="157"/>
      <c r="I162" s="188"/>
      <c r="L162" s="286"/>
      <c r="M162" s="163"/>
      <c r="N162" s="166"/>
      <c r="O162" s="173"/>
      <c r="P162" s="166"/>
      <c r="Q162" s="166"/>
      <c r="R162" s="167"/>
      <c r="S162" s="168"/>
      <c r="T162" s="169"/>
      <c r="Y162" s="282"/>
      <c r="Z162" s="152"/>
      <c r="AA162" s="280"/>
      <c r="AE162" s="152"/>
    </row>
    <row r="163" spans="1:31" x14ac:dyDescent="0.3">
      <c r="A163" s="157"/>
      <c r="B163" s="157"/>
      <c r="C163" s="157"/>
      <c r="D163" s="157"/>
      <c r="E163" s="157"/>
      <c r="F163" s="158"/>
      <c r="G163" s="157"/>
      <c r="H163" s="157"/>
      <c r="I163" s="188"/>
      <c r="L163" s="286"/>
      <c r="M163" s="163"/>
      <c r="N163" s="166"/>
      <c r="O163" s="173"/>
      <c r="P163" s="166"/>
      <c r="Q163" s="166"/>
      <c r="R163" s="167"/>
      <c r="S163" s="168"/>
      <c r="T163" s="169"/>
      <c r="Y163" s="282"/>
      <c r="Z163" s="152"/>
      <c r="AA163" s="280"/>
      <c r="AE163" s="152"/>
    </row>
    <row r="164" spans="1:31" x14ac:dyDescent="0.3">
      <c r="A164" s="172"/>
      <c r="B164" s="157"/>
      <c r="C164" s="157"/>
      <c r="D164" s="157"/>
      <c r="E164" s="157"/>
      <c r="F164" s="158"/>
      <c r="G164" s="157"/>
      <c r="H164" s="157"/>
      <c r="I164" s="243"/>
      <c r="J164" s="245"/>
      <c r="K164" s="245"/>
      <c r="L164" s="287"/>
      <c r="M164" s="163"/>
      <c r="N164" s="166"/>
      <c r="O164" s="173"/>
      <c r="P164" s="166"/>
      <c r="Q164" s="166"/>
      <c r="R164" s="393"/>
      <c r="S164" s="168"/>
      <c r="Y164" s="280"/>
      <c r="Z164" s="152"/>
      <c r="AA164" s="280"/>
      <c r="AE164" s="152"/>
    </row>
    <row r="165" spans="1:31" x14ac:dyDescent="0.3">
      <c r="A165" s="108" t="s">
        <v>694</v>
      </c>
      <c r="B165" s="108" t="s">
        <v>528</v>
      </c>
      <c r="C165" s="289"/>
      <c r="D165" s="252"/>
      <c r="E165" s="252"/>
      <c r="F165" s="253"/>
      <c r="G165" s="252"/>
      <c r="H165" s="252"/>
      <c r="I165" s="254"/>
      <c r="J165" s="254"/>
      <c r="K165" s="254"/>
      <c r="L165" s="254"/>
      <c r="M165" s="252"/>
      <c r="N165" s="255"/>
      <c r="O165" s="256"/>
      <c r="P165" s="290"/>
      <c r="Q165" s="257"/>
      <c r="R165" s="291"/>
      <c r="S165" s="168"/>
      <c r="W165" s="169">
        <f>S165</f>
        <v>0</v>
      </c>
      <c r="Y165" s="280"/>
      <c r="Z165" s="152"/>
      <c r="AA165" s="280"/>
      <c r="AE165" s="152"/>
    </row>
    <row r="166" spans="1:31" x14ac:dyDescent="0.3">
      <c r="A166" s="108" t="s">
        <v>694</v>
      </c>
      <c r="B166" s="108" t="s">
        <v>529</v>
      </c>
      <c r="C166" s="289"/>
      <c r="D166" s="252"/>
      <c r="E166" s="252"/>
      <c r="F166" s="253"/>
      <c r="G166" s="252"/>
      <c r="H166" s="252"/>
      <c r="I166" s="254"/>
      <c r="J166" s="254"/>
      <c r="K166" s="254"/>
      <c r="L166" s="254"/>
      <c r="M166" s="252"/>
      <c r="N166" s="255"/>
      <c r="O166" s="256"/>
      <c r="P166" s="290"/>
      <c r="Q166" s="257">
        <v>4500</v>
      </c>
      <c r="R166" s="291">
        <f>Q166/Q168</f>
        <v>7.9275038580518778E-2</v>
      </c>
      <c r="S166" s="168">
        <f>Q166*4</f>
        <v>18000</v>
      </c>
      <c r="X166" s="169">
        <f>S166</f>
        <v>18000</v>
      </c>
      <c r="Y166" s="280"/>
      <c r="Z166" s="152"/>
      <c r="AA166" s="280"/>
      <c r="AE166" s="152"/>
    </row>
    <row r="167" spans="1:31" x14ac:dyDescent="0.3">
      <c r="I167" s="115">
        <f>I168/M168</f>
        <v>0.61538461538461542</v>
      </c>
      <c r="J167" s="115">
        <f>J168/M168</f>
        <v>0.38461538461538464</v>
      </c>
      <c r="S167" s="325"/>
      <c r="Y167" s="368"/>
      <c r="Z167" s="210"/>
      <c r="AA167" s="368"/>
      <c r="AB167" s="208"/>
      <c r="AC167" s="208"/>
      <c r="AD167" s="208"/>
      <c r="AE167" s="210"/>
    </row>
    <row r="168" spans="1:31" x14ac:dyDescent="0.3">
      <c r="A168" s="396" t="s">
        <v>531</v>
      </c>
      <c r="B168" s="373"/>
      <c r="C168" s="373"/>
      <c r="D168" s="373"/>
      <c r="E168" s="373"/>
      <c r="F168" s="397"/>
      <c r="G168" s="373"/>
      <c r="H168" s="373"/>
      <c r="I168" s="705">
        <f>I161+I160+I159+I158</f>
        <v>24</v>
      </c>
      <c r="J168" s="705">
        <f>J161</f>
        <v>15</v>
      </c>
      <c r="K168" s="705"/>
      <c r="L168" s="705"/>
      <c r="M168" s="373">
        <f>SUM(I168:L168)</f>
        <v>39</v>
      </c>
      <c r="N168" s="398"/>
      <c r="O168" s="399"/>
      <c r="P168" s="398"/>
      <c r="Q168" s="400">
        <f>SUM(Q157:Q167)</f>
        <v>56764.4</v>
      </c>
      <c r="R168" s="401">
        <f>SUM(R157:R166)</f>
        <v>1</v>
      </c>
      <c r="S168" s="402">
        <f>SUM(S156:S167)</f>
        <v>227057.6</v>
      </c>
      <c r="T168" s="403">
        <f>SUM(T156:T167)</f>
        <v>121853.6</v>
      </c>
      <c r="U168" s="404">
        <f>SUM(U156:U167)</f>
        <v>87204</v>
      </c>
      <c r="V168" s="404">
        <f>SUM(V156:V163)</f>
        <v>0</v>
      </c>
      <c r="W168" s="404">
        <f>SUM(W156:W163)</f>
        <v>0</v>
      </c>
      <c r="X168" s="405">
        <f>SUM(X155:X167)</f>
        <v>18000</v>
      </c>
      <c r="Y168" s="406">
        <f>SUM(Y156:Y163)</f>
        <v>44288</v>
      </c>
      <c r="Z168" s="405">
        <f>SUM(Z156:Z166)</f>
        <v>164769.60000000001</v>
      </c>
      <c r="AA168" s="706">
        <f>SUM(AA155:AA167)</f>
        <v>0</v>
      </c>
      <c r="AB168" s="545">
        <f>SUM(AB155:AB167)</f>
        <v>41623.200000000004</v>
      </c>
      <c r="AC168" s="545">
        <f>SUM(AC155:AC167)</f>
        <v>80230.399999999994</v>
      </c>
      <c r="AD168" s="545">
        <f>SUM(AD155:AD167)</f>
        <v>0</v>
      </c>
      <c r="AE168" s="623">
        <f>SUM(AE155:AE167)</f>
        <v>87204</v>
      </c>
    </row>
    <row r="169" spans="1:31" x14ac:dyDescent="0.3">
      <c r="A169" s="410" t="s">
        <v>532</v>
      </c>
      <c r="B169" s="411"/>
      <c r="C169" s="411"/>
      <c r="D169" s="411"/>
      <c r="E169" s="411"/>
      <c r="F169" s="412"/>
      <c r="G169" s="411"/>
      <c r="H169" s="411"/>
      <c r="I169" s="707">
        <f>I161+I160+I159+I158</f>
        <v>24</v>
      </c>
      <c r="J169" s="707">
        <f>J161+I160+I159+I158</f>
        <v>24</v>
      </c>
      <c r="K169" s="707">
        <f>I160+I158</f>
        <v>3</v>
      </c>
      <c r="L169" s="707">
        <f>I160+I158</f>
        <v>3</v>
      </c>
      <c r="M169" s="411">
        <f>SUM(I169:L169)</f>
        <v>54</v>
      </c>
      <c r="N169" s="413"/>
      <c r="O169" s="414"/>
      <c r="P169" s="413"/>
      <c r="Q169" s="413"/>
      <c r="R169" s="415"/>
      <c r="S169" s="416"/>
      <c r="T169" s="417">
        <f>T168/S168</f>
        <v>0.53666382450972794</v>
      </c>
      <c r="U169" s="418">
        <f>U168/S168</f>
        <v>0.3840611369097533</v>
      </c>
      <c r="V169" s="418">
        <f>V168/S168</f>
        <v>0</v>
      </c>
      <c r="W169" s="418">
        <f>W168/S168</f>
        <v>0</v>
      </c>
      <c r="X169" s="419">
        <f>X168/S168</f>
        <v>7.9275038580518778E-2</v>
      </c>
      <c r="Y169" s="420">
        <f>Y168/S168</f>
        <v>0.19505182825855641</v>
      </c>
      <c r="Z169" s="419">
        <f>Z168/S168</f>
        <v>0.72567313316092485</v>
      </c>
      <c r="AA169" s="599"/>
      <c r="AB169" s="549"/>
      <c r="AC169" s="550"/>
      <c r="AD169" s="550"/>
      <c r="AE169" s="424"/>
    </row>
    <row r="170" spans="1:31" x14ac:dyDescent="0.3">
      <c r="A170" s="243" t="s">
        <v>533</v>
      </c>
      <c r="B170" s="193"/>
      <c r="C170" s="193"/>
      <c r="D170" s="193"/>
      <c r="E170" s="193"/>
      <c r="F170" s="244"/>
      <c r="G170" s="193"/>
      <c r="H170" s="193"/>
      <c r="I170" s="2182">
        <f>I169/M169</f>
        <v>0.44444444444444442</v>
      </c>
      <c r="J170" s="2182">
        <f>J169/M169</f>
        <v>0.44444444444444442</v>
      </c>
      <c r="K170" s="2182">
        <f>K169/M169</f>
        <v>5.5555555555555552E-2</v>
      </c>
      <c r="L170" s="2182">
        <f>L169/M169</f>
        <v>5.5555555555555552E-2</v>
      </c>
      <c r="M170" s="193"/>
      <c r="N170" s="246"/>
      <c r="O170" s="196"/>
      <c r="P170" s="246"/>
      <c r="Q170" s="194">
        <f>T168/4</f>
        <v>30463.4</v>
      </c>
      <c r="R170" s="247">
        <f>Q170/Q174</f>
        <v>0.53666382450972794</v>
      </c>
      <c r="X170" s="248"/>
      <c r="Y170" s="357">
        <f>I160</f>
        <v>2</v>
      </c>
      <c r="Z170" s="358">
        <f>I158+I159+J161</f>
        <v>22</v>
      </c>
      <c r="AA170" s="4"/>
    </row>
    <row r="171" spans="1:31" x14ac:dyDescent="0.3">
      <c r="A171" s="251" t="s">
        <v>11</v>
      </c>
      <c r="B171" s="252"/>
      <c r="C171" s="252"/>
      <c r="D171" s="252"/>
      <c r="E171" s="252"/>
      <c r="F171" s="253"/>
      <c r="G171" s="252"/>
      <c r="H171" s="252"/>
      <c r="I171" s="254"/>
      <c r="J171" s="254"/>
      <c r="K171" s="254"/>
      <c r="L171" s="254"/>
      <c r="M171" s="252"/>
      <c r="N171" s="255"/>
      <c r="O171" s="256"/>
      <c r="P171" s="255"/>
      <c r="Q171" s="257">
        <f>U168/4</f>
        <v>21801</v>
      </c>
      <c r="R171" s="262">
        <f>Q171/Q174</f>
        <v>0.3840611369097533</v>
      </c>
      <c r="S171" s="551">
        <f>Q168/M168</f>
        <v>1455.4974358974359</v>
      </c>
      <c r="T171" s="426" t="s">
        <v>535</v>
      </c>
      <c r="Y171" s="195">
        <f>Y170/M168</f>
        <v>5.128205128205128E-2</v>
      </c>
      <c r="Z171" s="247">
        <f>Z170/M168</f>
        <v>0.5641025641025641</v>
      </c>
    </row>
    <row r="172" spans="1:31" x14ac:dyDescent="0.3">
      <c r="A172" s="251" t="s">
        <v>528</v>
      </c>
      <c r="B172" s="252"/>
      <c r="C172" s="252"/>
      <c r="D172" s="252"/>
      <c r="E172" s="252"/>
      <c r="F172" s="253"/>
      <c r="G172" s="252"/>
      <c r="H172" s="252"/>
      <c r="I172" s="254"/>
      <c r="J172" s="254"/>
      <c r="K172" s="254"/>
      <c r="L172" s="254"/>
      <c r="M172" s="252"/>
      <c r="N172" s="255"/>
      <c r="O172" s="256"/>
      <c r="P172" s="255"/>
      <c r="Q172" s="257">
        <f>Q165</f>
        <v>0</v>
      </c>
      <c r="R172" s="262">
        <f>Q172/Q168</f>
        <v>0</v>
      </c>
      <c r="W172" s="99"/>
      <c r="Y172" s="2386" t="s">
        <v>537</v>
      </c>
      <c r="Z172" s="2387"/>
    </row>
    <row r="173" spans="1:31" x14ac:dyDescent="0.3">
      <c r="A173" s="251" t="s">
        <v>529</v>
      </c>
      <c r="B173" s="252"/>
      <c r="C173" s="252"/>
      <c r="D173" s="252"/>
      <c r="E173" s="252"/>
      <c r="F173" s="253"/>
      <c r="G173" s="252"/>
      <c r="H173" s="252"/>
      <c r="I173" s="254"/>
      <c r="J173" s="254"/>
      <c r="K173" s="254"/>
      <c r="L173" s="254"/>
      <c r="M173" s="252"/>
      <c r="N173" s="255"/>
      <c r="O173" s="256"/>
      <c r="P173" s="255"/>
      <c r="Q173" s="257">
        <f>Q166</f>
        <v>4500</v>
      </c>
      <c r="R173" s="262">
        <f>Q173/Q174</f>
        <v>7.9275038580518778E-2</v>
      </c>
    </row>
    <row r="174" spans="1:31" x14ac:dyDescent="0.3">
      <c r="A174" s="243"/>
      <c r="B174" s="193"/>
      <c r="C174" s="193"/>
      <c r="D174" s="193"/>
      <c r="E174" s="193"/>
      <c r="F174" s="244"/>
      <c r="G174" s="193"/>
      <c r="H174" s="193"/>
      <c r="I174" s="245"/>
      <c r="J174" s="245"/>
      <c r="K174" s="245"/>
      <c r="L174" s="245"/>
      <c r="M174" s="193"/>
      <c r="N174" s="246"/>
      <c r="O174" s="196"/>
      <c r="P174" s="246"/>
      <c r="Q174" s="194">
        <f>SUM(Q170:Q173)</f>
        <v>56764.4</v>
      </c>
      <c r="R174" s="247">
        <f>SUM(R170:R173)</f>
        <v>1</v>
      </c>
      <c r="S174" s="600"/>
    </row>
    <row r="175" spans="1:31" x14ac:dyDescent="0.3">
      <c r="N175" s="5"/>
      <c r="O175" s="6"/>
      <c r="P175" s="5"/>
      <c r="Q175" s="5"/>
      <c r="R175" s="708"/>
      <c r="S175" s="701"/>
    </row>
    <row r="176" spans="1:31" x14ac:dyDescent="0.3">
      <c r="N176" s="5"/>
      <c r="O176" s="6"/>
      <c r="P176" s="5"/>
      <c r="Q176" s="5"/>
      <c r="R176" s="708"/>
      <c r="S176" s="701"/>
    </row>
    <row r="177" spans="1:31" x14ac:dyDescent="0.3">
      <c r="N177" s="5"/>
      <c r="O177" s="6"/>
      <c r="P177" s="5"/>
      <c r="Q177" s="246"/>
      <c r="R177" s="709"/>
      <c r="S177" s="701"/>
      <c r="Z177" s="448">
        <f>SUM(AA178:AE178)</f>
        <v>979826.8</v>
      </c>
      <c r="AA177" s="656" t="s">
        <v>693</v>
      </c>
      <c r="AB177" s="657" t="s">
        <v>96</v>
      </c>
      <c r="AC177" s="657" t="s">
        <v>97</v>
      </c>
      <c r="AD177" s="657" t="s">
        <v>98</v>
      </c>
      <c r="AE177" s="658" t="s">
        <v>5</v>
      </c>
    </row>
    <row r="178" spans="1:31" ht="18" x14ac:dyDescent="0.35">
      <c r="A178" s="430" t="s">
        <v>569</v>
      </c>
      <c r="B178" s="431"/>
      <c r="C178" s="431"/>
      <c r="D178" s="432"/>
      <c r="E178" s="432"/>
      <c r="F178" s="433"/>
      <c r="G178" s="432"/>
      <c r="H178" s="432"/>
      <c r="I178" s="434"/>
      <c r="J178" s="434"/>
      <c r="K178" s="434"/>
      <c r="L178" s="434"/>
      <c r="M178" s="431"/>
      <c r="N178" s="435"/>
      <c r="O178" s="436"/>
      <c r="P178" s="435"/>
      <c r="Q178" s="435"/>
      <c r="R178" s="436"/>
      <c r="S178" s="437">
        <f>S168+S138+S111+S75+S47</f>
        <v>1106826.8</v>
      </c>
      <c r="Z178" s="554" t="s">
        <v>601</v>
      </c>
      <c r="AA178" s="710">
        <f>AA168+AA138+AA111+AA75+AA47</f>
        <v>128700.00000000003</v>
      </c>
      <c r="AB178" s="711">
        <f t="shared" ref="AB178:AE178" si="25">AB168+AB138+AB111+AB75+AB47</f>
        <v>232554</v>
      </c>
      <c r="AC178" s="711">
        <f t="shared" si="25"/>
        <v>305676.80000000005</v>
      </c>
      <c r="AD178" s="711">
        <f t="shared" si="25"/>
        <v>80352</v>
      </c>
      <c r="AE178" s="712">
        <f t="shared" si="25"/>
        <v>232544</v>
      </c>
    </row>
    <row r="179" spans="1:31" x14ac:dyDescent="0.3">
      <c r="R179" s="3" t="s">
        <v>571</v>
      </c>
      <c r="S179" s="98">
        <f>D19-S178</f>
        <v>-21683.675000000047</v>
      </c>
      <c r="U179" s="111"/>
      <c r="Z179" s="554"/>
      <c r="AA179" s="554"/>
      <c r="AB179" s="554"/>
      <c r="AC179" s="554"/>
      <c r="AD179" s="554"/>
      <c r="AE179" s="554"/>
    </row>
    <row r="180" spans="1:31" x14ac:dyDescent="0.3">
      <c r="Q180" s="116"/>
      <c r="Z180" s="554"/>
      <c r="AA180" s="554"/>
      <c r="AB180" s="554"/>
      <c r="AC180" s="554"/>
      <c r="AD180" s="554"/>
      <c r="AE180" s="554"/>
    </row>
    <row r="181" spans="1:31" x14ac:dyDescent="0.3">
      <c r="A181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64"/>
  <sheetViews>
    <sheetView topLeftCell="A14" workbookViewId="0">
      <selection activeCell="H34" sqref="H34:H37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1166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386</v>
      </c>
      <c r="C2" t="s">
        <v>387</v>
      </c>
      <c r="D2" t="s">
        <v>388</v>
      </c>
      <c r="E2" s="1" t="s">
        <v>99</v>
      </c>
      <c r="F2" s="1" t="s">
        <v>100</v>
      </c>
      <c r="G2" s="2186">
        <v>2</v>
      </c>
      <c r="H2" s="2186">
        <f>VLOOKUP(G2,Pesos!A:B,2,0)</f>
        <v>0.8</v>
      </c>
      <c r="I2" s="1"/>
      <c r="J2" s="1" t="s">
        <v>305</v>
      </c>
      <c r="K2" s="1">
        <v>20</v>
      </c>
      <c r="L2" s="1">
        <v>20</v>
      </c>
      <c r="M2" s="1">
        <v>1</v>
      </c>
      <c r="N2" s="1" t="s">
        <v>22</v>
      </c>
      <c r="O2" s="1"/>
      <c r="P2" s="1">
        <v>20</v>
      </c>
      <c r="Q2" s="1">
        <v>20</v>
      </c>
      <c r="R2" s="1"/>
      <c r="S2" s="1">
        <v>2</v>
      </c>
      <c r="T2" s="7">
        <v>39000</v>
      </c>
      <c r="U2" s="24">
        <v>0.7</v>
      </c>
      <c r="V2" s="25">
        <f>T2*(1-U2)</f>
        <v>11700.000000000002</v>
      </c>
      <c r="W2" s="25">
        <f>V2*S2*M2</f>
        <v>23400.000000000004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386</v>
      </c>
      <c r="C3" t="s">
        <v>387</v>
      </c>
      <c r="D3" t="s">
        <v>388</v>
      </c>
      <c r="E3" s="1" t="s">
        <v>101</v>
      </c>
      <c r="F3" s="1" t="s">
        <v>26</v>
      </c>
      <c r="G3" s="2186">
        <v>5</v>
      </c>
      <c r="H3" s="2186">
        <f>VLOOKUP(G3,Pesos!A:B,2,0)</f>
        <v>0.5</v>
      </c>
      <c r="I3" s="1" t="s">
        <v>305</v>
      </c>
      <c r="K3" s="1">
        <v>2</v>
      </c>
      <c r="L3" s="1">
        <v>6</v>
      </c>
      <c r="M3" s="1">
        <v>2</v>
      </c>
      <c r="N3" s="1" t="s">
        <v>24</v>
      </c>
      <c r="O3" s="1">
        <v>2</v>
      </c>
      <c r="S3" s="1">
        <v>1</v>
      </c>
      <c r="T3" s="7">
        <v>12690</v>
      </c>
      <c r="U3" s="24">
        <v>0.18</v>
      </c>
      <c r="V3" s="26">
        <f>T3*(1-U3)</f>
        <v>10405.800000000001</v>
      </c>
      <c r="W3" s="26">
        <f>V3*S3*M3</f>
        <v>20811.600000000002</v>
      </c>
      <c r="X3" s="6"/>
      <c r="Y3" s="22"/>
      <c r="Z3" s="1"/>
    </row>
    <row r="4" spans="1:32" x14ac:dyDescent="0.3">
      <c r="A4" t="s">
        <v>327</v>
      </c>
      <c r="B4" t="s">
        <v>386</v>
      </c>
      <c r="C4" t="s">
        <v>387</v>
      </c>
      <c r="D4" t="s">
        <v>388</v>
      </c>
      <c r="E4" s="1" t="s">
        <v>101</v>
      </c>
      <c r="F4" s="1" t="s">
        <v>102</v>
      </c>
      <c r="G4" s="2186">
        <v>1</v>
      </c>
      <c r="H4" s="2186">
        <f>VLOOKUP(G4,Pesos!A:B,2,0)</f>
        <v>0.9</v>
      </c>
      <c r="I4" s="1" t="s">
        <v>305</v>
      </c>
      <c r="K4" s="1">
        <v>4</v>
      </c>
      <c r="L4" s="1">
        <v>8</v>
      </c>
      <c r="M4" s="1">
        <v>1</v>
      </c>
      <c r="N4" s="1" t="s">
        <v>24</v>
      </c>
      <c r="O4" s="1">
        <v>1</v>
      </c>
      <c r="S4" s="1">
        <v>1</v>
      </c>
      <c r="T4" s="7">
        <v>12700</v>
      </c>
      <c r="U4" s="24">
        <v>0.32</v>
      </c>
      <c r="V4" s="26">
        <f t="shared" ref="V4" si="0">T4*(1-U4)</f>
        <v>8636</v>
      </c>
      <c r="W4" s="26">
        <f>V4*S4*M4</f>
        <v>8636</v>
      </c>
      <c r="X4" s="6"/>
      <c r="Y4" s="22"/>
      <c r="Z4" s="1"/>
    </row>
    <row r="5" spans="1:32" x14ac:dyDescent="0.3">
      <c r="A5" t="s">
        <v>327</v>
      </c>
      <c r="B5" t="s">
        <v>386</v>
      </c>
      <c r="C5" t="s">
        <v>387</v>
      </c>
      <c r="D5" t="s">
        <v>388</v>
      </c>
      <c r="E5" s="1" t="s">
        <v>101</v>
      </c>
      <c r="F5" s="1" t="s">
        <v>103</v>
      </c>
      <c r="G5" s="2186">
        <v>3</v>
      </c>
      <c r="H5" s="2186">
        <f>VLOOKUP(G5,Pesos!A:B,2,0)</f>
        <v>0.7</v>
      </c>
      <c r="J5" s="1" t="s">
        <v>305</v>
      </c>
      <c r="K5" s="1">
        <v>1</v>
      </c>
      <c r="L5" s="2" t="s">
        <v>333</v>
      </c>
      <c r="M5" s="1">
        <v>1</v>
      </c>
      <c r="N5" s="1" t="s">
        <v>24</v>
      </c>
      <c r="O5" s="1">
        <v>1</v>
      </c>
      <c r="S5" s="1">
        <v>1</v>
      </c>
      <c r="T5" s="7">
        <v>21640</v>
      </c>
      <c r="U5" s="24">
        <v>0.19</v>
      </c>
      <c r="V5" s="26">
        <f>T5*(1-U5)</f>
        <v>17528.400000000001</v>
      </c>
      <c r="W5" s="26">
        <f>V5*S5*M5</f>
        <v>17528.400000000001</v>
      </c>
      <c r="X5" s="18"/>
      <c r="Y5" s="22"/>
      <c r="Z5" s="1"/>
    </row>
    <row r="6" spans="1:32" x14ac:dyDescent="0.3">
      <c r="A6" t="s">
        <v>327</v>
      </c>
      <c r="B6" t="s">
        <v>386</v>
      </c>
      <c r="C6" t="s">
        <v>387</v>
      </c>
      <c r="D6" t="s">
        <v>388</v>
      </c>
      <c r="E6" s="1" t="s">
        <v>104</v>
      </c>
      <c r="F6" s="1" t="s">
        <v>105</v>
      </c>
      <c r="G6" s="2186">
        <v>4</v>
      </c>
      <c r="H6" s="2186">
        <f>VLOOKUP(G6,Pesos!A:B,2,0)</f>
        <v>0.6</v>
      </c>
      <c r="I6" s="1" t="s">
        <v>305</v>
      </c>
      <c r="K6" s="1">
        <v>10</v>
      </c>
      <c r="L6" s="2" t="s">
        <v>51</v>
      </c>
      <c r="M6" s="1">
        <v>13</v>
      </c>
      <c r="N6" s="1" t="s">
        <v>106</v>
      </c>
      <c r="O6" s="1">
        <v>13</v>
      </c>
      <c r="S6" s="1">
        <v>1</v>
      </c>
      <c r="T6" s="5">
        <v>1872</v>
      </c>
      <c r="U6" s="24">
        <v>0.2</v>
      </c>
      <c r="V6" s="26">
        <f>T6*(1-U6)</f>
        <v>1497.6000000000001</v>
      </c>
      <c r="W6" s="26">
        <f>V6*S6*M6</f>
        <v>19468.800000000003</v>
      </c>
      <c r="X6" s="6"/>
      <c r="Y6" s="22"/>
      <c r="Z6" s="1"/>
    </row>
    <row r="7" spans="1:32" x14ac:dyDescent="0.3">
      <c r="A7" t="s">
        <v>327</v>
      </c>
      <c r="B7" t="s">
        <v>386</v>
      </c>
      <c r="C7" t="s">
        <v>387</v>
      </c>
      <c r="D7" t="s">
        <v>388</v>
      </c>
      <c r="E7" s="1" t="s">
        <v>104</v>
      </c>
      <c r="F7" s="1" t="s">
        <v>102</v>
      </c>
      <c r="G7" s="2186">
        <v>1</v>
      </c>
      <c r="H7" s="2186">
        <f>VLOOKUP(G7,Pesos!A:B,2,0)</f>
        <v>0.9</v>
      </c>
      <c r="J7" s="1" t="s">
        <v>305</v>
      </c>
      <c r="K7" s="1">
        <v>4</v>
      </c>
      <c r="L7" s="2" t="s">
        <v>330</v>
      </c>
      <c r="M7" s="1">
        <v>3</v>
      </c>
      <c r="N7" s="1" t="s">
        <v>24</v>
      </c>
      <c r="O7" s="1">
        <v>3</v>
      </c>
      <c r="S7" s="1">
        <v>1</v>
      </c>
      <c r="T7" s="5">
        <v>6920</v>
      </c>
      <c r="U7" s="24">
        <v>0.2</v>
      </c>
      <c r="V7" s="26">
        <f t="shared" ref="V7:V9" si="1">T7*(1-U7)</f>
        <v>5536</v>
      </c>
      <c r="W7" s="26">
        <f t="shared" ref="W7:W9" si="2">V7*S7*M7</f>
        <v>16608</v>
      </c>
      <c r="X7" s="6"/>
      <c r="Y7" s="22"/>
      <c r="Z7" s="1"/>
    </row>
    <row r="8" spans="1:32" x14ac:dyDescent="0.3">
      <c r="A8" t="s">
        <v>327</v>
      </c>
      <c r="B8" t="s">
        <v>386</v>
      </c>
      <c r="C8" t="s">
        <v>387</v>
      </c>
      <c r="D8" t="s">
        <v>388</v>
      </c>
      <c r="E8" s="1" t="s">
        <v>107</v>
      </c>
      <c r="F8" s="1" t="s">
        <v>102</v>
      </c>
      <c r="G8" s="2186">
        <v>1</v>
      </c>
      <c r="H8" s="2186">
        <f>VLOOKUP(G8,Pesos!A:B,2,0)</f>
        <v>0.9</v>
      </c>
      <c r="J8" s="1" t="s">
        <v>305</v>
      </c>
      <c r="K8" s="1">
        <v>4</v>
      </c>
      <c r="L8" s="2" t="s">
        <v>330</v>
      </c>
      <c r="M8" s="1">
        <v>2</v>
      </c>
      <c r="N8" s="1" t="s">
        <v>24</v>
      </c>
      <c r="O8" s="1">
        <v>2</v>
      </c>
      <c r="S8" s="1">
        <v>1</v>
      </c>
      <c r="T8" s="5">
        <v>7440</v>
      </c>
      <c r="U8" s="24">
        <v>0.1</v>
      </c>
      <c r="V8" s="26">
        <f t="shared" si="1"/>
        <v>6696</v>
      </c>
      <c r="W8" s="26">
        <f t="shared" si="2"/>
        <v>13392</v>
      </c>
      <c r="X8" s="6"/>
      <c r="Y8" s="22"/>
      <c r="Z8" s="1"/>
    </row>
    <row r="9" spans="1:32" x14ac:dyDescent="0.3">
      <c r="A9" t="s">
        <v>327</v>
      </c>
      <c r="B9" t="s">
        <v>386</v>
      </c>
      <c r="C9" t="s">
        <v>387</v>
      </c>
      <c r="D9" t="s">
        <v>388</v>
      </c>
      <c r="E9" s="1" t="s">
        <v>108</v>
      </c>
      <c r="F9" s="1" t="s">
        <v>100</v>
      </c>
      <c r="G9" s="2186">
        <v>2</v>
      </c>
      <c r="H9" s="2186">
        <f>VLOOKUP(G9,Pesos!A:B,2,0)</f>
        <v>0.8</v>
      </c>
      <c r="I9" s="1" t="s">
        <v>305</v>
      </c>
      <c r="K9" s="1">
        <v>15</v>
      </c>
      <c r="L9" s="2" t="s">
        <v>256</v>
      </c>
      <c r="M9" s="1">
        <v>1</v>
      </c>
      <c r="N9" s="1" t="s">
        <v>22</v>
      </c>
      <c r="O9" s="1">
        <v>15</v>
      </c>
      <c r="S9" s="1">
        <v>1</v>
      </c>
      <c r="T9" s="5">
        <f>5590*3</f>
        <v>16770</v>
      </c>
      <c r="U9" s="24">
        <v>0.35</v>
      </c>
      <c r="V9" s="26">
        <f t="shared" si="1"/>
        <v>10900.5</v>
      </c>
      <c r="W9" s="26">
        <f t="shared" si="2"/>
        <v>10900.5</v>
      </c>
      <c r="X9" s="6"/>
      <c r="Y9" s="22"/>
      <c r="Z9" s="1"/>
    </row>
    <row r="10" spans="1:32" x14ac:dyDescent="0.3">
      <c r="G10" s="2186"/>
      <c r="H10" s="2186"/>
      <c r="L10" s="2"/>
      <c r="M10" s="1"/>
      <c r="T10" s="5"/>
      <c r="U10" s="24"/>
      <c r="V10" s="26"/>
      <c r="W10" s="26"/>
      <c r="X10" s="6"/>
      <c r="Y10" s="22"/>
      <c r="Z10" s="1"/>
    </row>
    <row r="11" spans="1:32" x14ac:dyDescent="0.3">
      <c r="A11" t="s">
        <v>340</v>
      </c>
      <c r="B11" t="s">
        <v>386</v>
      </c>
      <c r="C11" t="s">
        <v>387</v>
      </c>
      <c r="D11" t="s">
        <v>388</v>
      </c>
      <c r="E11" s="1" t="s">
        <v>99</v>
      </c>
      <c r="F11" s="1" t="s">
        <v>100</v>
      </c>
      <c r="G11" s="2186">
        <v>1</v>
      </c>
      <c r="H11" s="2186">
        <f>VLOOKUP(G11,Pesos!A:B,2,0)</f>
        <v>0.9</v>
      </c>
      <c r="J11" s="1" t="s">
        <v>305</v>
      </c>
      <c r="K11" s="1">
        <v>20</v>
      </c>
      <c r="L11" s="2" t="s">
        <v>51</v>
      </c>
      <c r="M11" s="1">
        <v>1</v>
      </c>
      <c r="N11" s="1" t="s">
        <v>22</v>
      </c>
      <c r="P11" s="1">
        <v>20</v>
      </c>
      <c r="Q11" s="1">
        <v>20</v>
      </c>
      <c r="S11" s="1">
        <v>2</v>
      </c>
      <c r="T11" s="7">
        <v>39000</v>
      </c>
      <c r="U11" s="24">
        <v>0.7</v>
      </c>
      <c r="V11" s="26">
        <f t="shared" ref="V11:V13" si="3">T11*(1-U11)</f>
        <v>11700.000000000002</v>
      </c>
      <c r="W11" s="26">
        <f t="shared" ref="W11:W13" si="4">V11*S11*M11</f>
        <v>23400.000000000004</v>
      </c>
      <c r="X11" s="6"/>
      <c r="Y11" s="22"/>
      <c r="Z11" s="1"/>
    </row>
    <row r="12" spans="1:32" x14ac:dyDescent="0.3">
      <c r="A12" t="s">
        <v>340</v>
      </c>
      <c r="B12" t="s">
        <v>386</v>
      </c>
      <c r="C12" t="s">
        <v>387</v>
      </c>
      <c r="D12" t="s">
        <v>388</v>
      </c>
      <c r="E12" s="1" t="s">
        <v>101</v>
      </c>
      <c r="F12" s="1" t="s">
        <v>26</v>
      </c>
      <c r="G12" s="2186">
        <v>3</v>
      </c>
      <c r="H12" s="2186">
        <f>VLOOKUP(G12,Pesos!A:B,2,0)</f>
        <v>0.7</v>
      </c>
      <c r="I12" s="1" t="s">
        <v>305</v>
      </c>
      <c r="K12" s="1">
        <v>2</v>
      </c>
      <c r="L12" s="2" t="s">
        <v>346</v>
      </c>
      <c r="M12" s="1">
        <v>2</v>
      </c>
      <c r="N12" s="1" t="s">
        <v>24</v>
      </c>
      <c r="O12" s="1">
        <v>2</v>
      </c>
      <c r="S12" s="1">
        <v>1</v>
      </c>
      <c r="T12" s="7">
        <v>12690</v>
      </c>
      <c r="U12" s="24">
        <v>0.18</v>
      </c>
      <c r="V12" s="26">
        <f t="shared" si="3"/>
        <v>10405.800000000001</v>
      </c>
      <c r="W12" s="26">
        <f t="shared" si="4"/>
        <v>20811.600000000002</v>
      </c>
      <c r="X12" s="6"/>
      <c r="Y12" s="22"/>
      <c r="Z12" s="1"/>
    </row>
    <row r="13" spans="1:32" x14ac:dyDescent="0.3">
      <c r="A13" t="s">
        <v>340</v>
      </c>
      <c r="B13" t="s">
        <v>386</v>
      </c>
      <c r="C13" t="s">
        <v>387</v>
      </c>
      <c r="D13" t="s">
        <v>388</v>
      </c>
      <c r="E13" s="1" t="s">
        <v>101</v>
      </c>
      <c r="F13" s="1" t="s">
        <v>102</v>
      </c>
      <c r="G13" s="2186">
        <v>2</v>
      </c>
      <c r="H13" s="2186">
        <f>VLOOKUP(G13,Pesos!A:B,2,0)</f>
        <v>0.8</v>
      </c>
      <c r="J13" s="1" t="s">
        <v>305</v>
      </c>
      <c r="K13" s="1">
        <v>3</v>
      </c>
      <c r="L13" s="2" t="s">
        <v>354</v>
      </c>
      <c r="M13" s="1">
        <v>1</v>
      </c>
      <c r="N13" s="1" t="s">
        <v>24</v>
      </c>
      <c r="O13" s="1">
        <v>1</v>
      </c>
      <c r="S13" s="1">
        <v>1</v>
      </c>
      <c r="T13" s="7">
        <v>12700</v>
      </c>
      <c r="U13" s="24">
        <v>0.32</v>
      </c>
      <c r="V13" s="26">
        <f t="shared" si="3"/>
        <v>8636</v>
      </c>
      <c r="W13" s="26">
        <f t="shared" si="4"/>
        <v>8636</v>
      </c>
      <c r="X13" s="6"/>
      <c r="Y13" s="22"/>
      <c r="Z13" s="1"/>
    </row>
    <row r="14" spans="1:32" x14ac:dyDescent="0.3">
      <c r="A14" t="s">
        <v>340</v>
      </c>
      <c r="B14" t="s">
        <v>386</v>
      </c>
      <c r="C14" t="s">
        <v>387</v>
      </c>
      <c r="D14" t="s">
        <v>388</v>
      </c>
      <c r="E14" s="1" t="s">
        <v>104</v>
      </c>
      <c r="F14" s="1" t="s">
        <v>105</v>
      </c>
      <c r="G14" s="2186">
        <v>4</v>
      </c>
      <c r="H14" s="2186">
        <f>VLOOKUP(G14,Pesos!A:B,2,0)</f>
        <v>0.6</v>
      </c>
      <c r="I14" s="1" t="s">
        <v>305</v>
      </c>
      <c r="K14" s="1">
        <v>8</v>
      </c>
      <c r="L14" s="2" t="s">
        <v>52</v>
      </c>
      <c r="M14" s="1">
        <v>18</v>
      </c>
      <c r="N14" s="1" t="s">
        <v>106</v>
      </c>
      <c r="O14" s="1">
        <v>18</v>
      </c>
      <c r="S14" s="1">
        <v>1</v>
      </c>
      <c r="T14" s="5">
        <v>1872</v>
      </c>
      <c r="U14" s="24">
        <v>0.2</v>
      </c>
      <c r="V14" s="26">
        <f t="shared" ref="V14:V17" si="5">T14*(1-U14)</f>
        <v>1497.6000000000001</v>
      </c>
      <c r="W14" s="26">
        <f t="shared" ref="W14:W17" si="6">V14*S14*M14</f>
        <v>26956.800000000003</v>
      </c>
      <c r="X14" s="6"/>
      <c r="Y14" s="22"/>
      <c r="Z14" s="1"/>
    </row>
    <row r="15" spans="1:32" x14ac:dyDescent="0.3">
      <c r="A15" t="s">
        <v>340</v>
      </c>
      <c r="B15" t="s">
        <v>386</v>
      </c>
      <c r="C15" t="s">
        <v>387</v>
      </c>
      <c r="D15" t="s">
        <v>388</v>
      </c>
      <c r="E15" s="1" t="s">
        <v>104</v>
      </c>
      <c r="F15" s="1" t="s">
        <v>102</v>
      </c>
      <c r="G15" s="2186">
        <v>2</v>
      </c>
      <c r="H15" s="2186">
        <f>VLOOKUP(G15,Pesos!A:B,2,0)</f>
        <v>0.8</v>
      </c>
      <c r="J15" s="1" t="s">
        <v>305</v>
      </c>
      <c r="K15" s="1">
        <v>3</v>
      </c>
      <c r="L15" s="2" t="s">
        <v>354</v>
      </c>
      <c r="M15" s="1">
        <v>2</v>
      </c>
      <c r="N15" s="1" t="s">
        <v>24</v>
      </c>
      <c r="O15" s="1">
        <v>2</v>
      </c>
      <c r="S15" s="1">
        <v>1</v>
      </c>
      <c r="T15" s="5">
        <v>6920</v>
      </c>
      <c r="U15" s="24">
        <v>0.2</v>
      </c>
      <c r="V15" s="26">
        <f t="shared" si="5"/>
        <v>5536</v>
      </c>
      <c r="W15" s="26">
        <f t="shared" si="6"/>
        <v>11072</v>
      </c>
      <c r="X15" s="6"/>
      <c r="Y15" s="22"/>
      <c r="Z15" s="1"/>
    </row>
    <row r="16" spans="1:32" x14ac:dyDescent="0.3">
      <c r="A16" t="s">
        <v>340</v>
      </c>
      <c r="B16" t="s">
        <v>386</v>
      </c>
      <c r="C16" t="s">
        <v>387</v>
      </c>
      <c r="D16" t="s">
        <v>388</v>
      </c>
      <c r="E16" s="1" t="s">
        <v>107</v>
      </c>
      <c r="F16" s="1" t="s">
        <v>102</v>
      </c>
      <c r="G16" s="2186">
        <v>2</v>
      </c>
      <c r="H16" s="2186">
        <f>VLOOKUP(G16,Pesos!A:B,2,0)</f>
        <v>0.8</v>
      </c>
      <c r="J16" s="1" t="s">
        <v>305</v>
      </c>
      <c r="K16" s="1">
        <v>3</v>
      </c>
      <c r="L16" s="2" t="s">
        <v>354</v>
      </c>
      <c r="M16" s="1">
        <v>1</v>
      </c>
      <c r="N16" s="1" t="s">
        <v>24</v>
      </c>
      <c r="O16" s="1">
        <v>1</v>
      </c>
      <c r="S16" s="1">
        <v>1</v>
      </c>
      <c r="T16" s="5">
        <v>7440</v>
      </c>
      <c r="U16" s="24">
        <v>0.1</v>
      </c>
      <c r="V16" s="26">
        <f t="shared" si="5"/>
        <v>6696</v>
      </c>
      <c r="W16" s="26">
        <f t="shared" si="6"/>
        <v>6696</v>
      </c>
      <c r="X16" s="6"/>
      <c r="Y16" s="22"/>
      <c r="Z16" s="1"/>
    </row>
    <row r="17" spans="1:30" x14ac:dyDescent="0.3">
      <c r="A17" t="s">
        <v>340</v>
      </c>
      <c r="B17" t="s">
        <v>386</v>
      </c>
      <c r="C17" t="s">
        <v>387</v>
      </c>
      <c r="D17" t="s">
        <v>388</v>
      </c>
      <c r="E17" s="1" t="s">
        <v>108</v>
      </c>
      <c r="F17" s="1" t="s">
        <v>100</v>
      </c>
      <c r="G17" s="2186">
        <v>1</v>
      </c>
      <c r="H17" s="2186">
        <f>VLOOKUP(G17,Pesos!A:B,2,0)</f>
        <v>0.9</v>
      </c>
      <c r="I17" s="1" t="s">
        <v>305</v>
      </c>
      <c r="K17" s="1">
        <v>20</v>
      </c>
      <c r="L17" s="2" t="s">
        <v>51</v>
      </c>
      <c r="M17" s="1">
        <v>1</v>
      </c>
      <c r="N17" s="1" t="s">
        <v>22</v>
      </c>
      <c r="O17" s="1">
        <v>20</v>
      </c>
      <c r="P17" s="1">
        <v>20</v>
      </c>
      <c r="S17" s="1">
        <v>2</v>
      </c>
      <c r="T17" s="5">
        <f>5590*4</f>
        <v>22360</v>
      </c>
      <c r="U17" s="24">
        <v>0.35</v>
      </c>
      <c r="V17" s="26">
        <f t="shared" si="5"/>
        <v>14534</v>
      </c>
      <c r="W17" s="26">
        <f t="shared" si="6"/>
        <v>29068</v>
      </c>
      <c r="X17" s="6"/>
      <c r="Y17" s="22"/>
      <c r="Z17" s="1"/>
    </row>
    <row r="18" spans="1:30" x14ac:dyDescent="0.3">
      <c r="G18" s="2186"/>
      <c r="H18" s="2186"/>
      <c r="L18" s="2"/>
      <c r="M18" s="1"/>
      <c r="T18" s="9"/>
      <c r="U18" s="29"/>
      <c r="V18" s="26"/>
      <c r="W18" s="26"/>
      <c r="X18" s="6"/>
      <c r="Y18" s="22"/>
      <c r="Z18" s="1"/>
    </row>
    <row r="19" spans="1:30" x14ac:dyDescent="0.3">
      <c r="A19" t="s">
        <v>342</v>
      </c>
      <c r="B19" t="s">
        <v>386</v>
      </c>
      <c r="C19" t="s">
        <v>387</v>
      </c>
      <c r="D19" t="s">
        <v>388</v>
      </c>
      <c r="E19" s="1" t="s">
        <v>99</v>
      </c>
      <c r="F19" s="1" t="s">
        <v>100</v>
      </c>
      <c r="G19" s="2186">
        <v>2</v>
      </c>
      <c r="H19" s="2186">
        <f>VLOOKUP(G19,Pesos!A:B,2,0)</f>
        <v>0.8</v>
      </c>
      <c r="J19" s="1" t="s">
        <v>305</v>
      </c>
      <c r="K19" s="1">
        <v>20</v>
      </c>
      <c r="L19" s="1">
        <v>20</v>
      </c>
      <c r="M19" s="1">
        <v>1</v>
      </c>
      <c r="N19" s="1" t="s">
        <v>22</v>
      </c>
      <c r="P19" s="1">
        <v>20</v>
      </c>
      <c r="S19" s="1">
        <v>1</v>
      </c>
      <c r="T19" s="7">
        <v>39000</v>
      </c>
      <c r="U19" s="24">
        <v>0.7</v>
      </c>
      <c r="V19" s="25">
        <f>T19*(1-U19)</f>
        <v>11700.000000000002</v>
      </c>
      <c r="W19" s="25">
        <f>V19*S19*M19</f>
        <v>11700.000000000002</v>
      </c>
      <c r="X19" s="18"/>
    </row>
    <row r="20" spans="1:30" x14ac:dyDescent="0.3">
      <c r="A20" t="s">
        <v>342</v>
      </c>
      <c r="B20" t="s">
        <v>386</v>
      </c>
      <c r="C20" t="s">
        <v>387</v>
      </c>
      <c r="D20" t="s">
        <v>388</v>
      </c>
      <c r="E20" s="1" t="s">
        <v>101</v>
      </c>
      <c r="F20" s="1" t="s">
        <v>26</v>
      </c>
      <c r="G20" s="2186">
        <v>3</v>
      </c>
      <c r="H20" s="2186">
        <f>VLOOKUP(G20,Pesos!A:B,2,0)</f>
        <v>0.7</v>
      </c>
      <c r="I20" s="1" t="s">
        <v>305</v>
      </c>
      <c r="K20" s="1">
        <v>1</v>
      </c>
      <c r="L20" s="1">
        <v>3</v>
      </c>
      <c r="M20" s="1">
        <v>1</v>
      </c>
      <c r="N20" s="1" t="s">
        <v>24</v>
      </c>
      <c r="O20" s="1">
        <v>1</v>
      </c>
      <c r="S20" s="1">
        <v>1</v>
      </c>
      <c r="T20" s="7">
        <v>12690</v>
      </c>
      <c r="U20" s="24">
        <v>0.18</v>
      </c>
      <c r="V20" s="26">
        <f>T20*(1-U20)</f>
        <v>10405.800000000001</v>
      </c>
      <c r="W20" s="26">
        <f>V20*S20*M20</f>
        <v>10405.800000000001</v>
      </c>
      <c r="X20" s="6"/>
    </row>
    <row r="21" spans="1:30" x14ac:dyDescent="0.3">
      <c r="A21" t="s">
        <v>342</v>
      </c>
      <c r="B21" t="s">
        <v>386</v>
      </c>
      <c r="C21" t="s">
        <v>387</v>
      </c>
      <c r="D21" t="s">
        <v>388</v>
      </c>
      <c r="E21" s="1" t="s">
        <v>101</v>
      </c>
      <c r="F21" s="1" t="s">
        <v>102</v>
      </c>
      <c r="G21" s="2186">
        <v>1</v>
      </c>
      <c r="H21" s="2186">
        <f>VLOOKUP(G21,Pesos!A:B,2,0)</f>
        <v>0.9</v>
      </c>
      <c r="I21" s="1" t="s">
        <v>305</v>
      </c>
      <c r="J21" s="1"/>
      <c r="K21" s="1">
        <v>3</v>
      </c>
      <c r="L21" s="2" t="s">
        <v>354</v>
      </c>
      <c r="M21" s="1">
        <v>1</v>
      </c>
      <c r="N21" s="1" t="s">
        <v>24</v>
      </c>
      <c r="O21" s="1">
        <v>1</v>
      </c>
      <c r="P21" s="1"/>
      <c r="Q21" s="1"/>
      <c r="R21" s="1"/>
      <c r="S21" s="1">
        <v>1</v>
      </c>
      <c r="T21" s="7">
        <v>12700</v>
      </c>
      <c r="U21" s="24">
        <v>0.32</v>
      </c>
      <c r="V21" s="26">
        <f t="shared" ref="V21:V22" si="7">T21*(1-U21)</f>
        <v>8636</v>
      </c>
      <c r="W21" s="26">
        <f t="shared" ref="W21:W23" si="8">V21*S21*M21</f>
        <v>8636</v>
      </c>
      <c r="X21" s="6"/>
      <c r="AB21" s="1"/>
      <c r="AD21" s="1"/>
    </row>
    <row r="22" spans="1:30" x14ac:dyDescent="0.3">
      <c r="A22" t="s">
        <v>342</v>
      </c>
      <c r="B22" t="s">
        <v>386</v>
      </c>
      <c r="C22" t="s">
        <v>387</v>
      </c>
      <c r="D22" t="s">
        <v>388</v>
      </c>
      <c r="E22" s="1" t="s">
        <v>104</v>
      </c>
      <c r="F22" s="1" t="s">
        <v>105</v>
      </c>
      <c r="G22" s="2186">
        <v>4</v>
      </c>
      <c r="H22" s="2186">
        <f>VLOOKUP(G22,Pesos!A:B,2,0)</f>
        <v>0.6</v>
      </c>
      <c r="I22" s="1" t="s">
        <v>305</v>
      </c>
      <c r="J22" s="1"/>
      <c r="K22" s="1">
        <v>6</v>
      </c>
      <c r="L22" s="2" t="s">
        <v>331</v>
      </c>
      <c r="M22" s="1">
        <v>10</v>
      </c>
      <c r="N22" s="1" t="s">
        <v>106</v>
      </c>
      <c r="O22" s="1">
        <v>10</v>
      </c>
      <c r="P22" s="1"/>
      <c r="Q22" s="1"/>
      <c r="R22" s="1"/>
      <c r="S22" s="1">
        <v>1</v>
      </c>
      <c r="T22" s="5">
        <v>1872</v>
      </c>
      <c r="U22" s="24">
        <v>0.2</v>
      </c>
      <c r="V22" s="26">
        <f t="shared" si="7"/>
        <v>1497.6000000000001</v>
      </c>
      <c r="W22" s="26">
        <f t="shared" si="8"/>
        <v>14976.000000000002</v>
      </c>
      <c r="X22" s="6"/>
      <c r="AB22" s="1"/>
      <c r="AD22" s="1"/>
    </row>
    <row r="23" spans="1:30" x14ac:dyDescent="0.3">
      <c r="A23" t="s">
        <v>342</v>
      </c>
      <c r="B23" t="s">
        <v>386</v>
      </c>
      <c r="C23" t="s">
        <v>387</v>
      </c>
      <c r="D23" t="s">
        <v>388</v>
      </c>
      <c r="E23" s="1" t="s">
        <v>104</v>
      </c>
      <c r="F23" s="1" t="s">
        <v>102</v>
      </c>
      <c r="G23" s="2186">
        <v>1</v>
      </c>
      <c r="H23" s="2186">
        <f>VLOOKUP(G23,Pesos!A:B,2,0)</f>
        <v>0.9</v>
      </c>
      <c r="I23" s="1"/>
      <c r="J23" s="1" t="s">
        <v>305</v>
      </c>
      <c r="K23" s="1">
        <v>3</v>
      </c>
      <c r="L23" s="2" t="s">
        <v>354</v>
      </c>
      <c r="M23" s="1">
        <v>3</v>
      </c>
      <c r="N23" s="1" t="s">
        <v>24</v>
      </c>
      <c r="O23" s="1">
        <v>3</v>
      </c>
      <c r="P23" s="1"/>
      <c r="Q23" s="1"/>
      <c r="R23" s="1"/>
      <c r="S23" s="1">
        <v>1</v>
      </c>
      <c r="T23" s="5">
        <v>6920</v>
      </c>
      <c r="U23" s="24">
        <v>0.2</v>
      </c>
      <c r="V23" s="26">
        <f>T23*(1-U23)</f>
        <v>5536</v>
      </c>
      <c r="W23" s="26">
        <f t="shared" si="8"/>
        <v>16608</v>
      </c>
      <c r="X23" s="6"/>
      <c r="AB23" s="1"/>
      <c r="AD23" s="1"/>
    </row>
    <row r="24" spans="1:30" x14ac:dyDescent="0.3">
      <c r="A24" t="s">
        <v>342</v>
      </c>
      <c r="B24" t="s">
        <v>386</v>
      </c>
      <c r="C24" t="s">
        <v>387</v>
      </c>
      <c r="D24" t="s">
        <v>388</v>
      </c>
      <c r="E24" s="1" t="s">
        <v>107</v>
      </c>
      <c r="F24" s="1" t="s">
        <v>102</v>
      </c>
      <c r="G24" s="2186">
        <v>1</v>
      </c>
      <c r="H24" s="2186">
        <f>VLOOKUP(G24,Pesos!A:B,2,0)</f>
        <v>0.9</v>
      </c>
      <c r="I24" s="1"/>
      <c r="J24" s="1" t="s">
        <v>305</v>
      </c>
      <c r="K24" s="1">
        <v>3</v>
      </c>
      <c r="L24" s="2" t="s">
        <v>354</v>
      </c>
      <c r="M24" s="1">
        <v>2</v>
      </c>
      <c r="N24" s="1" t="s">
        <v>24</v>
      </c>
      <c r="O24" s="1">
        <v>2</v>
      </c>
      <c r="P24" s="1"/>
      <c r="Q24" s="1"/>
      <c r="R24" s="1"/>
      <c r="S24" s="1">
        <v>1</v>
      </c>
      <c r="T24" s="5">
        <v>7440</v>
      </c>
      <c r="U24" s="24">
        <v>0.1</v>
      </c>
      <c r="V24" s="26">
        <f>T24*(1-U24)</f>
        <v>6696</v>
      </c>
      <c r="W24" s="26">
        <f t="shared" ref="W24" si="9">V24*S24*M24</f>
        <v>13392</v>
      </c>
      <c r="X24" s="6"/>
      <c r="AB24" s="1"/>
      <c r="AD24" s="1"/>
    </row>
    <row r="25" spans="1:30" x14ac:dyDescent="0.3">
      <c r="A25" t="s">
        <v>342</v>
      </c>
      <c r="B25" t="s">
        <v>386</v>
      </c>
      <c r="C25" t="s">
        <v>387</v>
      </c>
      <c r="D25" t="s">
        <v>388</v>
      </c>
      <c r="E25" s="1" t="s">
        <v>108</v>
      </c>
      <c r="F25" s="1" t="s">
        <v>100</v>
      </c>
      <c r="G25" s="2186">
        <v>2</v>
      </c>
      <c r="H25" s="2186">
        <f>VLOOKUP(G25,Pesos!A:B,2,0)</f>
        <v>0.8</v>
      </c>
      <c r="I25" s="1" t="s">
        <v>305</v>
      </c>
      <c r="J25" s="1"/>
      <c r="K25" s="1">
        <v>15</v>
      </c>
      <c r="L25" s="1">
        <v>15</v>
      </c>
      <c r="M25" s="1">
        <v>1</v>
      </c>
      <c r="N25" s="1" t="s">
        <v>22</v>
      </c>
      <c r="O25" s="1">
        <v>15</v>
      </c>
      <c r="P25" s="1">
        <v>15</v>
      </c>
      <c r="Q25" s="1"/>
      <c r="R25" s="1"/>
      <c r="S25" s="1">
        <v>2</v>
      </c>
      <c r="T25" s="5">
        <f>5590*3</f>
        <v>16770</v>
      </c>
      <c r="U25" s="24">
        <v>0.35</v>
      </c>
      <c r="V25" s="26">
        <f t="shared" ref="V25:V30" si="10">T25*(1-U25)</f>
        <v>10900.5</v>
      </c>
      <c r="W25" s="26">
        <f t="shared" ref="W25:W30" si="11">V25*S25*M25</f>
        <v>21801</v>
      </c>
      <c r="X25" s="6"/>
      <c r="AB25" s="1"/>
      <c r="AD25" s="1"/>
    </row>
    <row r="26" spans="1:30" x14ac:dyDescent="0.3">
      <c r="E26" s="1"/>
      <c r="F26" s="1"/>
      <c r="G26" s="2186"/>
      <c r="H26" s="218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5"/>
      <c r="U26" s="24"/>
      <c r="V26" s="26"/>
      <c r="W26" s="26"/>
      <c r="X26" s="6"/>
      <c r="AB26" s="1"/>
      <c r="AD26" s="1"/>
    </row>
    <row r="27" spans="1:30" x14ac:dyDescent="0.3">
      <c r="A27" t="s">
        <v>343</v>
      </c>
      <c r="B27" t="s">
        <v>386</v>
      </c>
      <c r="C27" t="s">
        <v>387</v>
      </c>
      <c r="D27" t="s">
        <v>388</v>
      </c>
      <c r="E27" s="1" t="s">
        <v>99</v>
      </c>
      <c r="F27" s="1" t="s">
        <v>100</v>
      </c>
      <c r="G27" s="2186">
        <v>1</v>
      </c>
      <c r="H27" s="2186">
        <f>VLOOKUP(G27,Pesos!A:B,2,0)</f>
        <v>0.9</v>
      </c>
      <c r="I27" s="1"/>
      <c r="J27" s="1" t="s">
        <v>305</v>
      </c>
      <c r="K27" s="1">
        <v>20</v>
      </c>
      <c r="L27" s="1">
        <v>20</v>
      </c>
      <c r="M27" s="1">
        <v>1</v>
      </c>
      <c r="N27" s="1" t="s">
        <v>22</v>
      </c>
      <c r="O27" s="1"/>
      <c r="P27" s="1">
        <v>20</v>
      </c>
      <c r="Q27" s="1">
        <v>20</v>
      </c>
      <c r="R27" s="18"/>
      <c r="S27" s="1">
        <v>2</v>
      </c>
      <c r="T27" s="7">
        <v>39000</v>
      </c>
      <c r="U27" s="24">
        <v>0.7</v>
      </c>
      <c r="V27" s="26">
        <f t="shared" si="10"/>
        <v>11700.000000000002</v>
      </c>
      <c r="W27" s="26">
        <f t="shared" si="11"/>
        <v>23400.000000000004</v>
      </c>
      <c r="X27" s="6"/>
      <c r="AB27" s="1"/>
      <c r="AD27" s="1"/>
    </row>
    <row r="28" spans="1:30" x14ac:dyDescent="0.3">
      <c r="A28" t="s">
        <v>343</v>
      </c>
      <c r="B28" t="s">
        <v>386</v>
      </c>
      <c r="C28" t="s">
        <v>387</v>
      </c>
      <c r="D28" t="s">
        <v>388</v>
      </c>
      <c r="E28" s="1" t="s">
        <v>101</v>
      </c>
      <c r="F28" s="1" t="s">
        <v>26</v>
      </c>
      <c r="G28" s="2186">
        <v>3</v>
      </c>
      <c r="H28" s="2186">
        <f>VLOOKUP(G28,Pesos!A:B,2,0)</f>
        <v>0.7</v>
      </c>
      <c r="I28" s="1" t="s">
        <v>305</v>
      </c>
      <c r="J28" s="1"/>
      <c r="K28" s="1">
        <v>1</v>
      </c>
      <c r="L28" s="1">
        <v>3</v>
      </c>
      <c r="M28" s="1">
        <v>1</v>
      </c>
      <c r="N28" s="1" t="s">
        <v>24</v>
      </c>
      <c r="O28" s="1">
        <v>1</v>
      </c>
      <c r="P28" s="1"/>
      <c r="Q28" s="1"/>
      <c r="R28" s="6"/>
      <c r="S28" s="1">
        <v>1</v>
      </c>
      <c r="T28" s="7">
        <v>12690</v>
      </c>
      <c r="U28" s="24">
        <v>0.18</v>
      </c>
      <c r="V28" s="26">
        <f t="shared" si="10"/>
        <v>10405.800000000001</v>
      </c>
      <c r="W28" s="26">
        <f t="shared" si="11"/>
        <v>10405.800000000001</v>
      </c>
      <c r="X28" s="6"/>
      <c r="AB28" s="1"/>
      <c r="AD28" s="1"/>
    </row>
    <row r="29" spans="1:30" x14ac:dyDescent="0.3">
      <c r="A29" t="s">
        <v>343</v>
      </c>
      <c r="B29" t="s">
        <v>386</v>
      </c>
      <c r="C29" t="s">
        <v>387</v>
      </c>
      <c r="D29" t="s">
        <v>388</v>
      </c>
      <c r="E29" s="1" t="s">
        <v>104</v>
      </c>
      <c r="F29" s="1" t="s">
        <v>105</v>
      </c>
      <c r="G29" s="2186">
        <v>4</v>
      </c>
      <c r="H29" s="2186">
        <f>VLOOKUP(G29,Pesos!A:B,2,0)</f>
        <v>0.6</v>
      </c>
      <c r="I29" s="1" t="s">
        <v>305</v>
      </c>
      <c r="J29" s="1"/>
      <c r="K29" s="1">
        <v>6</v>
      </c>
      <c r="L29" s="1">
        <v>12</v>
      </c>
      <c r="M29" s="1">
        <v>10</v>
      </c>
      <c r="N29" s="1" t="s">
        <v>106</v>
      </c>
      <c r="O29" s="1">
        <v>10</v>
      </c>
      <c r="P29" s="1"/>
      <c r="Q29" s="1"/>
      <c r="R29" s="6"/>
      <c r="S29" s="1">
        <v>1</v>
      </c>
      <c r="T29" s="5">
        <v>1872</v>
      </c>
      <c r="U29" s="24">
        <v>0.2</v>
      </c>
      <c r="V29" s="26">
        <f t="shared" si="10"/>
        <v>1497.6000000000001</v>
      </c>
      <c r="W29" s="26">
        <f t="shared" si="11"/>
        <v>14976.000000000002</v>
      </c>
      <c r="X29" s="6"/>
      <c r="AB29" s="1"/>
      <c r="AD29" s="1"/>
    </row>
    <row r="30" spans="1:30" x14ac:dyDescent="0.3">
      <c r="A30" t="s">
        <v>343</v>
      </c>
      <c r="B30" t="s">
        <v>386</v>
      </c>
      <c r="C30" t="s">
        <v>387</v>
      </c>
      <c r="D30" t="s">
        <v>388</v>
      </c>
      <c r="E30" s="1" t="s">
        <v>104</v>
      </c>
      <c r="F30" s="1" t="s">
        <v>102</v>
      </c>
      <c r="G30" s="2186">
        <v>2</v>
      </c>
      <c r="H30" s="2186">
        <f>VLOOKUP(G30,Pesos!A:B,2,0)</f>
        <v>0.8</v>
      </c>
      <c r="I30" s="1"/>
      <c r="J30" s="1" t="s">
        <v>305</v>
      </c>
      <c r="K30" s="1">
        <v>3</v>
      </c>
      <c r="L30" s="1">
        <v>5</v>
      </c>
      <c r="M30" s="1">
        <v>1</v>
      </c>
      <c r="N30" s="1" t="s">
        <v>24</v>
      </c>
      <c r="O30" s="1">
        <v>1</v>
      </c>
      <c r="P30" s="1"/>
      <c r="Q30" s="1"/>
      <c r="R30" s="18"/>
      <c r="S30" s="1">
        <v>1</v>
      </c>
      <c r="T30" s="5">
        <v>6920</v>
      </c>
      <c r="U30" s="24">
        <v>0.2</v>
      </c>
      <c r="V30" s="26">
        <f t="shared" si="10"/>
        <v>5536</v>
      </c>
      <c r="W30" s="26">
        <f t="shared" si="11"/>
        <v>5536</v>
      </c>
      <c r="X30" s="6"/>
      <c r="AB30" s="1"/>
      <c r="AD30" s="1"/>
    </row>
    <row r="31" spans="1:30" x14ac:dyDescent="0.3">
      <c r="A31" t="s">
        <v>343</v>
      </c>
      <c r="B31" t="s">
        <v>386</v>
      </c>
      <c r="C31" t="s">
        <v>387</v>
      </c>
      <c r="D31" t="s">
        <v>388</v>
      </c>
      <c r="E31" s="1" t="s">
        <v>107</v>
      </c>
      <c r="F31" s="1" t="s">
        <v>102</v>
      </c>
      <c r="G31" s="2186">
        <v>2</v>
      </c>
      <c r="H31" s="2186">
        <f>VLOOKUP(G31,Pesos!A:B,2,0)</f>
        <v>0.8</v>
      </c>
      <c r="I31" s="1"/>
      <c r="J31" s="1" t="s">
        <v>305</v>
      </c>
      <c r="K31" s="1">
        <v>3</v>
      </c>
      <c r="L31" s="1">
        <v>5</v>
      </c>
      <c r="M31" s="1">
        <v>1</v>
      </c>
      <c r="N31" s="1" t="s">
        <v>24</v>
      </c>
      <c r="O31" s="1">
        <v>1</v>
      </c>
      <c r="P31" s="1"/>
      <c r="Q31" s="1"/>
      <c r="R31" s="18"/>
      <c r="S31" s="1">
        <v>1</v>
      </c>
      <c r="T31" s="5">
        <v>7440</v>
      </c>
      <c r="U31" s="24">
        <v>0.1</v>
      </c>
      <c r="V31" s="26">
        <f t="shared" ref="V31" si="12">T31*(1-U31)</f>
        <v>6696</v>
      </c>
      <c r="W31" s="26">
        <f t="shared" ref="W31" si="13">V31*S31*M31</f>
        <v>6696</v>
      </c>
      <c r="X31" s="6"/>
      <c r="AB31" s="1"/>
      <c r="AD31" s="1"/>
    </row>
    <row r="32" spans="1:30" x14ac:dyDescent="0.3">
      <c r="A32" t="s">
        <v>343</v>
      </c>
      <c r="B32" t="s">
        <v>386</v>
      </c>
      <c r="C32" t="s">
        <v>387</v>
      </c>
      <c r="D32" t="s">
        <v>388</v>
      </c>
      <c r="E32" s="1" t="s">
        <v>108</v>
      </c>
      <c r="F32" s="1" t="s">
        <v>100</v>
      </c>
      <c r="G32" s="2186">
        <v>1</v>
      </c>
      <c r="H32" s="2186">
        <f>VLOOKUP(G32,Pesos!A:B,2,0)</f>
        <v>0.9</v>
      </c>
      <c r="I32" s="1" t="s">
        <v>305</v>
      </c>
      <c r="J32" s="1"/>
      <c r="K32" s="2" t="s">
        <v>51</v>
      </c>
      <c r="L32" s="1">
        <v>20</v>
      </c>
      <c r="M32" s="1">
        <v>1</v>
      </c>
      <c r="N32" s="1" t="s">
        <v>22</v>
      </c>
      <c r="O32" s="1">
        <v>20</v>
      </c>
      <c r="P32" s="1">
        <v>20</v>
      </c>
      <c r="Q32" s="1"/>
      <c r="R32" s="1"/>
      <c r="S32" s="1">
        <v>2</v>
      </c>
      <c r="T32" s="5">
        <f>5590*4</f>
        <v>22360</v>
      </c>
      <c r="U32" s="24">
        <v>0.35</v>
      </c>
      <c r="V32" s="26">
        <f t="shared" ref="V32:V37" si="14">T32*(1-U32)</f>
        <v>14534</v>
      </c>
      <c r="W32" s="26">
        <f t="shared" ref="W32:W37" si="15">V32*S32*M32</f>
        <v>29068</v>
      </c>
      <c r="AB32" s="1"/>
      <c r="AD32" s="1"/>
    </row>
    <row r="33" spans="1:30" x14ac:dyDescent="0.3">
      <c r="E33" s="1"/>
      <c r="F33" s="1"/>
      <c r="G33" s="2186"/>
      <c r="H33" s="2186"/>
      <c r="I33" s="1"/>
      <c r="J33" s="1"/>
      <c r="K33" s="2"/>
      <c r="L33" s="1"/>
      <c r="M33" s="1"/>
      <c r="N33" s="1"/>
      <c r="O33" s="1"/>
      <c r="P33" s="1"/>
      <c r="Q33" s="1"/>
      <c r="R33" s="1"/>
      <c r="S33" s="1"/>
      <c r="T33" s="5"/>
      <c r="U33" s="24"/>
      <c r="V33" s="26"/>
      <c r="W33" s="26"/>
      <c r="AB33" s="1"/>
      <c r="AD33" s="1"/>
    </row>
    <row r="34" spans="1:30" x14ac:dyDescent="0.3">
      <c r="A34" t="s">
        <v>326</v>
      </c>
      <c r="B34" t="s">
        <v>386</v>
      </c>
      <c r="C34" t="s">
        <v>387</v>
      </c>
      <c r="D34" t="s">
        <v>388</v>
      </c>
      <c r="E34" s="1" t="s">
        <v>101</v>
      </c>
      <c r="F34" s="1" t="s">
        <v>26</v>
      </c>
      <c r="G34" s="2186">
        <v>4</v>
      </c>
      <c r="H34" s="2186">
        <f>VLOOKUP(G34,Pesos!A:B,2,0)</f>
        <v>0.6</v>
      </c>
      <c r="I34" s="1" t="s">
        <v>305</v>
      </c>
      <c r="J34" s="1"/>
      <c r="K34" s="2" t="s">
        <v>38</v>
      </c>
      <c r="L34" s="1">
        <v>2</v>
      </c>
      <c r="M34" s="1">
        <v>1</v>
      </c>
      <c r="N34" s="1" t="s">
        <v>24</v>
      </c>
      <c r="O34" s="1">
        <v>1</v>
      </c>
      <c r="P34" s="1"/>
      <c r="Q34" s="1"/>
      <c r="R34" s="1"/>
      <c r="S34" s="1">
        <v>1</v>
      </c>
      <c r="T34" s="7">
        <v>12690</v>
      </c>
      <c r="U34" s="24">
        <v>0.18</v>
      </c>
      <c r="V34" s="26">
        <f t="shared" si="14"/>
        <v>10405.800000000001</v>
      </c>
      <c r="W34" s="26">
        <f t="shared" si="15"/>
        <v>10405.800000000001</v>
      </c>
      <c r="AB34" s="1"/>
      <c r="AD34" s="1"/>
    </row>
    <row r="35" spans="1:30" x14ac:dyDescent="0.3">
      <c r="A35" t="s">
        <v>326</v>
      </c>
      <c r="B35" t="s">
        <v>386</v>
      </c>
      <c r="C35" t="s">
        <v>387</v>
      </c>
      <c r="D35" t="s">
        <v>388</v>
      </c>
      <c r="E35" s="1" t="s">
        <v>104</v>
      </c>
      <c r="F35" s="1" t="s">
        <v>105</v>
      </c>
      <c r="G35" s="2186">
        <v>3</v>
      </c>
      <c r="H35" s="2186">
        <f>VLOOKUP(G35,Pesos!A:B,2,0)</f>
        <v>0.7</v>
      </c>
      <c r="I35" s="1" t="s">
        <v>305</v>
      </c>
      <c r="J35" s="1"/>
      <c r="K35" s="2" t="s">
        <v>346</v>
      </c>
      <c r="L35" s="1">
        <v>8</v>
      </c>
      <c r="M35" s="1">
        <v>6</v>
      </c>
      <c r="N35" s="1" t="s">
        <v>106</v>
      </c>
      <c r="O35" s="1">
        <v>6</v>
      </c>
      <c r="P35" s="1"/>
      <c r="Q35" s="1"/>
      <c r="R35" s="1"/>
      <c r="S35" s="1">
        <v>1</v>
      </c>
      <c r="T35" s="5">
        <v>1872</v>
      </c>
      <c r="U35" s="24">
        <v>0.2</v>
      </c>
      <c r="V35" s="26">
        <f t="shared" si="14"/>
        <v>1497.6000000000001</v>
      </c>
      <c r="W35" s="26">
        <f t="shared" si="15"/>
        <v>8985.6</v>
      </c>
      <c r="AB35" s="1"/>
      <c r="AD35" s="1"/>
    </row>
    <row r="36" spans="1:30" x14ac:dyDescent="0.3">
      <c r="A36" t="s">
        <v>326</v>
      </c>
      <c r="B36" t="s">
        <v>386</v>
      </c>
      <c r="C36" t="s">
        <v>387</v>
      </c>
      <c r="D36" t="s">
        <v>388</v>
      </c>
      <c r="E36" s="1" t="s">
        <v>104</v>
      </c>
      <c r="F36" s="1" t="s">
        <v>102</v>
      </c>
      <c r="G36" s="2186">
        <v>2</v>
      </c>
      <c r="H36" s="2186">
        <f>VLOOKUP(G36,Pesos!A:B,2,0)</f>
        <v>0.8</v>
      </c>
      <c r="I36" s="1"/>
      <c r="J36" s="1" t="s">
        <v>305</v>
      </c>
      <c r="K36" s="2" t="s">
        <v>332</v>
      </c>
      <c r="L36" s="1">
        <v>4</v>
      </c>
      <c r="M36" s="1">
        <v>2</v>
      </c>
      <c r="N36" s="1" t="s">
        <v>24</v>
      </c>
      <c r="O36" s="1">
        <v>2</v>
      </c>
      <c r="P36" s="1"/>
      <c r="Q36" s="1"/>
      <c r="R36" s="1"/>
      <c r="S36" s="1">
        <v>1</v>
      </c>
      <c r="T36" s="5">
        <v>6920</v>
      </c>
      <c r="U36" s="24">
        <v>0.2</v>
      </c>
      <c r="V36" s="26">
        <f t="shared" si="14"/>
        <v>5536</v>
      </c>
      <c r="W36" s="26">
        <f t="shared" si="15"/>
        <v>11072</v>
      </c>
      <c r="X36" s="6"/>
      <c r="AB36" s="1"/>
      <c r="AD36" s="1"/>
    </row>
    <row r="37" spans="1:30" x14ac:dyDescent="0.3">
      <c r="A37" t="s">
        <v>326</v>
      </c>
      <c r="B37" t="s">
        <v>386</v>
      </c>
      <c r="C37" t="s">
        <v>387</v>
      </c>
      <c r="D37" t="s">
        <v>388</v>
      </c>
      <c r="E37" s="1" t="s">
        <v>108</v>
      </c>
      <c r="F37" s="1" t="s">
        <v>100</v>
      </c>
      <c r="G37" s="2186">
        <v>1</v>
      </c>
      <c r="H37" s="2186">
        <f>VLOOKUP(G37,Pesos!A:B,2,0)</f>
        <v>0.9</v>
      </c>
      <c r="I37" s="1" t="s">
        <v>305</v>
      </c>
      <c r="J37" s="1"/>
      <c r="K37" s="1">
        <v>15</v>
      </c>
      <c r="L37" s="1">
        <v>15</v>
      </c>
      <c r="M37" s="1">
        <v>1</v>
      </c>
      <c r="N37" s="1" t="s">
        <v>22</v>
      </c>
      <c r="O37" s="1">
        <v>15</v>
      </c>
      <c r="P37" s="1">
        <v>15</v>
      </c>
      <c r="Q37" s="1"/>
      <c r="R37" s="1"/>
      <c r="S37" s="1">
        <v>2</v>
      </c>
      <c r="T37" s="5">
        <f>5590*3</f>
        <v>16770</v>
      </c>
      <c r="U37" s="24">
        <v>0.35</v>
      </c>
      <c r="V37" s="26">
        <f t="shared" si="14"/>
        <v>10900.5</v>
      </c>
      <c r="W37" s="26">
        <f t="shared" si="15"/>
        <v>21801</v>
      </c>
      <c r="AB37" s="1"/>
      <c r="AD37" s="1"/>
    </row>
    <row r="38" spans="1:30" x14ac:dyDescent="0.3">
      <c r="E38" s="1"/>
      <c r="F38" s="1"/>
      <c r="G38" s="1"/>
      <c r="H38" s="1"/>
      <c r="I38" s="1"/>
      <c r="J38" s="1"/>
      <c r="K38" s="1"/>
      <c r="L38" s="1"/>
      <c r="M38" s="2"/>
      <c r="N38" s="1"/>
      <c r="O38" s="1"/>
      <c r="P38" s="1"/>
      <c r="Q38" s="1"/>
      <c r="R38" s="1"/>
      <c r="S38" s="1"/>
      <c r="U38" s="29"/>
      <c r="V38" s="26"/>
      <c r="W38" s="26"/>
      <c r="AB38" s="1"/>
      <c r="AD38" s="1"/>
    </row>
    <row r="39" spans="1:30" x14ac:dyDescent="0.3">
      <c r="E39" s="1"/>
      <c r="F39" s="1"/>
      <c r="G39" s="1"/>
      <c r="H39" s="1"/>
      <c r="I39" s="1"/>
      <c r="J39" s="1"/>
      <c r="K39" s="1"/>
      <c r="L39" s="1"/>
      <c r="M39" s="2"/>
      <c r="N39" s="1"/>
      <c r="O39" s="1"/>
      <c r="P39" s="1"/>
      <c r="Q39" s="1"/>
      <c r="R39" s="1"/>
      <c r="S39" s="1"/>
      <c r="T39" s="9"/>
      <c r="U39" s="29"/>
      <c r="V39" s="26"/>
      <c r="W39" s="26"/>
      <c r="AB39" s="1"/>
      <c r="AD39" s="1"/>
    </row>
    <row r="40" spans="1:30" x14ac:dyDescent="0.3">
      <c r="E40" s="1"/>
      <c r="F40" s="1"/>
      <c r="G40" s="1"/>
      <c r="H40" s="1"/>
      <c r="I40" s="1"/>
      <c r="J40" s="1"/>
      <c r="K40" s="1"/>
      <c r="L40" s="1"/>
      <c r="M40" s="2"/>
      <c r="N40" s="1"/>
      <c r="O40" s="1"/>
      <c r="P40" s="1"/>
      <c r="Q40" s="1"/>
      <c r="R40" s="1"/>
      <c r="S40" s="1"/>
      <c r="T40" s="9"/>
      <c r="U40" s="29"/>
      <c r="V40" s="26"/>
      <c r="W40" s="26"/>
      <c r="AB40" s="1"/>
      <c r="AD40" s="1"/>
    </row>
    <row r="42" spans="1:30" x14ac:dyDescent="0.3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5"/>
      <c r="U42" s="24"/>
      <c r="V42" s="26"/>
      <c r="W42" s="26"/>
      <c r="AB42" s="1"/>
      <c r="AD42" s="1"/>
    </row>
    <row r="43" spans="1:30" x14ac:dyDescent="0.3">
      <c r="A43" s="47"/>
      <c r="D43" s="43" t="s">
        <v>1158</v>
      </c>
      <c r="E43" s="43" t="s">
        <v>1159</v>
      </c>
      <c r="F43" s="43" t="s">
        <v>1160</v>
      </c>
      <c r="G43" s="4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5"/>
      <c r="U43" s="24"/>
      <c r="V43" s="26"/>
      <c r="W43" s="26"/>
      <c r="AB43" s="1"/>
      <c r="AD43" s="1"/>
    </row>
    <row r="44" spans="1:30" x14ac:dyDescent="0.3">
      <c r="A44" s="47" t="s">
        <v>1161</v>
      </c>
      <c r="B44" s="2174"/>
      <c r="C44" s="2174"/>
      <c r="D44" s="2181">
        <f>E44*(1-10%)</f>
        <v>1703.5164935064934</v>
      </c>
      <c r="E44" s="427">
        <f>VITORIA!S50</f>
        <v>1892.7961038961037</v>
      </c>
      <c r="F44" s="427">
        <f>E44*(1+15%)</f>
        <v>2176.7155194805191</v>
      </c>
      <c r="G44" s="42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5"/>
      <c r="U44" s="24"/>
      <c r="V44" s="26"/>
      <c r="W44" s="26"/>
      <c r="AB44" s="1"/>
      <c r="AD44" s="1"/>
    </row>
    <row r="45" spans="1:30" x14ac:dyDescent="0.3">
      <c r="A45" s="47" t="s">
        <v>1162</v>
      </c>
      <c r="B45" s="2174"/>
      <c r="C45" s="2174"/>
      <c r="D45" s="2181">
        <f>E45*(1-25%)</f>
        <v>1057.5028846153848</v>
      </c>
      <c r="E45" s="427">
        <f>VITORIA!S78</f>
        <v>1410.0038461538463</v>
      </c>
      <c r="F45" s="427">
        <f>E45*(1+5%)</f>
        <v>1480.5040384615388</v>
      </c>
      <c r="G45" s="42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5"/>
      <c r="U45" s="24"/>
      <c r="V45" s="26"/>
      <c r="W45" s="26"/>
      <c r="AB45" s="1"/>
      <c r="AD45" s="1"/>
    </row>
    <row r="46" spans="1:30" x14ac:dyDescent="0.3">
      <c r="A46" s="47" t="s">
        <v>550</v>
      </c>
      <c r="B46" s="2174"/>
      <c r="C46" s="2174"/>
      <c r="D46" s="2181">
        <f>E46*(1-15%)</f>
        <v>1402.1041791044777</v>
      </c>
      <c r="E46" s="427">
        <f>VITORIA!S114</f>
        <v>1649.534328358209</v>
      </c>
      <c r="F46" s="427">
        <f>E46*(1+15%)</f>
        <v>1896.9644776119403</v>
      </c>
      <c r="G46" s="42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5"/>
      <c r="U46" s="24"/>
      <c r="V46" s="26"/>
      <c r="W46" s="26"/>
      <c r="AB46" s="1"/>
      <c r="AD46" s="1"/>
    </row>
    <row r="47" spans="1:30" x14ac:dyDescent="0.3">
      <c r="A47" s="47" t="s">
        <v>679</v>
      </c>
      <c r="B47" s="2174"/>
      <c r="C47" s="2174"/>
      <c r="D47" s="2181">
        <f>E47*(1-25%)</f>
        <v>887.75645161290322</v>
      </c>
      <c r="E47" s="427">
        <f>VITORIA!S141</f>
        <v>1183.6752688172044</v>
      </c>
      <c r="F47" s="427">
        <f>E47*(1+5%)</f>
        <v>1242.8590322580646</v>
      </c>
      <c r="G47" s="42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5"/>
      <c r="U47" s="24"/>
      <c r="V47" s="26"/>
      <c r="W47" s="26"/>
      <c r="AB47" s="1"/>
      <c r="AD47" s="1"/>
    </row>
    <row r="48" spans="1:30" x14ac:dyDescent="0.3">
      <c r="A48" s="47" t="s">
        <v>568</v>
      </c>
      <c r="B48" s="2174"/>
      <c r="C48" s="2174"/>
      <c r="D48" s="2181">
        <f>E48*(1-25%)</f>
        <v>1091.623076923077</v>
      </c>
      <c r="E48" s="427">
        <f>VITORIA!S171</f>
        <v>1455.4974358974359</v>
      </c>
      <c r="F48" s="427">
        <f>E48*(1+5%)</f>
        <v>1528.2723076923078</v>
      </c>
      <c r="G48" s="42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5"/>
      <c r="U48" s="24"/>
      <c r="V48" s="26"/>
      <c r="W48" s="26"/>
      <c r="AB48" s="1"/>
      <c r="AD48" s="1"/>
    </row>
    <row r="49" spans="1:30" x14ac:dyDescent="0.3">
      <c r="A49" s="47"/>
      <c r="B49" s="47"/>
      <c r="C49" s="47"/>
      <c r="D49" s="4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5"/>
      <c r="U49" s="24"/>
      <c r="V49" s="26"/>
      <c r="W49" s="26"/>
      <c r="AB49" s="1"/>
      <c r="AD49" s="1"/>
    </row>
    <row r="50" spans="1:30" x14ac:dyDescent="0.3">
      <c r="A50" s="47"/>
      <c r="B50" s="46"/>
      <c r="C50" s="46"/>
      <c r="D50" s="2314" t="s">
        <v>1163</v>
      </c>
      <c r="E50" s="2315"/>
      <c r="F50" s="2315"/>
      <c r="G50" s="231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"/>
      <c r="U50" s="29"/>
      <c r="V50" s="26"/>
      <c r="W50" s="26"/>
      <c r="AB50" s="1"/>
      <c r="AD50" s="1"/>
    </row>
    <row r="51" spans="1:30" x14ac:dyDescent="0.3">
      <c r="A51" s="47" t="s">
        <v>1161</v>
      </c>
      <c r="B51" s="2175"/>
      <c r="C51" s="2175"/>
      <c r="D51" s="304">
        <v>0.48051948051948051</v>
      </c>
      <c r="E51" s="3">
        <v>0.25974025974025972</v>
      </c>
      <c r="F51" s="3">
        <v>0.25974025974025972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"/>
      <c r="U51" s="29"/>
      <c r="V51" s="26"/>
      <c r="W51" s="26"/>
      <c r="AB51" s="1"/>
      <c r="AD51" s="1"/>
    </row>
    <row r="52" spans="1:30" x14ac:dyDescent="0.3">
      <c r="A52" s="47" t="s">
        <v>1162</v>
      </c>
      <c r="B52" s="2175"/>
      <c r="C52" s="2175"/>
      <c r="D52" s="2175">
        <v>0.42307692307692307</v>
      </c>
      <c r="E52" s="304">
        <v>0.38461538461538464</v>
      </c>
      <c r="F52" s="304">
        <v>0.19230769230769232</v>
      </c>
      <c r="G52" s="30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"/>
      <c r="U52" s="29"/>
      <c r="V52" s="26"/>
      <c r="W52" s="26"/>
      <c r="AB52" s="1"/>
      <c r="AD52" s="1"/>
    </row>
    <row r="53" spans="1:30" x14ac:dyDescent="0.3">
      <c r="A53" s="47" t="s">
        <v>550</v>
      </c>
      <c r="B53" s="2175"/>
      <c r="C53" s="2175"/>
      <c r="D53" s="2175">
        <v>0.47761194029850745</v>
      </c>
      <c r="E53" s="304">
        <v>0.52238805970149249</v>
      </c>
      <c r="F53" s="304"/>
      <c r="G53" s="30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"/>
      <c r="U53" s="29"/>
      <c r="V53" s="26"/>
      <c r="W53" s="26"/>
      <c r="AB53" s="1"/>
      <c r="AD53" s="1"/>
    </row>
    <row r="54" spans="1:30" x14ac:dyDescent="0.3">
      <c r="A54" s="47" t="s">
        <v>679</v>
      </c>
      <c r="B54" s="2175"/>
      <c r="C54" s="2175"/>
      <c r="D54" s="2175">
        <v>0.35483870967741937</v>
      </c>
      <c r="E54" s="304">
        <v>0.43010752688172044</v>
      </c>
      <c r="F54" s="304">
        <v>0.21505376344086022</v>
      </c>
      <c r="G54" s="30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"/>
      <c r="U54" s="29"/>
      <c r="V54" s="26"/>
      <c r="W54" s="26"/>
      <c r="AB54" s="1"/>
      <c r="AD54" s="1"/>
    </row>
    <row r="55" spans="1:30" x14ac:dyDescent="0.3">
      <c r="A55" s="47" t="s">
        <v>568</v>
      </c>
      <c r="B55" s="47"/>
      <c r="C55" s="47"/>
      <c r="D55" s="2175">
        <v>0.61538461538461542</v>
      </c>
      <c r="E55" s="3">
        <v>0.38461538461538464</v>
      </c>
      <c r="F55" s="304"/>
    </row>
    <row r="56" spans="1:30" x14ac:dyDescent="0.3">
      <c r="A56" s="47"/>
      <c r="B56" s="47"/>
      <c r="C56" s="47"/>
      <c r="D56" s="4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5"/>
      <c r="U56" s="24"/>
      <c r="V56" s="26"/>
      <c r="W56" s="26"/>
      <c r="AB56" s="1"/>
      <c r="AD56" s="1"/>
    </row>
    <row r="57" spans="1:30" x14ac:dyDescent="0.3">
      <c r="A57" s="47"/>
      <c r="B57" s="47"/>
      <c r="C57" s="47"/>
      <c r="D57" s="4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5"/>
      <c r="U57" s="24"/>
      <c r="V57" s="26"/>
      <c r="W57" s="26"/>
      <c r="AB57" s="1"/>
      <c r="AD57" s="1"/>
    </row>
    <row r="58" spans="1:30" x14ac:dyDescent="0.3">
      <c r="A58" s="47"/>
      <c r="B58" s="47"/>
      <c r="C58" s="47"/>
      <c r="D58" s="4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5"/>
      <c r="U58" s="24"/>
      <c r="V58" s="26"/>
      <c r="W58" s="26"/>
      <c r="AB58" s="1"/>
      <c r="AD58" s="1"/>
    </row>
    <row r="59" spans="1:30" x14ac:dyDescent="0.3">
      <c r="A59" s="47"/>
      <c r="B59" s="46"/>
      <c r="C59" s="46"/>
      <c r="D59" s="2314" t="s">
        <v>1164</v>
      </c>
      <c r="E59" s="2315"/>
      <c r="F59" s="2315"/>
      <c r="G59" s="231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5"/>
      <c r="U59" s="24"/>
      <c r="V59" s="26"/>
      <c r="W59" s="26"/>
      <c r="AB59" s="1"/>
      <c r="AD59" s="1"/>
    </row>
    <row r="60" spans="1:30" x14ac:dyDescent="0.3">
      <c r="A60" s="47" t="s">
        <v>1161</v>
      </c>
      <c r="B60" s="2175"/>
      <c r="C60" s="2175"/>
      <c r="D60" s="2175">
        <v>0.31623931623931623</v>
      </c>
      <c r="E60" s="2175">
        <v>0.35897435897435898</v>
      </c>
      <c r="F60" s="2175">
        <v>0.24786324786324787</v>
      </c>
      <c r="G60" s="2175">
        <v>7.6923076923076927E-2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5"/>
      <c r="U60" s="24"/>
      <c r="V60" s="26"/>
      <c r="W60" s="26"/>
      <c r="AB60" s="1"/>
      <c r="AD60" s="1"/>
    </row>
    <row r="61" spans="1:30" x14ac:dyDescent="0.3">
      <c r="A61" s="47" t="s">
        <v>1162</v>
      </c>
      <c r="B61" s="6"/>
      <c r="C61" s="6"/>
      <c r="D61" s="6">
        <v>0.31428571428571428</v>
      </c>
      <c r="E61" s="2175">
        <v>0.45714285714285713</v>
      </c>
      <c r="F61" s="2175">
        <v>0.18571428571428572</v>
      </c>
      <c r="G61" s="2175">
        <v>4.2857142857142858E-2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5"/>
      <c r="U61" s="24"/>
      <c r="V61" s="26"/>
      <c r="W61" s="26"/>
      <c r="AB61" s="1"/>
      <c r="AD61" s="1"/>
    </row>
    <row r="62" spans="1:30" x14ac:dyDescent="0.3">
      <c r="A62" s="47" t="s">
        <v>550</v>
      </c>
      <c r="B62" s="2175"/>
      <c r="C62" s="2175"/>
      <c r="D62" s="2175">
        <v>0.32653061224489793</v>
      </c>
      <c r="E62" s="2175">
        <v>0.53061224489795922</v>
      </c>
      <c r="F62" s="2175">
        <v>0.14000000000000001</v>
      </c>
      <c r="G62" s="217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"/>
      <c r="U62" s="29"/>
      <c r="V62" s="26"/>
      <c r="W62" s="26"/>
      <c r="AB62" s="1"/>
      <c r="AD62" s="1"/>
    </row>
    <row r="63" spans="1:30" x14ac:dyDescent="0.3">
      <c r="A63" s="47" t="s">
        <v>679</v>
      </c>
      <c r="B63" s="2175"/>
      <c r="C63" s="2175"/>
      <c r="D63" s="6">
        <v>0.32</v>
      </c>
      <c r="E63" s="2175">
        <v>0.4732142857142857</v>
      </c>
      <c r="F63" s="2175">
        <v>0.20535714285714285</v>
      </c>
      <c r="G63" s="217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9"/>
      <c r="U63" s="29"/>
      <c r="V63" s="26"/>
      <c r="W63" s="26"/>
      <c r="AB63" s="1"/>
      <c r="AD63" s="1"/>
    </row>
    <row r="64" spans="1:30" x14ac:dyDescent="0.3">
      <c r="A64" s="47" t="s">
        <v>568</v>
      </c>
      <c r="B64" s="47"/>
      <c r="C64" s="47"/>
      <c r="D64" s="6">
        <v>0.44444444444444442</v>
      </c>
      <c r="E64" s="2175">
        <v>0.44444444444444442</v>
      </c>
      <c r="F64" s="2175">
        <v>0.11</v>
      </c>
      <c r="G64" s="217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9"/>
      <c r="U64" s="29"/>
      <c r="V64" s="26"/>
      <c r="W64" s="26"/>
      <c r="AB64" s="1"/>
      <c r="AD64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239"/>
  <sheetViews>
    <sheetView workbookViewId="0"/>
  </sheetViews>
  <sheetFormatPr defaultRowHeight="14.4" x14ac:dyDescent="0.3"/>
  <sheetData>
    <row r="1" spans="1:9" ht="21" x14ac:dyDescent="0.4">
      <c r="A1" s="92" t="s">
        <v>1189</v>
      </c>
    </row>
    <row r="2" spans="1:9" x14ac:dyDescent="0.3">
      <c r="A2" t="s">
        <v>452</v>
      </c>
    </row>
    <row r="4" spans="1:9" x14ac:dyDescent="0.3">
      <c r="B4" s="95"/>
    </row>
    <row r="5" spans="1:9" x14ac:dyDescent="0.3">
      <c r="B5" s="95"/>
    </row>
    <row r="6" spans="1:9" x14ac:dyDescent="0.3">
      <c r="B6" s="96"/>
      <c r="C6" s="97"/>
      <c r="F6" s="98"/>
      <c r="G6" s="98"/>
      <c r="H6" s="98"/>
      <c r="I6" s="99"/>
    </row>
    <row r="7" spans="1:9" x14ac:dyDescent="0.3">
      <c r="A7" s="100" t="s">
        <v>706</v>
      </c>
      <c r="B7" s="101">
        <v>15589668.000000006</v>
      </c>
      <c r="C7" s="102"/>
      <c r="F7" s="98"/>
      <c r="G7" s="98"/>
      <c r="H7" s="98"/>
      <c r="I7" s="99"/>
    </row>
    <row r="8" spans="1:9" x14ac:dyDescent="0.3">
      <c r="A8" s="100" t="s">
        <v>707</v>
      </c>
      <c r="B8" s="101">
        <v>25187774.079999998</v>
      </c>
      <c r="C8" s="97"/>
      <c r="F8" s="98"/>
      <c r="G8" s="98"/>
      <c r="H8" s="98"/>
      <c r="I8" s="99"/>
    </row>
    <row r="9" spans="1:9" x14ac:dyDescent="0.3">
      <c r="C9" s="97"/>
      <c r="F9" s="98"/>
      <c r="G9" s="98"/>
      <c r="H9" s="98"/>
      <c r="I9" s="99"/>
    </row>
    <row r="10" spans="1:9" x14ac:dyDescent="0.3">
      <c r="A10" s="103" t="s">
        <v>708</v>
      </c>
      <c r="B10" s="104">
        <v>25473992.375</v>
      </c>
      <c r="C10" s="105"/>
      <c r="F10" s="98"/>
      <c r="G10" s="98"/>
      <c r="H10" s="98"/>
      <c r="I10" s="99"/>
    </row>
    <row r="11" spans="1:9" x14ac:dyDescent="0.3">
      <c r="A11" s="100" t="s">
        <v>709</v>
      </c>
      <c r="B11" s="101">
        <v>39190757.5</v>
      </c>
      <c r="C11" s="3"/>
      <c r="F11" s="98"/>
      <c r="G11" s="98"/>
      <c r="H11" s="98"/>
      <c r="I11" s="99"/>
    </row>
    <row r="12" spans="1:9" x14ac:dyDescent="0.3">
      <c r="D12" s="713"/>
      <c r="E12" s="450"/>
      <c r="F12" s="98"/>
      <c r="G12" s="98"/>
      <c r="H12" s="98"/>
      <c r="I12" s="99"/>
    </row>
    <row r="13" spans="1:9" x14ac:dyDescent="0.3">
      <c r="F13" s="98"/>
      <c r="G13" s="98"/>
      <c r="H13" s="98"/>
      <c r="I13" s="99"/>
    </row>
    <row r="14" spans="1:9" x14ac:dyDescent="0.3">
      <c r="A14" s="4" t="s">
        <v>457</v>
      </c>
      <c r="F14" s="98"/>
      <c r="G14" s="98"/>
      <c r="H14" s="98"/>
      <c r="I14" s="99"/>
    </row>
    <row r="15" spans="1:9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  <c r="F15" s="98"/>
      <c r="G15" s="98"/>
      <c r="H15" s="98"/>
      <c r="I15" s="99"/>
    </row>
    <row r="16" spans="1:9" x14ac:dyDescent="0.3">
      <c r="A16" s="107" t="s">
        <v>576</v>
      </c>
      <c r="B16" s="108" t="s">
        <v>463</v>
      </c>
      <c r="C16" s="109">
        <v>0.44</v>
      </c>
      <c r="D16" s="110">
        <v>11208556.645</v>
      </c>
      <c r="E16" s="110">
        <v>3736185.5483333333</v>
      </c>
      <c r="F16" s="98"/>
      <c r="G16" s="98"/>
      <c r="H16" s="98"/>
      <c r="I16" s="99"/>
    </row>
    <row r="17" spans="1:36" x14ac:dyDescent="0.3">
      <c r="A17" s="107" t="s">
        <v>464</v>
      </c>
      <c r="B17" s="108" t="s">
        <v>688</v>
      </c>
      <c r="C17" s="109">
        <v>0.42</v>
      </c>
      <c r="D17" s="110">
        <v>10699076.797499999</v>
      </c>
      <c r="E17" s="110">
        <v>2674769.1993749999</v>
      </c>
      <c r="F17" s="98"/>
      <c r="G17" s="98"/>
      <c r="H17" s="98"/>
      <c r="I17" s="99"/>
    </row>
    <row r="18" spans="1:36" x14ac:dyDescent="0.3">
      <c r="A18" s="107" t="s">
        <v>466</v>
      </c>
      <c r="B18" s="108">
        <v>4</v>
      </c>
      <c r="C18" s="109">
        <v>0.14000000000000001</v>
      </c>
      <c r="D18" s="110">
        <v>3566358.9325000001</v>
      </c>
      <c r="E18" s="110">
        <v>891589.73312500003</v>
      </c>
      <c r="F18" s="98"/>
      <c r="G18" s="98"/>
      <c r="H18" s="98"/>
      <c r="I18" s="99"/>
    </row>
    <row r="19" spans="1:36" x14ac:dyDescent="0.3">
      <c r="B19" s="1" t="s">
        <v>467</v>
      </c>
      <c r="C19" s="3">
        <v>1</v>
      </c>
      <c r="D19" s="112">
        <v>25473992.375</v>
      </c>
      <c r="F19" s="98"/>
      <c r="G19" s="98"/>
      <c r="H19" s="98"/>
      <c r="I19" s="99"/>
    </row>
    <row r="20" spans="1:36" x14ac:dyDescent="0.3">
      <c r="F20" s="98"/>
      <c r="G20" s="98"/>
      <c r="H20" s="98"/>
      <c r="I20" s="99"/>
    </row>
    <row r="21" spans="1:36" x14ac:dyDescent="0.3">
      <c r="A21" s="100" t="s">
        <v>710</v>
      </c>
      <c r="B21" s="628">
        <v>11451999</v>
      </c>
      <c r="F21" s="98"/>
      <c r="G21" s="98"/>
      <c r="H21" s="98"/>
      <c r="I21" s="99"/>
    </row>
    <row r="22" spans="1:36" x14ac:dyDescent="0.3">
      <c r="A22" s="714" t="s">
        <v>579</v>
      </c>
      <c r="B22" s="628">
        <v>4754721</v>
      </c>
      <c r="Q22" s="115"/>
      <c r="R22" s="115"/>
    </row>
    <row r="23" spans="1:36" x14ac:dyDescent="0.3">
      <c r="E23" s="1" t="s">
        <v>470</v>
      </c>
      <c r="F23" s="2" t="s">
        <v>711</v>
      </c>
      <c r="H23" s="1" t="s">
        <v>472</v>
      </c>
      <c r="J23" s="2305">
        <v>0.67</v>
      </c>
      <c r="K23" s="98"/>
      <c r="L23" s="98"/>
    </row>
    <row r="24" spans="1:36" x14ac:dyDescent="0.3">
      <c r="E24" s="1" t="s">
        <v>473</v>
      </c>
      <c r="F24" s="2" t="s">
        <v>712</v>
      </c>
      <c r="H24" s="1" t="s">
        <v>473</v>
      </c>
      <c r="J24" s="1">
        <v>50</v>
      </c>
      <c r="K24" s="1"/>
      <c r="L24" s="1"/>
    </row>
    <row r="25" spans="1:36" x14ac:dyDescent="0.3">
      <c r="E25" s="1" t="s">
        <v>475</v>
      </c>
      <c r="F25" s="2" t="s">
        <v>713</v>
      </c>
      <c r="H25" s="1" t="s">
        <v>475</v>
      </c>
      <c r="J25" s="95">
        <v>3341</v>
      </c>
      <c r="K25" s="95"/>
      <c r="L25" s="95"/>
      <c r="P25" s="115"/>
    </row>
    <row r="26" spans="1:36" x14ac:dyDescent="0.3">
      <c r="E26" s="1" t="s">
        <v>477</v>
      </c>
      <c r="F26" s="2" t="s">
        <v>714</v>
      </c>
      <c r="H26" s="1" t="s">
        <v>477</v>
      </c>
      <c r="J26" s="95">
        <v>158856861</v>
      </c>
      <c r="K26" s="95"/>
      <c r="L26" s="95"/>
      <c r="O26" s="98"/>
      <c r="T26" s="116"/>
    </row>
    <row r="27" spans="1:36" ht="18" x14ac:dyDescent="0.35">
      <c r="A27" s="118" t="s">
        <v>479</v>
      </c>
      <c r="O27" s="98"/>
      <c r="P27" s="117"/>
    </row>
    <row r="28" spans="1:36" x14ac:dyDescent="0.3">
      <c r="O28" s="119"/>
      <c r="S28" s="98"/>
    </row>
    <row r="29" spans="1:36" x14ac:dyDescent="0.3">
      <c r="A29" s="2335" t="s">
        <v>480</v>
      </c>
      <c r="B29" s="2336"/>
      <c r="C29" s="2336"/>
      <c r="D29" s="2336"/>
      <c r="E29" s="2336"/>
      <c r="F29" s="2336"/>
      <c r="G29" s="2336"/>
      <c r="H29" s="2336"/>
      <c r="I29" s="2336"/>
      <c r="J29" s="2336"/>
      <c r="K29" s="2336"/>
      <c r="L29" s="2336"/>
      <c r="M29" s="2336"/>
      <c r="N29" s="2336"/>
      <c r="O29" s="2336"/>
      <c r="P29" s="2336"/>
      <c r="Q29" s="2336"/>
      <c r="R29" s="2336"/>
      <c r="S29" s="2337"/>
      <c r="T29" s="2338" t="s">
        <v>584</v>
      </c>
      <c r="U29" s="2339"/>
      <c r="V29" s="2339"/>
      <c r="W29" s="2339"/>
      <c r="X29" s="2339"/>
      <c r="Y29" s="2339"/>
      <c r="Z29" s="2339"/>
      <c r="AA29" s="2339"/>
      <c r="AB29" s="2339"/>
      <c r="AC29" s="2339"/>
      <c r="AD29" s="2339"/>
      <c r="AE29" s="2339"/>
      <c r="AF29" s="2339"/>
      <c r="AG29" s="2339"/>
      <c r="AH29" s="2340"/>
    </row>
    <row r="30" spans="1:36" ht="18" x14ac:dyDescent="0.35">
      <c r="A30" s="2284" t="s">
        <v>482</v>
      </c>
      <c r="B30" s="2286" t="s">
        <v>483</v>
      </c>
      <c r="C30" s="2286" t="s">
        <v>484</v>
      </c>
      <c r="D30" s="2286" t="s">
        <v>485</v>
      </c>
      <c r="E30" s="2286" t="s">
        <v>486</v>
      </c>
      <c r="F30" s="2288" t="s">
        <v>487</v>
      </c>
      <c r="G30" s="2286" t="s">
        <v>488</v>
      </c>
      <c r="H30" s="2286" t="s">
        <v>489</v>
      </c>
      <c r="I30" s="2266" t="s">
        <v>490</v>
      </c>
      <c r="J30" s="2266"/>
      <c r="K30" s="2266"/>
      <c r="L30" s="2266"/>
      <c r="M30" s="265" t="s">
        <v>491</v>
      </c>
      <c r="N30" s="266" t="s">
        <v>492</v>
      </c>
      <c r="O30" s="267" t="s">
        <v>493</v>
      </c>
      <c r="P30" s="266" t="s">
        <v>492</v>
      </c>
      <c r="Q30" s="266" t="s">
        <v>494</v>
      </c>
      <c r="R30" s="491" t="s">
        <v>585</v>
      </c>
      <c r="S30" s="2267" t="s">
        <v>495</v>
      </c>
      <c r="T30" s="692" t="s">
        <v>496</v>
      </c>
      <c r="U30" s="2424" t="s">
        <v>497</v>
      </c>
      <c r="V30" s="2425"/>
      <c r="W30" s="2425"/>
      <c r="X30" s="2425"/>
      <c r="Y30" s="2425"/>
      <c r="Z30" s="2426"/>
      <c r="AA30" s="2418" t="s">
        <v>498</v>
      </c>
      <c r="AB30" s="2419"/>
      <c r="AC30" s="2418" t="s">
        <v>499</v>
      </c>
      <c r="AD30" s="2422"/>
      <c r="AE30" s="2422"/>
      <c r="AF30" s="2422"/>
      <c r="AG30" s="2422"/>
      <c r="AH30" s="2419"/>
    </row>
    <row r="31" spans="1:36" ht="18" x14ac:dyDescent="0.35">
      <c r="A31" s="2285"/>
      <c r="B31" s="2287"/>
      <c r="C31" s="2287"/>
      <c r="D31" s="2287"/>
      <c r="E31" s="2287"/>
      <c r="F31" s="2289"/>
      <c r="G31" s="2287"/>
      <c r="H31" s="2287"/>
      <c r="I31" s="269" t="s">
        <v>500</v>
      </c>
      <c r="J31" s="269" t="s">
        <v>501</v>
      </c>
      <c r="K31" s="269" t="s">
        <v>502</v>
      </c>
      <c r="L31" s="269" t="s">
        <v>503</v>
      </c>
      <c r="M31" s="270" t="s">
        <v>504</v>
      </c>
      <c r="N31" s="271" t="s">
        <v>505</v>
      </c>
      <c r="O31" s="272" t="s">
        <v>506</v>
      </c>
      <c r="P31" s="271" t="s">
        <v>507</v>
      </c>
      <c r="Q31" s="271" t="s">
        <v>507</v>
      </c>
      <c r="R31" s="558"/>
      <c r="S31" s="2268"/>
      <c r="T31" s="671" t="s">
        <v>508</v>
      </c>
      <c r="U31" s="2427"/>
      <c r="V31" s="2428"/>
      <c r="W31" s="2428"/>
      <c r="X31" s="2428"/>
      <c r="Y31" s="2428"/>
      <c r="Z31" s="2429"/>
      <c r="AA31" s="2420"/>
      <c r="AB31" s="2421"/>
      <c r="AC31" s="2420"/>
      <c r="AD31" s="2423"/>
      <c r="AE31" s="2423"/>
      <c r="AF31" s="2423"/>
      <c r="AG31" s="2423"/>
      <c r="AH31" s="2421"/>
    </row>
    <row r="32" spans="1:36" ht="18" x14ac:dyDescent="0.35">
      <c r="A32" s="2359" t="s">
        <v>509</v>
      </c>
      <c r="B32" s="2360"/>
      <c r="C32" s="2360"/>
      <c r="D32" s="2360"/>
      <c r="E32" s="2360"/>
      <c r="F32" s="2360"/>
      <c r="G32" s="2360"/>
      <c r="H32" s="2360"/>
      <c r="I32" s="2360"/>
      <c r="J32" s="2360"/>
      <c r="K32" s="2360"/>
      <c r="L32" s="2360"/>
      <c r="M32" s="2360"/>
      <c r="N32" s="2360"/>
      <c r="O32" s="2360"/>
      <c r="P32" s="2360"/>
      <c r="Q32" s="2360"/>
      <c r="R32" s="2360"/>
      <c r="S32" s="2360"/>
      <c r="T32" s="715"/>
      <c r="U32" s="716" t="s">
        <v>510</v>
      </c>
      <c r="V32" s="717" t="s">
        <v>11</v>
      </c>
      <c r="W32" s="717" t="s">
        <v>511</v>
      </c>
      <c r="X32" s="717" t="s">
        <v>512</v>
      </c>
      <c r="Y32" s="717" t="s">
        <v>715</v>
      </c>
      <c r="Z32" s="718" t="s">
        <v>513</v>
      </c>
      <c r="AA32" s="719" t="s">
        <v>514</v>
      </c>
      <c r="AB32" s="718" t="s">
        <v>515</v>
      </c>
      <c r="AC32" s="720"/>
      <c r="AD32" s="721" t="s">
        <v>0</v>
      </c>
      <c r="AE32" s="722" t="s">
        <v>1</v>
      </c>
      <c r="AF32" s="722" t="s">
        <v>109</v>
      </c>
      <c r="AG32" s="722" t="s">
        <v>3</v>
      </c>
      <c r="AH32" s="723" t="s">
        <v>110</v>
      </c>
      <c r="AI32" s="137"/>
      <c r="AJ32" s="137"/>
    </row>
    <row r="33" spans="1:34" x14ac:dyDescent="0.3">
      <c r="A33" s="154"/>
      <c r="B33" s="462"/>
      <c r="C33" s="462"/>
      <c r="D33" s="462"/>
      <c r="E33" s="462"/>
      <c r="F33" s="463"/>
      <c r="G33" s="462"/>
      <c r="H33" s="462"/>
      <c r="I33" s="464"/>
      <c r="J33" s="465"/>
      <c r="K33" s="465"/>
      <c r="L33" s="466"/>
      <c r="M33" s="467"/>
      <c r="N33" s="468"/>
      <c r="O33" s="469"/>
      <c r="P33" s="468"/>
      <c r="Q33" s="468"/>
      <c r="R33" s="470"/>
      <c r="S33" s="501"/>
      <c r="T33" s="206"/>
      <c r="U33" s="150"/>
      <c r="Z33" s="152"/>
      <c r="AA33" s="280"/>
      <c r="AB33" s="152"/>
      <c r="AD33" s="151"/>
      <c r="AE33" s="172"/>
      <c r="AF33" s="172"/>
      <c r="AG33" s="172"/>
      <c r="AH33" s="724"/>
    </row>
    <row r="34" spans="1:34" x14ac:dyDescent="0.3">
      <c r="A34" s="157" t="s">
        <v>716</v>
      </c>
      <c r="B34" s="157" t="s">
        <v>111</v>
      </c>
      <c r="C34" s="157" t="s">
        <v>717</v>
      </c>
      <c r="D34" s="157" t="s">
        <v>112</v>
      </c>
      <c r="E34" s="157" t="s">
        <v>520</v>
      </c>
      <c r="F34" s="158" t="s">
        <v>718</v>
      </c>
      <c r="G34" s="157">
        <v>150</v>
      </c>
      <c r="H34" s="157" t="s">
        <v>22</v>
      </c>
      <c r="I34" s="159">
        <v>150</v>
      </c>
      <c r="J34" s="725">
        <v>150</v>
      </c>
      <c r="K34" s="160"/>
      <c r="L34" s="162"/>
      <c r="M34" s="163">
        <v>2</v>
      </c>
      <c r="N34" s="473">
        <v>3429.22</v>
      </c>
      <c r="O34" s="165">
        <v>0.48</v>
      </c>
      <c r="P34" s="166">
        <f>N34*(1-O34)</f>
        <v>1783.1943999999999</v>
      </c>
      <c r="Q34" s="166">
        <f t="shared" ref="Q34:Q41" si="0">P34*M34*G34</f>
        <v>534958.31999999995</v>
      </c>
      <c r="R34" s="206" t="e">
        <f>(Q34+Q35+#REF!+#REF!)/E11*1000</f>
        <v>#REF!</v>
      </c>
      <c r="S34" s="178">
        <f>Q34/$Q$58</f>
        <v>0.14180038292750133</v>
      </c>
      <c r="T34" s="502">
        <f t="shared" ref="T34:T38" si="1">Q34*2</f>
        <v>1069916.6399999999</v>
      </c>
      <c r="U34" s="150"/>
      <c r="V34" s="169">
        <f>T34</f>
        <v>1069916.6399999999</v>
      </c>
      <c r="W34" s="169"/>
      <c r="X34" s="169"/>
      <c r="Y34" s="169"/>
      <c r="Z34" s="171"/>
      <c r="AA34" s="282"/>
      <c r="AB34" s="171"/>
      <c r="AD34" s="170">
        <f>T34</f>
        <v>1069916.6399999999</v>
      </c>
      <c r="AE34" s="172"/>
      <c r="AF34" s="172"/>
      <c r="AG34" s="172"/>
      <c r="AH34" s="724"/>
    </row>
    <row r="35" spans="1:34" x14ac:dyDescent="0.3">
      <c r="A35" s="157" t="s">
        <v>716</v>
      </c>
      <c r="B35" s="157" t="s">
        <v>113</v>
      </c>
      <c r="C35" s="157" t="s">
        <v>717</v>
      </c>
      <c r="D35" s="157" t="s">
        <v>112</v>
      </c>
      <c r="E35" s="157" t="s">
        <v>518</v>
      </c>
      <c r="F35" s="158" t="s">
        <v>719</v>
      </c>
      <c r="G35" s="157">
        <v>100</v>
      </c>
      <c r="H35" s="157" t="s">
        <v>22</v>
      </c>
      <c r="I35" s="176">
        <v>100</v>
      </c>
      <c r="J35" s="160"/>
      <c r="K35" s="176">
        <v>100</v>
      </c>
      <c r="L35" s="180"/>
      <c r="M35" s="163">
        <v>2</v>
      </c>
      <c r="N35" s="166">
        <v>6980.9</v>
      </c>
      <c r="O35" s="173">
        <v>0.35</v>
      </c>
      <c r="P35" s="166">
        <f>N35*(1-O35)</f>
        <v>4537.585</v>
      </c>
      <c r="Q35" s="166">
        <f t="shared" si="0"/>
        <v>907517</v>
      </c>
      <c r="R35" s="206" t="e">
        <f>(Q35+Q36+#REF!+#REF!)/E12*1000</f>
        <v>#REF!</v>
      </c>
      <c r="S35" s="167">
        <f>Q35/$Q$58</f>
        <v>0.24055380260880366</v>
      </c>
      <c r="T35" s="502">
        <f t="shared" si="1"/>
        <v>1815034</v>
      </c>
      <c r="U35" s="150"/>
      <c r="V35" s="169">
        <f>T35</f>
        <v>1815034</v>
      </c>
      <c r="Z35" s="152"/>
      <c r="AA35" s="282"/>
      <c r="AB35" s="171">
        <f>T35</f>
        <v>1815034</v>
      </c>
      <c r="AD35" s="170">
        <f>T35</f>
        <v>1815034</v>
      </c>
      <c r="AE35" s="172"/>
      <c r="AF35" s="172"/>
      <c r="AG35" s="172"/>
      <c r="AH35" s="724"/>
    </row>
    <row r="36" spans="1:34" x14ac:dyDescent="0.3">
      <c r="A36" s="157" t="s">
        <v>716</v>
      </c>
      <c r="B36" s="157" t="s">
        <v>113</v>
      </c>
      <c r="C36" s="157" t="s">
        <v>720</v>
      </c>
      <c r="D36" s="157" t="s">
        <v>114</v>
      </c>
      <c r="E36" s="157" t="s">
        <v>721</v>
      </c>
      <c r="F36" s="158" t="s">
        <v>83</v>
      </c>
      <c r="G36" s="157">
        <v>1</v>
      </c>
      <c r="H36" s="157" t="s">
        <v>22</v>
      </c>
      <c r="I36" s="188"/>
      <c r="J36" s="725">
        <v>25</v>
      </c>
      <c r="L36" s="286"/>
      <c r="M36" s="163">
        <v>1</v>
      </c>
      <c r="N36" s="166">
        <v>80709</v>
      </c>
      <c r="O36" s="173">
        <v>0.43</v>
      </c>
      <c r="P36" s="166">
        <f t="shared" ref="P36:P38" si="2">N36*(1-O36)</f>
        <v>46004.130000000005</v>
      </c>
      <c r="Q36" s="166">
        <f t="shared" si="0"/>
        <v>46004.130000000005</v>
      </c>
      <c r="R36" s="206"/>
      <c r="S36" s="167">
        <f>Q36/$Q$58</f>
        <v>1.219422711333203E-2</v>
      </c>
      <c r="T36" s="502">
        <f t="shared" si="1"/>
        <v>92008.260000000009</v>
      </c>
      <c r="U36" s="150"/>
      <c r="V36" s="169"/>
      <c r="W36" s="169">
        <f>T36</f>
        <v>92008.260000000009</v>
      </c>
      <c r="Z36" s="152"/>
      <c r="AA36" s="282"/>
      <c r="AB36" s="171">
        <f>T36</f>
        <v>92008.260000000009</v>
      </c>
      <c r="AD36" s="170">
        <f>T36</f>
        <v>92008.260000000009</v>
      </c>
      <c r="AE36" s="172"/>
      <c r="AF36" s="172"/>
      <c r="AG36" s="172"/>
      <c r="AH36" s="724"/>
    </row>
    <row r="37" spans="1:34" x14ac:dyDescent="0.3">
      <c r="A37" s="157" t="s">
        <v>716</v>
      </c>
      <c r="B37" s="157" t="s">
        <v>111</v>
      </c>
      <c r="C37" s="157" t="s">
        <v>720</v>
      </c>
      <c r="D37" s="157" t="s">
        <v>114</v>
      </c>
      <c r="E37" s="157" t="s">
        <v>722</v>
      </c>
      <c r="F37" s="158" t="s">
        <v>115</v>
      </c>
      <c r="G37" s="157">
        <v>1</v>
      </c>
      <c r="H37" s="157" t="s">
        <v>22</v>
      </c>
      <c r="I37" s="188"/>
      <c r="J37" s="176">
        <v>49</v>
      </c>
      <c r="L37" s="286"/>
      <c r="M37" s="163">
        <v>1</v>
      </c>
      <c r="N37" s="166">
        <v>67237.13</v>
      </c>
      <c r="O37" s="173">
        <v>0.43</v>
      </c>
      <c r="P37" s="166">
        <f t="shared" si="2"/>
        <v>38325.164100000009</v>
      </c>
      <c r="Q37" s="166">
        <f t="shared" si="0"/>
        <v>38325.164100000009</v>
      </c>
      <c r="R37" s="206"/>
      <c r="S37" s="167">
        <f>Q37/$Q$58</f>
        <v>1.0158778248629404E-2</v>
      </c>
      <c r="T37" s="502">
        <f t="shared" si="1"/>
        <v>76650.328200000018</v>
      </c>
      <c r="U37" s="150"/>
      <c r="V37" s="169"/>
      <c r="W37" s="169">
        <f>T37</f>
        <v>76650.328200000018</v>
      </c>
      <c r="Z37" s="152"/>
      <c r="AA37" s="282"/>
      <c r="AB37" s="171"/>
      <c r="AD37" s="170">
        <f>T37</f>
        <v>76650.328200000018</v>
      </c>
      <c r="AE37" s="172"/>
      <c r="AF37" s="172"/>
      <c r="AG37" s="172"/>
      <c r="AH37" s="724"/>
    </row>
    <row r="38" spans="1:34" x14ac:dyDescent="0.3">
      <c r="A38" s="157" t="s">
        <v>716</v>
      </c>
      <c r="B38" s="157" t="s">
        <v>111</v>
      </c>
      <c r="C38" s="157" t="s">
        <v>723</v>
      </c>
      <c r="D38" s="157" t="s">
        <v>116</v>
      </c>
      <c r="E38" s="157" t="s">
        <v>724</v>
      </c>
      <c r="F38" s="158" t="s">
        <v>38</v>
      </c>
      <c r="G38" s="157">
        <v>1</v>
      </c>
      <c r="H38" s="157" t="s">
        <v>117</v>
      </c>
      <c r="I38" s="2445">
        <v>1</v>
      </c>
      <c r="J38" s="726"/>
      <c r="K38" s="726"/>
      <c r="L38" s="727"/>
      <c r="M38" s="163">
        <v>1</v>
      </c>
      <c r="N38" s="473">
        <v>368518</v>
      </c>
      <c r="O38" s="165">
        <v>0.43</v>
      </c>
      <c r="P38" s="166">
        <f t="shared" si="2"/>
        <v>210055.26</v>
      </c>
      <c r="Q38" s="166">
        <f t="shared" si="0"/>
        <v>210055.26</v>
      </c>
      <c r="R38" s="9"/>
      <c r="S38" s="178">
        <f>Q38/$Q$58</f>
        <v>5.5678947668176944E-2</v>
      </c>
      <c r="T38" s="507">
        <f t="shared" si="1"/>
        <v>420110.52</v>
      </c>
      <c r="U38" s="565"/>
      <c r="W38" s="169">
        <f>T38</f>
        <v>420110.52</v>
      </c>
      <c r="Z38" s="152"/>
      <c r="AA38" s="282"/>
      <c r="AB38" s="171"/>
      <c r="AD38" s="170">
        <f>T38</f>
        <v>420110.52</v>
      </c>
      <c r="AE38" s="172"/>
      <c r="AF38" s="172"/>
      <c r="AG38" s="172"/>
      <c r="AH38" s="724"/>
    </row>
    <row r="39" spans="1:34" x14ac:dyDescent="0.3">
      <c r="A39" s="157"/>
      <c r="B39" s="157"/>
      <c r="C39" s="157"/>
      <c r="D39" s="157"/>
      <c r="E39" s="157"/>
      <c r="F39" s="158"/>
      <c r="G39" s="157"/>
      <c r="H39" s="157"/>
      <c r="I39" s="188"/>
      <c r="L39" s="286"/>
      <c r="M39" s="163"/>
      <c r="N39" s="473"/>
      <c r="O39" s="165"/>
      <c r="P39" s="476"/>
      <c r="Q39" s="473"/>
      <c r="R39" s="9"/>
      <c r="S39" s="504"/>
      <c r="T39" s="507"/>
      <c r="U39" s="565"/>
      <c r="Z39" s="152"/>
      <c r="AA39" s="282"/>
      <c r="AB39" s="171"/>
      <c r="AD39" s="151"/>
      <c r="AE39" s="172"/>
      <c r="AF39" s="172"/>
      <c r="AG39" s="172"/>
      <c r="AH39" s="724"/>
    </row>
    <row r="40" spans="1:34" x14ac:dyDescent="0.3">
      <c r="A40" s="157" t="s">
        <v>716</v>
      </c>
      <c r="B40" s="157" t="s">
        <v>20</v>
      </c>
      <c r="C40" s="157" t="s">
        <v>725</v>
      </c>
      <c r="D40" s="157" t="s">
        <v>118</v>
      </c>
      <c r="E40" s="157" t="s">
        <v>726</v>
      </c>
      <c r="F40" s="158" t="s">
        <v>727</v>
      </c>
      <c r="G40" s="157">
        <v>1</v>
      </c>
      <c r="H40" s="157" t="s">
        <v>22</v>
      </c>
      <c r="I40" s="474"/>
      <c r="J40" s="725">
        <v>100</v>
      </c>
      <c r="K40" s="725">
        <v>100</v>
      </c>
      <c r="L40" s="163"/>
      <c r="M40" s="163">
        <v>2</v>
      </c>
      <c r="N40" s="473">
        <v>350022</v>
      </c>
      <c r="O40" s="165">
        <v>0.59599999999999997</v>
      </c>
      <c r="P40" s="166">
        <f>N40*(1-O40)</f>
        <v>141408.88800000001</v>
      </c>
      <c r="Q40" s="166">
        <f t="shared" si="0"/>
        <v>282817.77600000001</v>
      </c>
      <c r="R40" s="9"/>
      <c r="S40" s="504">
        <f>Q40/$Q$58</f>
        <v>7.4965969190841447E-2</v>
      </c>
      <c r="T40" s="507">
        <f>Q40*2</f>
        <v>565635.55200000003</v>
      </c>
      <c r="U40" s="565"/>
      <c r="V40" s="169">
        <f>T40</f>
        <v>565635.55200000003</v>
      </c>
      <c r="Z40" s="152"/>
      <c r="AA40" s="282">
        <f>T40</f>
        <v>565635.55200000003</v>
      </c>
      <c r="AB40" s="171"/>
      <c r="AD40" s="151"/>
      <c r="AE40" s="174">
        <f>T40</f>
        <v>565635.55200000003</v>
      </c>
      <c r="AF40" s="174"/>
      <c r="AG40" s="172"/>
      <c r="AH40" s="724"/>
    </row>
    <row r="41" spans="1:34" x14ac:dyDescent="0.3">
      <c r="A41" s="157" t="s">
        <v>716</v>
      </c>
      <c r="B41" s="157" t="s">
        <v>20</v>
      </c>
      <c r="C41" s="157" t="s">
        <v>725</v>
      </c>
      <c r="D41" s="157" t="s">
        <v>118</v>
      </c>
      <c r="E41" s="157" t="s">
        <v>728</v>
      </c>
      <c r="F41" s="158" t="s">
        <v>729</v>
      </c>
      <c r="G41" s="157">
        <v>1</v>
      </c>
      <c r="H41" s="157" t="s">
        <v>22</v>
      </c>
      <c r="I41" s="474"/>
      <c r="J41" s="1"/>
      <c r="K41" s="176">
        <v>50</v>
      </c>
      <c r="L41" s="163"/>
      <c r="M41" s="163">
        <v>1</v>
      </c>
      <c r="N41" s="473">
        <v>350658</v>
      </c>
      <c r="O41" s="165">
        <v>0.59599999999999997</v>
      </c>
      <c r="P41" s="166">
        <f>N41*(1-O41)</f>
        <v>141665.83199999999</v>
      </c>
      <c r="Q41" s="166">
        <f t="shared" si="0"/>
        <v>141665.83199999999</v>
      </c>
      <c r="R41" s="9"/>
      <c r="S41" s="167">
        <f>Q41/$Q$58</f>
        <v>3.7551092252089975E-2</v>
      </c>
      <c r="T41" s="507">
        <f>Q41*2</f>
        <v>283331.66399999999</v>
      </c>
      <c r="U41" s="565"/>
      <c r="V41" s="169">
        <f>T41</f>
        <v>283331.66399999999</v>
      </c>
      <c r="Z41" s="152"/>
      <c r="AA41" s="282"/>
      <c r="AB41" s="171">
        <f>T41</f>
        <v>283331.66399999999</v>
      </c>
      <c r="AD41" s="151"/>
      <c r="AE41" s="174">
        <f>T41</f>
        <v>283331.66399999999</v>
      </c>
      <c r="AF41" s="174"/>
      <c r="AG41" s="172"/>
      <c r="AH41" s="724"/>
    </row>
    <row r="42" spans="1:34" x14ac:dyDescent="0.3">
      <c r="A42" s="157"/>
      <c r="B42" s="157"/>
      <c r="C42" s="157"/>
      <c r="D42" s="157"/>
      <c r="E42" s="157"/>
      <c r="F42" s="158"/>
      <c r="G42" s="157"/>
      <c r="H42" s="157"/>
      <c r="I42" s="474"/>
      <c r="J42" s="1"/>
      <c r="K42" s="1"/>
      <c r="L42" s="163"/>
      <c r="M42" s="163"/>
      <c r="N42" s="473"/>
      <c r="O42" s="165"/>
      <c r="P42" s="476"/>
      <c r="Q42" s="473"/>
      <c r="R42" s="9"/>
      <c r="S42" s="504"/>
      <c r="T42" s="507"/>
      <c r="U42" s="565"/>
      <c r="Z42" s="152"/>
      <c r="AA42" s="282"/>
      <c r="AB42" s="171"/>
      <c r="AD42" s="151"/>
      <c r="AE42" s="172"/>
      <c r="AF42" s="172"/>
      <c r="AG42" s="172"/>
      <c r="AH42" s="724"/>
    </row>
    <row r="43" spans="1:34" x14ac:dyDescent="0.3">
      <c r="A43" s="157" t="s">
        <v>716</v>
      </c>
      <c r="B43" s="157" t="s">
        <v>119</v>
      </c>
      <c r="C43" s="157" t="s">
        <v>730</v>
      </c>
      <c r="D43" s="157" t="s">
        <v>120</v>
      </c>
      <c r="E43" s="157" t="s">
        <v>121</v>
      </c>
      <c r="F43" s="158" t="s">
        <v>588</v>
      </c>
      <c r="G43" s="157">
        <v>3</v>
      </c>
      <c r="H43" s="157" t="s">
        <v>24</v>
      </c>
      <c r="I43" s="2445">
        <v>3</v>
      </c>
      <c r="J43" s="726"/>
      <c r="K43" s="726"/>
      <c r="L43" s="727"/>
      <c r="M43" s="163">
        <v>1</v>
      </c>
      <c r="N43" s="473">
        <v>250000</v>
      </c>
      <c r="O43" s="165">
        <v>0.48</v>
      </c>
      <c r="P43" s="166">
        <f>N43*(1-O43)</f>
        <v>130000</v>
      </c>
      <c r="Q43" s="166">
        <f t="shared" ref="Q43" si="3">P43*M43*G43</f>
        <v>390000</v>
      </c>
      <c r="R43" s="9"/>
      <c r="S43" s="504">
        <f>Q43/$Q$58</f>
        <v>0.10337655715257503</v>
      </c>
      <c r="T43" s="507">
        <f>Q43*2</f>
        <v>780000</v>
      </c>
      <c r="U43" s="565"/>
      <c r="W43" s="169">
        <f>T43</f>
        <v>780000</v>
      </c>
      <c r="Z43" s="152"/>
      <c r="AA43" s="282">
        <f>T43</f>
        <v>780000</v>
      </c>
      <c r="AB43" s="171"/>
      <c r="AD43" s="151"/>
      <c r="AE43" s="172"/>
      <c r="AF43" s="174">
        <f>T43</f>
        <v>780000</v>
      </c>
      <c r="AG43" s="172"/>
      <c r="AH43" s="724"/>
    </row>
    <row r="44" spans="1:34" x14ac:dyDescent="0.3">
      <c r="A44" s="157"/>
      <c r="B44" s="157"/>
      <c r="C44" s="157"/>
      <c r="D44" s="157"/>
      <c r="E44" s="157" t="s">
        <v>731</v>
      </c>
      <c r="F44" s="158"/>
      <c r="G44" s="157"/>
      <c r="H44" s="157"/>
      <c r="I44" s="1"/>
      <c r="J44" s="1"/>
      <c r="K44" s="1"/>
      <c r="L44" s="163"/>
      <c r="M44" s="163"/>
      <c r="N44" s="473"/>
      <c r="O44" s="165"/>
      <c r="P44" s="476"/>
      <c r="Q44" s="473"/>
      <c r="R44" s="9"/>
      <c r="S44" s="504"/>
      <c r="T44" s="507"/>
      <c r="U44" s="565"/>
      <c r="Z44" s="152"/>
      <c r="AA44" s="282"/>
      <c r="AB44" s="171"/>
      <c r="AD44" s="151"/>
      <c r="AE44" s="172"/>
      <c r="AF44" s="172"/>
      <c r="AG44" s="172"/>
      <c r="AH44" s="724"/>
    </row>
    <row r="45" spans="1:34" x14ac:dyDescent="0.3">
      <c r="A45" s="157"/>
      <c r="B45" s="157"/>
      <c r="C45" s="157"/>
      <c r="D45" s="157"/>
      <c r="E45" s="157"/>
      <c r="F45" s="158"/>
      <c r="G45" s="157"/>
      <c r="H45" s="157"/>
      <c r="I45" s="1"/>
      <c r="J45" s="1"/>
      <c r="K45" s="1"/>
      <c r="L45" s="163"/>
      <c r="M45" s="163"/>
      <c r="N45" s="473"/>
      <c r="O45" s="165"/>
      <c r="P45" s="476"/>
      <c r="Q45" s="473"/>
      <c r="R45" s="9"/>
      <c r="S45" s="504"/>
      <c r="T45" s="507"/>
      <c r="U45" s="565"/>
      <c r="Z45" s="152"/>
      <c r="AA45" s="282"/>
      <c r="AB45" s="171"/>
      <c r="AD45" s="151"/>
      <c r="AE45" s="172"/>
      <c r="AF45" s="172"/>
      <c r="AG45" s="172"/>
      <c r="AH45" s="724"/>
    </row>
    <row r="46" spans="1:34" x14ac:dyDescent="0.3">
      <c r="A46" s="157" t="s">
        <v>716</v>
      </c>
      <c r="B46" s="157" t="s">
        <v>122</v>
      </c>
      <c r="C46" s="157"/>
      <c r="D46" s="157" t="s">
        <v>123</v>
      </c>
      <c r="E46" s="157" t="s">
        <v>732</v>
      </c>
      <c r="F46" s="158" t="s">
        <v>124</v>
      </c>
      <c r="G46" s="157">
        <v>1</v>
      </c>
      <c r="H46" s="157" t="s">
        <v>22</v>
      </c>
      <c r="I46" s="176">
        <v>70</v>
      </c>
      <c r="J46" s="1"/>
      <c r="K46" s="1"/>
      <c r="L46" s="163"/>
      <c r="M46" s="163">
        <v>1</v>
      </c>
      <c r="N46" s="473">
        <v>264920</v>
      </c>
      <c r="O46" s="165">
        <v>0.65</v>
      </c>
      <c r="P46" s="166">
        <f>N46*(1-O46)</f>
        <v>92722</v>
      </c>
      <c r="Q46" s="166">
        <f t="shared" ref="Q46:Q48" si="4">P46*M46*G46</f>
        <v>92722</v>
      </c>
      <c r="R46" s="9"/>
      <c r="S46" s="167">
        <f>Q46/$Q$58</f>
        <v>2.4577643928977082E-2</v>
      </c>
      <c r="T46" s="507">
        <f t="shared" ref="T46:T51" si="5">Q46*2</f>
        <v>185444</v>
      </c>
      <c r="U46" s="565"/>
      <c r="V46" s="169">
        <f>T46</f>
        <v>185444</v>
      </c>
      <c r="Z46" s="152"/>
      <c r="AA46" s="282"/>
      <c r="AB46" s="171">
        <f>T46</f>
        <v>185444</v>
      </c>
      <c r="AD46" s="151"/>
      <c r="AE46" s="172"/>
      <c r="AF46" s="172"/>
      <c r="AG46" s="174">
        <f>T46</f>
        <v>185444</v>
      </c>
      <c r="AH46" s="728"/>
    </row>
    <row r="47" spans="1:34" x14ac:dyDescent="0.3">
      <c r="A47" s="157" t="s">
        <v>716</v>
      </c>
      <c r="B47" s="157" t="s">
        <v>122</v>
      </c>
      <c r="C47" s="157" t="s">
        <v>733</v>
      </c>
      <c r="D47" s="157" t="s">
        <v>125</v>
      </c>
      <c r="E47" s="157" t="s">
        <v>734</v>
      </c>
      <c r="F47" s="158" t="s">
        <v>126</v>
      </c>
      <c r="G47" s="157">
        <v>1</v>
      </c>
      <c r="H47" s="157" t="s">
        <v>22</v>
      </c>
      <c r="I47" s="474"/>
      <c r="J47" s="1"/>
      <c r="K47" s="176">
        <v>28</v>
      </c>
      <c r="L47" s="177">
        <v>28</v>
      </c>
      <c r="M47" s="163">
        <v>2</v>
      </c>
      <c r="N47" s="473">
        <v>38500</v>
      </c>
      <c r="O47" s="165">
        <v>0.65</v>
      </c>
      <c r="P47" s="166">
        <f>N47*(1-O47)</f>
        <v>13475</v>
      </c>
      <c r="Q47" s="166">
        <f t="shared" si="4"/>
        <v>26950</v>
      </c>
      <c r="R47" s="9"/>
      <c r="S47" s="167">
        <f>Q47/$Q$58</f>
        <v>7.1435851673381972E-3</v>
      </c>
      <c r="T47" s="507">
        <f t="shared" si="5"/>
        <v>53900</v>
      </c>
      <c r="U47" s="565"/>
      <c r="W47" s="169">
        <f>T47</f>
        <v>53900</v>
      </c>
      <c r="Z47" s="152"/>
      <c r="AA47" s="282"/>
      <c r="AB47" s="171">
        <f>T47</f>
        <v>53900</v>
      </c>
      <c r="AD47" s="151"/>
      <c r="AE47" s="172"/>
      <c r="AF47" s="172"/>
      <c r="AG47" s="174">
        <f>T47</f>
        <v>53900</v>
      </c>
      <c r="AH47" s="728"/>
    </row>
    <row r="48" spans="1:34" x14ac:dyDescent="0.3">
      <c r="A48" s="157" t="s">
        <v>716</v>
      </c>
      <c r="B48" s="157" t="s">
        <v>122</v>
      </c>
      <c r="C48" s="157"/>
      <c r="D48" s="157" t="s">
        <v>127</v>
      </c>
      <c r="E48" s="157" t="s">
        <v>735</v>
      </c>
      <c r="F48" s="158" t="s">
        <v>128</v>
      </c>
      <c r="G48" s="157">
        <v>1</v>
      </c>
      <c r="H48" s="157" t="s">
        <v>22</v>
      </c>
      <c r="I48" s="474"/>
      <c r="J48" s="725">
        <v>40</v>
      </c>
      <c r="K48" s="1"/>
      <c r="L48" s="163"/>
      <c r="M48" s="163">
        <v>1</v>
      </c>
      <c r="N48" s="473">
        <v>216000</v>
      </c>
      <c r="O48" s="165">
        <v>0.65</v>
      </c>
      <c r="P48" s="476">
        <f>N48*(1-O48)</f>
        <v>75600</v>
      </c>
      <c r="Q48" s="473">
        <f t="shared" si="4"/>
        <v>75600</v>
      </c>
      <c r="R48" s="9"/>
      <c r="S48" s="167">
        <f>Q48/$Q$58</f>
        <v>2.0039148001883774E-2</v>
      </c>
      <c r="T48" s="507">
        <f t="shared" si="5"/>
        <v>151200</v>
      </c>
      <c r="U48" s="565"/>
      <c r="V48" s="169">
        <f>T48</f>
        <v>151200</v>
      </c>
      <c r="Z48" s="152"/>
      <c r="AA48" s="282"/>
      <c r="AB48" s="171">
        <f>T48</f>
        <v>151200</v>
      </c>
      <c r="AD48" s="151"/>
      <c r="AE48" s="172"/>
      <c r="AF48" s="172"/>
      <c r="AG48" s="174">
        <f>T48</f>
        <v>151200</v>
      </c>
      <c r="AH48" s="728"/>
    </row>
    <row r="49" spans="1:34" x14ac:dyDescent="0.3">
      <c r="A49" s="157"/>
      <c r="B49" s="157"/>
      <c r="C49" s="157"/>
      <c r="D49" s="157"/>
      <c r="E49" s="157" t="s">
        <v>736</v>
      </c>
      <c r="F49" s="158"/>
      <c r="G49" s="157"/>
      <c r="H49" s="157"/>
      <c r="I49" s="474"/>
      <c r="J49" s="1"/>
      <c r="K49" s="1"/>
      <c r="L49" s="163"/>
      <c r="M49" s="163"/>
      <c r="N49" s="473"/>
      <c r="O49" s="165"/>
      <c r="P49" s="476"/>
      <c r="Q49" s="473"/>
      <c r="R49" s="9"/>
      <c r="S49" s="504"/>
      <c r="T49" s="507"/>
      <c r="U49" s="565"/>
      <c r="Z49" s="152"/>
      <c r="AA49" s="282"/>
      <c r="AB49" s="171"/>
      <c r="AD49" s="151"/>
      <c r="AE49" s="172"/>
      <c r="AF49" s="172"/>
      <c r="AG49" s="172"/>
      <c r="AH49" s="724"/>
    </row>
    <row r="50" spans="1:34" x14ac:dyDescent="0.3">
      <c r="A50" s="157"/>
      <c r="B50" s="157"/>
      <c r="C50" s="157"/>
      <c r="D50" s="157"/>
      <c r="E50" s="157"/>
      <c r="F50" s="158"/>
      <c r="G50" s="157"/>
      <c r="H50" s="157"/>
      <c r="I50" s="474"/>
      <c r="J50" s="1"/>
      <c r="K50" s="1"/>
      <c r="L50" s="163"/>
      <c r="M50" s="163"/>
      <c r="N50" s="473"/>
      <c r="O50" s="165"/>
      <c r="P50" s="476"/>
      <c r="Q50" s="473"/>
      <c r="R50" s="9"/>
      <c r="S50" s="504"/>
      <c r="T50" s="507"/>
      <c r="U50" s="565"/>
      <c r="Z50" s="152"/>
      <c r="AA50" s="282"/>
      <c r="AB50" s="171"/>
      <c r="AD50" s="151"/>
      <c r="AE50" s="172"/>
      <c r="AF50" s="172"/>
      <c r="AG50" s="172"/>
      <c r="AH50" s="724"/>
    </row>
    <row r="51" spans="1:34" x14ac:dyDescent="0.3">
      <c r="A51" s="157" t="s">
        <v>716</v>
      </c>
      <c r="B51" s="157" t="s">
        <v>110</v>
      </c>
      <c r="C51" s="157" t="s">
        <v>737</v>
      </c>
      <c r="D51" s="157" t="s">
        <v>129</v>
      </c>
      <c r="E51" s="157" t="s">
        <v>738</v>
      </c>
      <c r="F51" s="158" t="s">
        <v>719</v>
      </c>
      <c r="G51" s="157">
        <v>100</v>
      </c>
      <c r="H51" s="157" t="s">
        <v>22</v>
      </c>
      <c r="I51" s="474"/>
      <c r="J51" s="1"/>
      <c r="K51" s="725">
        <v>100</v>
      </c>
      <c r="L51" s="729">
        <v>100</v>
      </c>
      <c r="M51" s="163">
        <v>2</v>
      </c>
      <c r="N51" s="473">
        <v>2520</v>
      </c>
      <c r="O51" s="165">
        <v>0.75</v>
      </c>
      <c r="P51" s="166">
        <f>N51*(1-O51)</f>
        <v>630</v>
      </c>
      <c r="Q51" s="166">
        <f t="shared" ref="Q51" si="6">P51*M51*G51</f>
        <v>126000</v>
      </c>
      <c r="R51" s="9"/>
      <c r="S51" s="167">
        <f>Q51/$Q$58</f>
        <v>3.3398580003139625E-2</v>
      </c>
      <c r="T51" s="507">
        <f t="shared" si="5"/>
        <v>252000</v>
      </c>
      <c r="U51" s="565"/>
      <c r="V51" s="169">
        <f>T51</f>
        <v>252000</v>
      </c>
      <c r="Z51" s="152"/>
      <c r="AA51" s="282"/>
      <c r="AB51" s="171">
        <f>T51</f>
        <v>252000</v>
      </c>
      <c r="AD51" s="151"/>
      <c r="AE51" s="172"/>
      <c r="AF51" s="172"/>
      <c r="AG51" s="172"/>
      <c r="AH51" s="728">
        <f>T51</f>
        <v>252000</v>
      </c>
    </row>
    <row r="52" spans="1:34" x14ac:dyDescent="0.3">
      <c r="A52" s="157"/>
      <c r="B52" s="157"/>
      <c r="C52" s="157"/>
      <c r="D52" s="157"/>
      <c r="E52" s="157"/>
      <c r="F52" s="158"/>
      <c r="G52" s="157"/>
      <c r="H52" s="157"/>
      <c r="I52" s="474"/>
      <c r="J52" s="1"/>
      <c r="K52" s="1"/>
      <c r="L52" s="163"/>
      <c r="M52" s="163"/>
      <c r="N52" s="473"/>
      <c r="O52" s="165"/>
      <c r="P52" s="476"/>
      <c r="Q52" s="473"/>
      <c r="R52" s="9"/>
      <c r="S52" s="504"/>
      <c r="T52" s="507"/>
      <c r="U52" s="565"/>
      <c r="Z52" s="152"/>
      <c r="AA52" s="282"/>
      <c r="AB52" s="171"/>
      <c r="AD52" s="151"/>
      <c r="AE52" s="172"/>
      <c r="AF52" s="172"/>
      <c r="AG52" s="172"/>
      <c r="AH52" s="724"/>
    </row>
    <row r="53" spans="1:34" x14ac:dyDescent="0.3">
      <c r="A53" s="157"/>
      <c r="B53" s="157"/>
      <c r="C53" s="157"/>
      <c r="D53" s="157"/>
      <c r="E53" s="157"/>
      <c r="F53" s="158"/>
      <c r="G53" s="157"/>
      <c r="H53" s="157"/>
      <c r="I53" s="474"/>
      <c r="J53" s="1"/>
      <c r="K53" s="1"/>
      <c r="L53" s="163"/>
      <c r="M53" s="163"/>
      <c r="N53" s="473"/>
      <c r="O53" s="165"/>
      <c r="P53" s="476"/>
      <c r="Q53" s="473"/>
      <c r="R53" s="9"/>
      <c r="S53" s="504"/>
      <c r="T53" s="507"/>
      <c r="U53" s="565"/>
      <c r="Z53" s="152"/>
      <c r="AA53" s="282"/>
      <c r="AB53" s="171"/>
      <c r="AD53" s="151"/>
      <c r="AE53" s="172"/>
      <c r="AF53" s="172"/>
      <c r="AG53" s="172"/>
      <c r="AH53" s="724"/>
    </row>
    <row r="54" spans="1:34" x14ac:dyDescent="0.3">
      <c r="A54" s="108" t="s">
        <v>716</v>
      </c>
      <c r="B54" s="108" t="s">
        <v>739</v>
      </c>
      <c r="C54" s="108" t="s">
        <v>740</v>
      </c>
      <c r="D54" s="108"/>
      <c r="E54" s="108"/>
      <c r="F54" s="479"/>
      <c r="G54" s="108"/>
      <c r="H54" s="108"/>
      <c r="I54" s="289"/>
      <c r="J54" s="252"/>
      <c r="K54" s="252"/>
      <c r="L54" s="730"/>
      <c r="M54" s="730"/>
      <c r="N54" s="731"/>
      <c r="O54" s="732"/>
      <c r="P54" s="733"/>
      <c r="Q54" s="731">
        <v>300000</v>
      </c>
      <c r="R54" s="734"/>
      <c r="S54" s="735">
        <f>Q54/$Q$58</f>
        <v>7.952042857890386E-2</v>
      </c>
      <c r="T54" s="502">
        <f t="shared" ref="T54:T56" si="7">Q54*2</f>
        <v>600000</v>
      </c>
      <c r="U54" s="565"/>
      <c r="Y54" s="169">
        <f>T54</f>
        <v>600000</v>
      </c>
      <c r="Z54" s="171"/>
      <c r="AA54" s="282"/>
      <c r="AB54" s="171"/>
      <c r="AD54" s="151"/>
      <c r="AE54" s="172"/>
      <c r="AF54" s="172"/>
      <c r="AG54" s="172"/>
      <c r="AH54" s="724"/>
    </row>
    <row r="55" spans="1:34" x14ac:dyDescent="0.3">
      <c r="A55" s="108" t="s">
        <v>716</v>
      </c>
      <c r="B55" s="108" t="s">
        <v>528</v>
      </c>
      <c r="C55" s="108" t="s">
        <v>741</v>
      </c>
      <c r="D55" s="108"/>
      <c r="E55" s="108"/>
      <c r="F55" s="479"/>
      <c r="G55" s="108"/>
      <c r="H55" s="108"/>
      <c r="I55" s="289"/>
      <c r="J55" s="252"/>
      <c r="K55" s="252"/>
      <c r="L55" s="730"/>
      <c r="M55" s="730"/>
      <c r="N55" s="257"/>
      <c r="O55" s="109"/>
      <c r="P55" s="290"/>
      <c r="Q55" s="257">
        <v>250000</v>
      </c>
      <c r="R55" s="290"/>
      <c r="S55" s="735">
        <f>Q55/$Q$58</f>
        <v>6.6267023815753223E-2</v>
      </c>
      <c r="T55" s="502">
        <f t="shared" si="7"/>
        <v>500000</v>
      </c>
      <c r="U55" s="150"/>
      <c r="X55" s="169">
        <f>T55</f>
        <v>500000</v>
      </c>
      <c r="Y55" s="169"/>
      <c r="Z55" s="152"/>
      <c r="AA55" s="280"/>
      <c r="AB55" s="171"/>
      <c r="AD55" s="151"/>
      <c r="AE55" s="172"/>
      <c r="AF55" s="172"/>
      <c r="AG55" s="172"/>
      <c r="AH55" s="724"/>
    </row>
    <row r="56" spans="1:34" x14ac:dyDescent="0.3">
      <c r="A56" s="108" t="s">
        <v>716</v>
      </c>
      <c r="B56" s="108" t="s">
        <v>529</v>
      </c>
      <c r="C56" s="108"/>
      <c r="D56" s="108"/>
      <c r="E56" s="108"/>
      <c r="F56" s="479"/>
      <c r="G56" s="108"/>
      <c r="H56" s="108"/>
      <c r="I56" s="251"/>
      <c r="J56" s="254"/>
      <c r="K56" s="254"/>
      <c r="L56" s="736"/>
      <c r="M56" s="730"/>
      <c r="N56" s="257"/>
      <c r="O56" s="109"/>
      <c r="P56" s="290"/>
      <c r="Q56" s="257">
        <v>350000</v>
      </c>
      <c r="R56" s="480"/>
      <c r="S56" s="291">
        <f>Q56/Q58</f>
        <v>9.277383334205451E-2</v>
      </c>
      <c r="T56" s="502">
        <f t="shared" si="7"/>
        <v>700000</v>
      </c>
      <c r="U56" s="150"/>
      <c r="Z56" s="171">
        <f>T56</f>
        <v>700000</v>
      </c>
      <c r="AA56" s="280"/>
      <c r="AB56" s="152"/>
      <c r="AD56" s="151"/>
      <c r="AE56" s="172"/>
      <c r="AF56" s="172"/>
      <c r="AG56" s="172"/>
      <c r="AH56" s="724"/>
    </row>
    <row r="57" spans="1:34" x14ac:dyDescent="0.3">
      <c r="I57" s="115">
        <f>I58/$M$58</f>
        <v>0.26952141057934509</v>
      </c>
      <c r="J57" s="115">
        <f t="shared" ref="J57:L57" si="8">J58/$M$58</f>
        <v>0.3056255247691016</v>
      </c>
      <c r="K57" s="115">
        <f t="shared" si="8"/>
        <v>0.31738035264483627</v>
      </c>
      <c r="L57" s="115">
        <f t="shared" si="8"/>
        <v>0.10747271200671704</v>
      </c>
      <c r="T57" s="206"/>
      <c r="U57" s="150"/>
      <c r="Z57" s="152"/>
      <c r="AA57" s="566"/>
      <c r="AB57" s="567"/>
      <c r="AD57" s="737"/>
      <c r="AE57" s="738"/>
      <c r="AF57" s="738"/>
      <c r="AG57" s="738"/>
      <c r="AH57" s="739"/>
    </row>
    <row r="58" spans="1:34" x14ac:dyDescent="0.3">
      <c r="A58" s="212" t="s">
        <v>531</v>
      </c>
      <c r="B58" s="213"/>
      <c r="C58" s="213"/>
      <c r="D58" s="213"/>
      <c r="E58" s="213"/>
      <c r="F58" s="214"/>
      <c r="G58" s="213"/>
      <c r="H58" s="213"/>
      <c r="I58" s="213">
        <f>I46+I35+I34+I38</f>
        <v>321</v>
      </c>
      <c r="J58" s="213">
        <f>J48+J40+J34+J36+J37</f>
        <v>364</v>
      </c>
      <c r="K58" s="213">
        <f>K51+K47+K41+K40+K35</f>
        <v>378</v>
      </c>
      <c r="L58" s="213">
        <f>L51+L47</f>
        <v>128</v>
      </c>
      <c r="M58" s="213">
        <f>SUM(I58:L58)</f>
        <v>1191</v>
      </c>
      <c r="N58" s="215"/>
      <c r="O58" s="216"/>
      <c r="P58" s="215"/>
      <c r="Q58" s="217">
        <f>SUM(Q33:Q57)</f>
        <v>3772615.4820999997</v>
      </c>
      <c r="R58" s="481"/>
      <c r="S58" s="218">
        <f>SUM(S34:S56)</f>
        <v>1</v>
      </c>
      <c r="T58" s="292">
        <f>SUM(T33:T56)</f>
        <v>7545230.9641999993</v>
      </c>
      <c r="U58" s="569">
        <f>SUM(U47:U56)</f>
        <v>0</v>
      </c>
      <c r="V58" s="570">
        <f>SUM(V33:V56)</f>
        <v>4322561.8559999997</v>
      </c>
      <c r="W58" s="570">
        <f>SUM(W33:W57)</f>
        <v>1422669.1082000001</v>
      </c>
      <c r="X58" s="570">
        <f t="shared" ref="X58:Z58" si="9">SUM(X33:X57)</f>
        <v>500000</v>
      </c>
      <c r="Y58" s="570">
        <f t="shared" si="9"/>
        <v>600000</v>
      </c>
      <c r="Z58" s="570">
        <f t="shared" si="9"/>
        <v>700000</v>
      </c>
      <c r="AA58" s="222">
        <f>SUM(AA33:AA56)</f>
        <v>1345635.5520000001</v>
      </c>
      <c r="AB58" s="223">
        <f>SUM(AB33:AB57)</f>
        <v>2832917.9240000001</v>
      </c>
      <c r="AC58" s="99"/>
      <c r="AD58" s="614">
        <f>SUM(AD33:AD57)</f>
        <v>3473719.7481999993</v>
      </c>
      <c r="AE58" s="641">
        <f>SUM(AE33:AE57)</f>
        <v>848967.21600000001</v>
      </c>
      <c r="AF58" s="641">
        <f>SUM(AF33:AF57)</f>
        <v>780000</v>
      </c>
      <c r="AG58" s="641">
        <f>SUM(AG33:AG57)</f>
        <v>390544</v>
      </c>
      <c r="AH58" s="642">
        <f>SUM(AH33:AH57)</f>
        <v>252000</v>
      </c>
    </row>
    <row r="59" spans="1:34" x14ac:dyDescent="0.3">
      <c r="A59" s="228" t="s">
        <v>532</v>
      </c>
      <c r="B59" s="229"/>
      <c r="C59" s="229"/>
      <c r="D59" s="229"/>
      <c r="E59" s="229"/>
      <c r="F59" s="230"/>
      <c r="G59" s="229"/>
      <c r="H59" s="229"/>
      <c r="I59" s="229">
        <f>I46+I35+I34+I38</f>
        <v>321</v>
      </c>
      <c r="J59" s="229">
        <f>J48+J40+J34+J36+J37</f>
        <v>364</v>
      </c>
      <c r="K59" s="229">
        <f>K51+K47+K41+K40+K35</f>
        <v>378</v>
      </c>
      <c r="L59" s="229">
        <f>L51+L47</f>
        <v>128</v>
      </c>
      <c r="M59" s="229">
        <f>SUM(I59:L59)</f>
        <v>1191</v>
      </c>
      <c r="N59" s="231"/>
      <c r="O59" s="232"/>
      <c r="P59" s="231"/>
      <c r="Q59" s="231"/>
      <c r="R59" s="231"/>
      <c r="S59" s="233"/>
      <c r="T59" s="234"/>
      <c r="U59" s="235">
        <f>U58/T58</f>
        <v>0</v>
      </c>
      <c r="V59" s="236">
        <f>V58/T58</f>
        <v>0.57288661891323689</v>
      </c>
      <c r="W59" s="236">
        <f>W58/T58</f>
        <v>0.1885520953500516</v>
      </c>
      <c r="X59" s="236">
        <f>X58/T58</f>
        <v>6.6267023815753223E-2</v>
      </c>
      <c r="Y59" s="236">
        <f>Y58/T58</f>
        <v>7.952042857890386E-2</v>
      </c>
      <c r="Z59" s="297">
        <f>Z58/T58</f>
        <v>9.277383334205451E-2</v>
      </c>
      <c r="AA59" s="298">
        <f>AA58/T58</f>
        <v>0.17834252634341649</v>
      </c>
      <c r="AB59" s="297">
        <f>AB58/T58</f>
        <v>0.37545807907556439</v>
      </c>
      <c r="AC59" s="421">
        <f>AA60+AB60</f>
        <v>1194</v>
      </c>
      <c r="AD59" s="573"/>
      <c r="AE59" s="486"/>
      <c r="AF59" s="487"/>
      <c r="AG59" s="487"/>
      <c r="AH59" s="242"/>
    </row>
    <row r="60" spans="1:34" x14ac:dyDescent="0.3">
      <c r="A60" s="243" t="s">
        <v>533</v>
      </c>
      <c r="B60" s="193"/>
      <c r="C60" s="193"/>
      <c r="D60" s="193"/>
      <c r="E60" s="193"/>
      <c r="F60" s="244"/>
      <c r="G60" s="193"/>
      <c r="H60" s="193"/>
      <c r="I60" s="2182">
        <f>I59/$M$59</f>
        <v>0.26952141057934509</v>
      </c>
      <c r="J60" s="2182">
        <f t="shared" ref="J60:L60" si="10">J59/$M$59</f>
        <v>0.3056255247691016</v>
      </c>
      <c r="K60" s="2182">
        <f t="shared" si="10"/>
        <v>0.31738035264483627</v>
      </c>
      <c r="L60" s="2182">
        <f t="shared" si="10"/>
        <v>0.10747271200671704</v>
      </c>
      <c r="M60" s="193"/>
      <c r="N60" s="246"/>
      <c r="O60" s="196"/>
      <c r="P60" s="246"/>
      <c r="Q60" s="194">
        <f>U58/2</f>
        <v>0</v>
      </c>
      <c r="R60" s="288"/>
      <c r="S60" s="247">
        <f>Q60/Q66</f>
        <v>0</v>
      </c>
      <c r="Z60" s="248"/>
      <c r="AA60" s="357">
        <f>I34+J34+I38+J40+K40+I43</f>
        <v>504</v>
      </c>
      <c r="AB60" s="358">
        <f>I35+K35+J36+J37+K41+I46+K47+L47+J48+K51+L51</f>
        <v>690</v>
      </c>
      <c r="AC60" s="4" t="s">
        <v>534</v>
      </c>
    </row>
    <row r="61" spans="1:34" x14ac:dyDescent="0.3">
      <c r="A61" s="251" t="s">
        <v>11</v>
      </c>
      <c r="B61" s="252"/>
      <c r="C61" s="252"/>
      <c r="D61" s="252"/>
      <c r="E61" s="252"/>
      <c r="F61" s="253"/>
      <c r="G61" s="252"/>
      <c r="H61" s="252"/>
      <c r="I61" s="254"/>
      <c r="J61" s="254"/>
      <c r="K61" s="254"/>
      <c r="L61" s="254"/>
      <c r="M61" s="252"/>
      <c r="N61" s="255"/>
      <c r="O61" s="256"/>
      <c r="P61" s="255"/>
      <c r="Q61" s="257">
        <f>V58/2</f>
        <v>2161280.9279999998</v>
      </c>
      <c r="R61" s="290"/>
      <c r="S61" s="262">
        <f>Q61/Q66</f>
        <v>0.57288661891323689</v>
      </c>
      <c r="T61" s="574">
        <f>Q58/M58</f>
        <v>3167.6032595298066</v>
      </c>
      <c r="U61" s="489" t="s">
        <v>535</v>
      </c>
      <c r="Z61" s="169"/>
      <c r="AA61" s="195">
        <f>AA60/M58</f>
        <v>0.42317380352644834</v>
      </c>
      <c r="AB61" s="247">
        <f>AB60/M58</f>
        <v>0.57934508816120911</v>
      </c>
    </row>
    <row r="62" spans="1:34" x14ac:dyDescent="0.3">
      <c r="A62" s="251" t="s">
        <v>536</v>
      </c>
      <c r="B62" s="252"/>
      <c r="C62" s="252"/>
      <c r="D62" s="252"/>
      <c r="E62" s="252"/>
      <c r="F62" s="253"/>
      <c r="G62" s="252"/>
      <c r="H62" s="252"/>
      <c r="I62" s="254"/>
      <c r="J62" s="254"/>
      <c r="K62" s="254"/>
      <c r="L62" s="254"/>
      <c r="M62" s="252"/>
      <c r="N62" s="255"/>
      <c r="O62" s="256"/>
      <c r="P62" s="255"/>
      <c r="Q62" s="257">
        <f>W58/2</f>
        <v>711334.55410000007</v>
      </c>
      <c r="R62" s="290"/>
      <c r="S62" s="262">
        <f>Q62/Q66</f>
        <v>0.1885520953500516</v>
      </c>
      <c r="V62" s="263"/>
      <c r="X62" s="99"/>
      <c r="Y62" s="99"/>
      <c r="Z62" s="263"/>
      <c r="AA62" s="2265" t="s">
        <v>537</v>
      </c>
      <c r="AB62" s="2265"/>
    </row>
    <row r="63" spans="1:34" x14ac:dyDescent="0.3">
      <c r="A63" s="251" t="s">
        <v>529</v>
      </c>
      <c r="B63" s="252"/>
      <c r="C63" s="252"/>
      <c r="D63" s="252"/>
      <c r="E63" s="252"/>
      <c r="F63" s="253"/>
      <c r="G63" s="252"/>
      <c r="H63" s="252"/>
      <c r="I63" s="254"/>
      <c r="J63" s="254"/>
      <c r="K63" s="254"/>
      <c r="L63" s="254"/>
      <c r="M63" s="252"/>
      <c r="N63" s="255"/>
      <c r="O63" s="256"/>
      <c r="P63" s="255"/>
      <c r="Q63" s="257">
        <f>Z58/2</f>
        <v>350000</v>
      </c>
      <c r="R63" s="290"/>
      <c r="S63" s="262">
        <f>Q63/Q66</f>
        <v>9.277383334205451E-2</v>
      </c>
      <c r="V63" s="263"/>
    </row>
    <row r="64" spans="1:34" x14ac:dyDescent="0.3">
      <c r="A64" s="251" t="s">
        <v>528</v>
      </c>
      <c r="B64" s="252"/>
      <c r="C64" s="252"/>
      <c r="D64" s="252"/>
      <c r="E64" s="252"/>
      <c r="F64" s="253"/>
      <c r="G64" s="252"/>
      <c r="H64" s="252"/>
      <c r="I64" s="254"/>
      <c r="J64" s="254"/>
      <c r="K64" s="254"/>
      <c r="L64" s="254"/>
      <c r="M64" s="252"/>
      <c r="N64" s="255"/>
      <c r="O64" s="256"/>
      <c r="P64" s="255"/>
      <c r="Q64" s="257">
        <f>X58/2</f>
        <v>250000</v>
      </c>
      <c r="R64" s="290"/>
      <c r="S64" s="262">
        <f>Q64/Q66</f>
        <v>6.6267023815753223E-2</v>
      </c>
    </row>
    <row r="65" spans="1:35" x14ac:dyDescent="0.3">
      <c r="A65" s="251" t="s">
        <v>742</v>
      </c>
      <c r="B65" s="252"/>
      <c r="C65" s="252"/>
      <c r="D65" s="252"/>
      <c r="E65" s="252"/>
      <c r="F65" s="253"/>
      <c r="G65" s="252"/>
      <c r="H65" s="252"/>
      <c r="I65" s="254"/>
      <c r="J65" s="254"/>
      <c r="K65" s="254"/>
      <c r="L65" s="254"/>
      <c r="M65" s="252"/>
      <c r="N65" s="255"/>
      <c r="O65" s="256"/>
      <c r="P65" s="255"/>
      <c r="Q65" s="257">
        <f>Y58/2</f>
        <v>300000</v>
      </c>
      <c r="R65" s="290"/>
      <c r="S65" s="262">
        <f>Q65/Q66</f>
        <v>7.952042857890386E-2</v>
      </c>
    </row>
    <row r="66" spans="1:35" x14ac:dyDescent="0.3">
      <c r="A66" s="251"/>
      <c r="B66" s="252"/>
      <c r="C66" s="252"/>
      <c r="D66" s="252"/>
      <c r="E66" s="252"/>
      <c r="F66" s="253"/>
      <c r="G66" s="252"/>
      <c r="H66" s="252"/>
      <c r="I66" s="254"/>
      <c r="J66" s="254"/>
      <c r="K66" s="254"/>
      <c r="L66" s="254"/>
      <c r="M66" s="252"/>
      <c r="N66" s="255"/>
      <c r="O66" s="256"/>
      <c r="P66" s="255"/>
      <c r="Q66" s="740">
        <f>SUM(Q60:Q65)</f>
        <v>3772615.4820999997</v>
      </c>
      <c r="R66" s="490"/>
      <c r="S66" s="262">
        <f>SUM(S60:S64)</f>
        <v>0.92047957142109615</v>
      </c>
    </row>
    <row r="69" spans="1:35" ht="18" x14ac:dyDescent="0.35">
      <c r="A69" s="118" t="s">
        <v>479</v>
      </c>
      <c r="S69" s="98"/>
    </row>
    <row r="71" spans="1:35" x14ac:dyDescent="0.3">
      <c r="A71" s="2335" t="s">
        <v>480</v>
      </c>
      <c r="B71" s="2336"/>
      <c r="C71" s="2336"/>
      <c r="D71" s="2336"/>
      <c r="E71" s="2336"/>
      <c r="F71" s="2336"/>
      <c r="G71" s="2336"/>
      <c r="H71" s="2336"/>
      <c r="I71" s="2336"/>
      <c r="J71" s="2336"/>
      <c r="K71" s="2336"/>
      <c r="L71" s="2336"/>
      <c r="M71" s="2336"/>
      <c r="N71" s="2336"/>
      <c r="O71" s="2336"/>
      <c r="P71" s="2336"/>
      <c r="Q71" s="2336"/>
      <c r="R71" s="2336"/>
      <c r="S71" s="2337"/>
      <c r="T71" s="2338" t="s">
        <v>584</v>
      </c>
      <c r="U71" s="2339"/>
      <c r="V71" s="2339"/>
      <c r="W71" s="2339"/>
      <c r="X71" s="2339"/>
      <c r="Y71" s="2339"/>
      <c r="Z71" s="2339"/>
      <c r="AA71" s="2339"/>
      <c r="AB71" s="2339"/>
      <c r="AC71" s="2339"/>
      <c r="AD71" s="2339"/>
      <c r="AE71" s="2339"/>
      <c r="AF71" s="2339"/>
      <c r="AG71" s="2339"/>
      <c r="AH71" s="2340"/>
    </row>
    <row r="72" spans="1:35" ht="18" x14ac:dyDescent="0.35">
      <c r="A72" s="2284" t="s">
        <v>482</v>
      </c>
      <c r="B72" s="2286" t="s">
        <v>483</v>
      </c>
      <c r="C72" s="2286" t="s">
        <v>484</v>
      </c>
      <c r="D72" s="2286" t="s">
        <v>485</v>
      </c>
      <c r="E72" s="2286" t="s">
        <v>486</v>
      </c>
      <c r="F72" s="2288" t="s">
        <v>487</v>
      </c>
      <c r="G72" s="2286" t="s">
        <v>488</v>
      </c>
      <c r="H72" s="2286" t="s">
        <v>489</v>
      </c>
      <c r="I72" s="2266" t="s">
        <v>490</v>
      </c>
      <c r="J72" s="2266"/>
      <c r="K72" s="2266"/>
      <c r="L72" s="2266"/>
      <c r="M72" s="265" t="s">
        <v>491</v>
      </c>
      <c r="N72" s="266" t="s">
        <v>492</v>
      </c>
      <c r="O72" s="267" t="s">
        <v>493</v>
      </c>
      <c r="P72" s="266" t="s">
        <v>492</v>
      </c>
      <c r="Q72" s="266" t="s">
        <v>494</v>
      </c>
      <c r="R72" s="491" t="s">
        <v>585</v>
      </c>
      <c r="S72" s="2267" t="s">
        <v>495</v>
      </c>
      <c r="T72" s="692" t="s">
        <v>496</v>
      </c>
      <c r="U72" s="2425" t="s">
        <v>497</v>
      </c>
      <c r="V72" s="2425"/>
      <c r="W72" s="2425"/>
      <c r="X72" s="2425"/>
      <c r="Y72" s="2425"/>
      <c r="Z72" s="2426"/>
      <c r="AA72" s="2418" t="s">
        <v>498</v>
      </c>
      <c r="AB72" s="2419"/>
      <c r="AC72" s="2418" t="s">
        <v>499</v>
      </c>
      <c r="AD72" s="2422"/>
      <c r="AE72" s="2422"/>
      <c r="AF72" s="2422"/>
      <c r="AG72" s="2422"/>
      <c r="AH72" s="2419"/>
    </row>
    <row r="73" spans="1:35" ht="18" x14ac:dyDescent="0.35">
      <c r="A73" s="2285"/>
      <c r="B73" s="2287"/>
      <c r="C73" s="2287"/>
      <c r="D73" s="2287"/>
      <c r="E73" s="2287"/>
      <c r="F73" s="2289"/>
      <c r="G73" s="2287"/>
      <c r="H73" s="2287"/>
      <c r="I73" s="269" t="s">
        <v>500</v>
      </c>
      <c r="J73" s="269" t="s">
        <v>501</v>
      </c>
      <c r="K73" s="269" t="s">
        <v>502</v>
      </c>
      <c r="L73" s="269" t="s">
        <v>503</v>
      </c>
      <c r="M73" s="270" t="s">
        <v>504</v>
      </c>
      <c r="N73" s="271" t="s">
        <v>505</v>
      </c>
      <c r="O73" s="272" t="s">
        <v>506</v>
      </c>
      <c r="P73" s="271" t="s">
        <v>507</v>
      </c>
      <c r="Q73" s="271" t="s">
        <v>507</v>
      </c>
      <c r="R73" s="271"/>
      <c r="S73" s="2268"/>
      <c r="T73" s="671" t="s">
        <v>508</v>
      </c>
      <c r="U73" s="2428"/>
      <c r="V73" s="2428"/>
      <c r="W73" s="2428"/>
      <c r="X73" s="2428"/>
      <c r="Y73" s="2428"/>
      <c r="Z73" s="2429"/>
      <c r="AA73" s="2420"/>
      <c r="AB73" s="2421"/>
      <c r="AC73" s="2420"/>
      <c r="AD73" s="2423"/>
      <c r="AE73" s="2423"/>
      <c r="AF73" s="2423"/>
      <c r="AG73" s="2423"/>
      <c r="AH73" s="2421"/>
    </row>
    <row r="74" spans="1:35" ht="18" x14ac:dyDescent="0.35">
      <c r="A74" s="2359" t="s">
        <v>540</v>
      </c>
      <c r="B74" s="2360"/>
      <c r="C74" s="2360"/>
      <c r="D74" s="2360"/>
      <c r="E74" s="2360"/>
      <c r="F74" s="2360"/>
      <c r="G74" s="2360"/>
      <c r="H74" s="2360"/>
      <c r="I74" s="2360"/>
      <c r="J74" s="2360"/>
      <c r="K74" s="2360"/>
      <c r="L74" s="2360"/>
      <c r="M74" s="2360"/>
      <c r="N74" s="2360"/>
      <c r="O74" s="2360"/>
      <c r="P74" s="2360"/>
      <c r="Q74" s="2360"/>
      <c r="R74" s="2360"/>
      <c r="S74" s="2360"/>
      <c r="T74" s="741"/>
      <c r="U74" s="716" t="s">
        <v>510</v>
      </c>
      <c r="V74" s="717" t="s">
        <v>11</v>
      </c>
      <c r="W74" s="717" t="s">
        <v>511</v>
      </c>
      <c r="X74" s="717" t="s">
        <v>512</v>
      </c>
      <c r="Y74" s="717" t="s">
        <v>715</v>
      </c>
      <c r="Z74" s="718" t="s">
        <v>513</v>
      </c>
      <c r="AA74" s="719" t="s">
        <v>514</v>
      </c>
      <c r="AB74" s="718" t="s">
        <v>515</v>
      </c>
      <c r="AC74" s="720"/>
      <c r="AD74" s="721" t="s">
        <v>0</v>
      </c>
      <c r="AE74" s="722" t="s">
        <v>1</v>
      </c>
      <c r="AF74" s="722" t="s">
        <v>743</v>
      </c>
      <c r="AG74" s="722" t="s">
        <v>3</v>
      </c>
      <c r="AH74" s="723" t="s">
        <v>110</v>
      </c>
      <c r="AI74" s="137"/>
    </row>
    <row r="75" spans="1:35" x14ac:dyDescent="0.3">
      <c r="A75" s="154"/>
      <c r="B75" s="462"/>
      <c r="C75" s="462"/>
      <c r="D75" s="462"/>
      <c r="E75" s="462"/>
      <c r="F75" s="463"/>
      <c r="G75" s="462"/>
      <c r="H75" s="462"/>
      <c r="I75" s="465"/>
      <c r="J75" s="465"/>
      <c r="K75" s="465"/>
      <c r="L75" s="465"/>
      <c r="M75" s="462"/>
      <c r="N75" s="468"/>
      <c r="O75" s="469"/>
      <c r="P75" s="468"/>
      <c r="Q75" s="468"/>
      <c r="R75" s="470"/>
      <c r="S75" s="501"/>
      <c r="T75" s="149"/>
      <c r="U75" s="150"/>
      <c r="Z75" s="152"/>
      <c r="AA75" s="280"/>
      <c r="AB75" s="152"/>
      <c r="AD75" s="151"/>
      <c r="AE75" s="172"/>
      <c r="AF75" s="172"/>
      <c r="AG75" s="172"/>
      <c r="AH75" s="724"/>
    </row>
    <row r="76" spans="1:35" x14ac:dyDescent="0.3">
      <c r="A76" s="157" t="s">
        <v>716</v>
      </c>
      <c r="B76" s="157" t="s">
        <v>111</v>
      </c>
      <c r="C76" s="157" t="s">
        <v>717</v>
      </c>
      <c r="D76" s="157" t="s">
        <v>112</v>
      </c>
      <c r="E76" s="157" t="s">
        <v>520</v>
      </c>
      <c r="F76" s="158" t="s">
        <v>718</v>
      </c>
      <c r="G76" s="157">
        <v>150</v>
      </c>
      <c r="H76" s="157" t="s">
        <v>22</v>
      </c>
      <c r="I76" s="159">
        <v>150</v>
      </c>
      <c r="J76" s="725">
        <v>150</v>
      </c>
      <c r="K76" s="160"/>
      <c r="L76" s="162"/>
      <c r="M76" s="163">
        <v>2</v>
      </c>
      <c r="N76" s="473">
        <v>3429.22</v>
      </c>
      <c r="O76" s="165">
        <v>0.48</v>
      </c>
      <c r="P76" s="166">
        <f>N76*(1-O76)</f>
        <v>1783.1943999999999</v>
      </c>
      <c r="Q76" s="166">
        <f t="shared" ref="Q76:Q81" si="11">P76*M76*G76</f>
        <v>534958.31999999995</v>
      </c>
      <c r="R76" s="206" t="e">
        <f>(Q76+Q77+#REF!+#REF!)/E52*1000</f>
        <v>#REF!</v>
      </c>
      <c r="S76" s="178">
        <f>Q76/$Q$102</f>
        <v>0.14306832991845053</v>
      </c>
      <c r="T76" s="168">
        <f>Q76</f>
        <v>534958.31999999995</v>
      </c>
      <c r="U76" s="150"/>
      <c r="V76" s="169">
        <f>T76</f>
        <v>534958.31999999995</v>
      </c>
      <c r="W76" s="169"/>
      <c r="X76" s="169"/>
      <c r="Y76" s="169"/>
      <c r="Z76" s="171"/>
      <c r="AA76" s="282">
        <f>T76</f>
        <v>534958.31999999995</v>
      </c>
      <c r="AB76" s="171"/>
      <c r="AD76" s="170">
        <f t="shared" ref="AD76:AD81" si="12">T76</f>
        <v>534958.31999999995</v>
      </c>
      <c r="AE76" s="172"/>
      <c r="AF76" s="172"/>
      <c r="AG76" s="172"/>
      <c r="AH76" s="724"/>
    </row>
    <row r="77" spans="1:35" x14ac:dyDescent="0.3">
      <c r="A77" s="157" t="s">
        <v>716</v>
      </c>
      <c r="B77" s="157" t="s">
        <v>113</v>
      </c>
      <c r="C77" s="157" t="s">
        <v>717</v>
      </c>
      <c r="D77" s="157" t="s">
        <v>112</v>
      </c>
      <c r="E77" s="157" t="s">
        <v>518</v>
      </c>
      <c r="F77" s="158" t="s">
        <v>719</v>
      </c>
      <c r="G77" s="157">
        <v>100</v>
      </c>
      <c r="H77" s="157" t="s">
        <v>22</v>
      </c>
      <c r="I77" s="176">
        <v>100</v>
      </c>
      <c r="J77" s="160"/>
      <c r="K77" s="176">
        <v>100</v>
      </c>
      <c r="L77" s="180"/>
      <c r="M77" s="163">
        <v>2</v>
      </c>
      <c r="N77" s="166">
        <v>6980.9</v>
      </c>
      <c r="O77" s="173">
        <v>0.35</v>
      </c>
      <c r="P77" s="166">
        <f>N77*(1-O77)</f>
        <v>4537.585</v>
      </c>
      <c r="Q77" s="166">
        <f t="shared" si="11"/>
        <v>907517</v>
      </c>
      <c r="R77" s="206" t="e">
        <f>(Q77+Q78+#REF!+#REF!)/E53*1000</f>
        <v>#REF!</v>
      </c>
      <c r="S77" s="167">
        <f>Q77/$Q$102</f>
        <v>0.24270478036980989</v>
      </c>
      <c r="T77" s="168">
        <f t="shared" ref="T77:T93" si="13">Q77</f>
        <v>907517</v>
      </c>
      <c r="U77" s="150"/>
      <c r="V77" s="169">
        <f>T77</f>
        <v>907517</v>
      </c>
      <c r="Z77" s="152"/>
      <c r="AA77" s="282"/>
      <c r="AB77" s="171">
        <f t="shared" ref="AB77:AB81" si="14">T77</f>
        <v>907517</v>
      </c>
      <c r="AD77" s="170">
        <f t="shared" si="12"/>
        <v>907517</v>
      </c>
      <c r="AE77" s="172"/>
      <c r="AF77" s="172"/>
      <c r="AG77" s="172"/>
      <c r="AH77" s="724"/>
    </row>
    <row r="78" spans="1:35" x14ac:dyDescent="0.3">
      <c r="A78" s="157" t="s">
        <v>716</v>
      </c>
      <c r="B78" s="157" t="s">
        <v>113</v>
      </c>
      <c r="C78" s="157" t="s">
        <v>720</v>
      </c>
      <c r="D78" s="157" t="s">
        <v>114</v>
      </c>
      <c r="E78" s="157" t="s">
        <v>721</v>
      </c>
      <c r="F78" s="158" t="s">
        <v>83</v>
      </c>
      <c r="G78" s="157">
        <v>1</v>
      </c>
      <c r="H78" s="157" t="s">
        <v>22</v>
      </c>
      <c r="I78" s="188"/>
      <c r="J78" s="725">
        <v>25</v>
      </c>
      <c r="L78" s="286"/>
      <c r="M78" s="163">
        <v>1</v>
      </c>
      <c r="N78" s="166">
        <v>80709</v>
      </c>
      <c r="O78" s="173">
        <v>0.43</v>
      </c>
      <c r="P78" s="166">
        <f t="shared" ref="P78:P81" si="15">N78*(1-O78)</f>
        <v>46004.130000000005</v>
      </c>
      <c r="Q78" s="166">
        <f t="shared" si="11"/>
        <v>46004.130000000005</v>
      </c>
      <c r="R78" s="206"/>
      <c r="S78" s="167">
        <f t="shared" ref="S78:S80" si="16">Q78/$Q$102</f>
        <v>1.2303265137462089E-2</v>
      </c>
      <c r="T78" s="168">
        <f t="shared" si="13"/>
        <v>46004.130000000005</v>
      </c>
      <c r="U78" s="150"/>
      <c r="V78" s="169"/>
      <c r="W78" s="169">
        <f>T78</f>
        <v>46004.130000000005</v>
      </c>
      <c r="Z78" s="152"/>
      <c r="AA78" s="282"/>
      <c r="AB78" s="171">
        <f t="shared" si="14"/>
        <v>46004.130000000005</v>
      </c>
      <c r="AD78" s="170">
        <f t="shared" si="12"/>
        <v>46004.130000000005</v>
      </c>
      <c r="AE78" s="172"/>
      <c r="AF78" s="172"/>
      <c r="AG78" s="172"/>
      <c r="AH78" s="724"/>
    </row>
    <row r="79" spans="1:35" x14ac:dyDescent="0.3">
      <c r="A79" s="157" t="s">
        <v>716</v>
      </c>
      <c r="B79" s="157" t="s">
        <v>111</v>
      </c>
      <c r="C79" s="157" t="s">
        <v>720</v>
      </c>
      <c r="D79" s="157" t="s">
        <v>114</v>
      </c>
      <c r="E79" s="157" t="s">
        <v>722</v>
      </c>
      <c r="F79" s="158" t="s">
        <v>115</v>
      </c>
      <c r="G79" s="157">
        <v>1</v>
      </c>
      <c r="H79" s="157" t="s">
        <v>22</v>
      </c>
      <c r="I79" s="188"/>
      <c r="J79" s="176">
        <v>49</v>
      </c>
      <c r="L79" s="286"/>
      <c r="M79" s="163">
        <v>1</v>
      </c>
      <c r="N79" s="166">
        <v>67237.13</v>
      </c>
      <c r="O79" s="173">
        <v>0.43</v>
      </c>
      <c r="P79" s="166">
        <f t="shared" si="15"/>
        <v>38325.164100000009</v>
      </c>
      <c r="Q79" s="166">
        <f t="shared" si="11"/>
        <v>38325.164100000009</v>
      </c>
      <c r="R79" s="206"/>
      <c r="S79" s="167">
        <f t="shared" si="16"/>
        <v>1.0249615748826111E-2</v>
      </c>
      <c r="T79" s="168">
        <f t="shared" si="13"/>
        <v>38325.164100000009</v>
      </c>
      <c r="U79" s="150"/>
      <c r="V79" s="169"/>
      <c r="W79" s="169">
        <f>T79</f>
        <v>38325.164100000009</v>
      </c>
      <c r="Z79" s="152"/>
      <c r="AA79" s="282"/>
      <c r="AB79" s="171">
        <f t="shared" si="14"/>
        <v>38325.164100000009</v>
      </c>
      <c r="AD79" s="170">
        <f t="shared" si="12"/>
        <v>38325.164100000009</v>
      </c>
      <c r="AE79" s="172"/>
      <c r="AF79" s="172"/>
      <c r="AG79" s="172"/>
      <c r="AH79" s="724"/>
    </row>
    <row r="80" spans="1:35" x14ac:dyDescent="0.3">
      <c r="A80" s="157" t="s">
        <v>716</v>
      </c>
      <c r="B80" s="157" t="s">
        <v>111</v>
      </c>
      <c r="C80" s="157" t="s">
        <v>720</v>
      </c>
      <c r="D80" s="157" t="s">
        <v>114</v>
      </c>
      <c r="E80" s="157" t="s">
        <v>744</v>
      </c>
      <c r="F80" s="158" t="s">
        <v>38</v>
      </c>
      <c r="G80" s="157">
        <v>1</v>
      </c>
      <c r="H80" s="157" t="s">
        <v>22</v>
      </c>
      <c r="I80" s="176">
        <v>24</v>
      </c>
      <c r="L80" s="286"/>
      <c r="M80" s="163">
        <v>1</v>
      </c>
      <c r="N80" s="473">
        <v>80709.05</v>
      </c>
      <c r="O80" s="173">
        <v>0.43</v>
      </c>
      <c r="P80" s="166">
        <f t="shared" si="15"/>
        <v>46004.158500000005</v>
      </c>
      <c r="Q80" s="166">
        <f t="shared" si="11"/>
        <v>46004.158500000005</v>
      </c>
      <c r="R80" s="206"/>
      <c r="S80" s="167">
        <f t="shared" si="16"/>
        <v>1.2303272759452907E-2</v>
      </c>
      <c r="T80" s="168">
        <f t="shared" si="13"/>
        <v>46004.158500000005</v>
      </c>
      <c r="U80" s="565"/>
      <c r="W80" s="169">
        <f>T80</f>
        <v>46004.158500000005</v>
      </c>
      <c r="Z80" s="152"/>
      <c r="AA80" s="282"/>
      <c r="AB80" s="171">
        <f t="shared" si="14"/>
        <v>46004.158500000005</v>
      </c>
      <c r="AD80" s="170">
        <f t="shared" si="12"/>
        <v>46004.158500000005</v>
      </c>
      <c r="AE80" s="172"/>
      <c r="AF80" s="172"/>
      <c r="AG80" s="172"/>
      <c r="AH80" s="724"/>
    </row>
    <row r="81" spans="1:34" x14ac:dyDescent="0.3">
      <c r="A81" s="157" t="s">
        <v>716</v>
      </c>
      <c r="B81" s="157" t="s">
        <v>111</v>
      </c>
      <c r="C81" s="157" t="s">
        <v>720</v>
      </c>
      <c r="D81" s="157" t="s">
        <v>114</v>
      </c>
      <c r="E81" s="157" t="s">
        <v>745</v>
      </c>
      <c r="F81" s="158" t="s">
        <v>38</v>
      </c>
      <c r="G81" s="157">
        <v>1</v>
      </c>
      <c r="H81" s="157" t="s">
        <v>22</v>
      </c>
      <c r="I81" s="188"/>
      <c r="K81" s="176">
        <v>80</v>
      </c>
      <c r="L81" s="286"/>
      <c r="M81" s="163">
        <v>1</v>
      </c>
      <c r="N81" s="473">
        <v>180774.55</v>
      </c>
      <c r="O81" s="165">
        <v>0.43</v>
      </c>
      <c r="P81" s="476">
        <f t="shared" si="15"/>
        <v>103041.49350000001</v>
      </c>
      <c r="Q81" s="473">
        <f t="shared" si="11"/>
        <v>103041.49350000001</v>
      </c>
      <c r="R81" s="9"/>
      <c r="S81" s="167">
        <f>Q81/$Q$102</f>
        <v>2.7557239202014614E-2</v>
      </c>
      <c r="T81" s="168">
        <f t="shared" si="13"/>
        <v>103041.49350000001</v>
      </c>
      <c r="U81" s="565"/>
      <c r="W81" s="169">
        <f>T81</f>
        <v>103041.49350000001</v>
      </c>
      <c r="Z81" s="152"/>
      <c r="AA81" s="282"/>
      <c r="AB81" s="171">
        <f t="shared" si="14"/>
        <v>103041.49350000001</v>
      </c>
      <c r="AD81" s="170">
        <f t="shared" si="12"/>
        <v>103041.49350000001</v>
      </c>
      <c r="AE81" s="172"/>
      <c r="AF81" s="172"/>
      <c r="AG81" s="172"/>
      <c r="AH81" s="724"/>
    </row>
    <row r="82" spans="1:34" x14ac:dyDescent="0.3">
      <c r="A82" s="157"/>
      <c r="B82" s="157"/>
      <c r="C82" s="157"/>
      <c r="D82" s="157"/>
      <c r="E82" s="157"/>
      <c r="F82" s="158"/>
      <c r="G82" s="157"/>
      <c r="H82" s="157"/>
      <c r="I82" s="188"/>
      <c r="L82" s="286"/>
      <c r="M82" s="163"/>
      <c r="N82" s="473"/>
      <c r="O82" s="165"/>
      <c r="P82" s="476"/>
      <c r="Q82" s="473"/>
      <c r="R82" s="9"/>
      <c r="S82" s="504"/>
      <c r="T82" s="478"/>
      <c r="U82" s="565"/>
      <c r="Z82" s="152"/>
      <c r="AA82" s="282"/>
      <c r="AB82" s="171"/>
      <c r="AD82" s="151"/>
      <c r="AE82" s="172"/>
      <c r="AF82" s="172"/>
      <c r="AG82" s="172"/>
      <c r="AH82" s="724"/>
    </row>
    <row r="83" spans="1:34" x14ac:dyDescent="0.3">
      <c r="A83" s="157" t="s">
        <v>716</v>
      </c>
      <c r="B83" s="157" t="s">
        <v>130</v>
      </c>
      <c r="C83" s="157" t="s">
        <v>746</v>
      </c>
      <c r="D83" s="157" t="s">
        <v>131</v>
      </c>
      <c r="E83" s="157" t="s">
        <v>747</v>
      </c>
      <c r="F83" s="158" t="s">
        <v>748</v>
      </c>
      <c r="G83" s="157">
        <v>90</v>
      </c>
      <c r="H83" s="157" t="s">
        <v>24</v>
      </c>
      <c r="I83" s="159">
        <v>90</v>
      </c>
      <c r="J83" s="161"/>
      <c r="K83" s="161"/>
      <c r="L83" s="2209"/>
      <c r="M83" s="163">
        <v>1</v>
      </c>
      <c r="N83" s="473">
        <v>10299</v>
      </c>
      <c r="O83" s="165">
        <v>0.83</v>
      </c>
      <c r="P83" s="476">
        <f t="shared" ref="P83" si="17">N83*(1-O83)</f>
        <v>1750.8300000000004</v>
      </c>
      <c r="Q83" s="473">
        <f t="shared" ref="Q83:Q84" si="18">P83*M83*G83</f>
        <v>157574.70000000004</v>
      </c>
      <c r="R83" s="9"/>
      <c r="S83" s="167">
        <f t="shared" ref="S83" si="19">Q83/$Q$102</f>
        <v>4.2141505839933237E-2</v>
      </c>
      <c r="T83" s="168">
        <f t="shared" si="13"/>
        <v>157574.70000000004</v>
      </c>
      <c r="U83" s="565"/>
      <c r="W83" s="169">
        <f>T83</f>
        <v>157574.70000000004</v>
      </c>
      <c r="Z83" s="152"/>
      <c r="AA83" s="282"/>
      <c r="AB83" s="171">
        <f>T83</f>
        <v>157574.70000000004</v>
      </c>
      <c r="AD83" s="151"/>
      <c r="AE83" s="174"/>
      <c r="AF83" s="174">
        <f>T83</f>
        <v>157574.70000000004</v>
      </c>
      <c r="AG83" s="172"/>
      <c r="AH83" s="724"/>
    </row>
    <row r="84" spans="1:34" x14ac:dyDescent="0.3">
      <c r="A84" s="157" t="s">
        <v>716</v>
      </c>
      <c r="B84" s="157" t="s">
        <v>132</v>
      </c>
      <c r="C84" s="157" t="s">
        <v>730</v>
      </c>
      <c r="D84" s="157" t="s">
        <v>120</v>
      </c>
      <c r="E84" s="157" t="s">
        <v>121</v>
      </c>
      <c r="F84" s="158" t="s">
        <v>588</v>
      </c>
      <c r="G84" s="157">
        <v>2</v>
      </c>
      <c r="H84" s="157" t="s">
        <v>24</v>
      </c>
      <c r="I84" s="2445">
        <v>2</v>
      </c>
      <c r="J84" s="726"/>
      <c r="K84" s="726"/>
      <c r="L84" s="727"/>
      <c r="M84" s="163">
        <v>1</v>
      </c>
      <c r="N84" s="473">
        <v>250000</v>
      </c>
      <c r="O84" s="165">
        <v>0.48</v>
      </c>
      <c r="P84" s="166">
        <f>N84*(1-O84)</f>
        <v>130000</v>
      </c>
      <c r="Q84" s="166">
        <f t="shared" si="18"/>
        <v>260000</v>
      </c>
      <c r="R84" s="9"/>
      <c r="S84" s="504">
        <f>Q84/$Q$58</f>
        <v>6.8917704768383353E-2</v>
      </c>
      <c r="T84" s="168">
        <f t="shared" si="13"/>
        <v>260000</v>
      </c>
      <c r="U84" s="565"/>
      <c r="W84" s="169">
        <f>T84</f>
        <v>260000</v>
      </c>
      <c r="Z84" s="152"/>
      <c r="AA84" s="282">
        <f>T84</f>
        <v>260000</v>
      </c>
      <c r="AB84" s="171"/>
      <c r="AD84" s="151"/>
      <c r="AE84" s="174"/>
      <c r="AF84" s="174">
        <f>T84</f>
        <v>260000</v>
      </c>
      <c r="AG84" s="172"/>
      <c r="AH84" s="724"/>
    </row>
    <row r="85" spans="1:34" x14ac:dyDescent="0.3">
      <c r="A85" s="157"/>
      <c r="B85" s="157"/>
      <c r="C85" s="157"/>
      <c r="D85" s="157"/>
      <c r="E85" s="157"/>
      <c r="F85" s="158"/>
      <c r="G85" s="157"/>
      <c r="H85" s="157"/>
      <c r="I85" s="188"/>
      <c r="L85" s="286"/>
      <c r="M85" s="163"/>
      <c r="N85" s="473"/>
      <c r="O85" s="165"/>
      <c r="P85" s="476"/>
      <c r="Q85" s="473"/>
      <c r="R85" s="9"/>
      <c r="S85" s="504"/>
      <c r="T85" s="478"/>
      <c r="U85" s="565"/>
      <c r="Z85" s="152"/>
      <c r="AA85" s="282"/>
      <c r="AB85" s="171"/>
      <c r="AD85" s="151"/>
      <c r="AE85" s="172"/>
      <c r="AF85" s="172"/>
      <c r="AG85" s="172"/>
      <c r="AH85" s="724"/>
    </row>
    <row r="86" spans="1:34" x14ac:dyDescent="0.3">
      <c r="A86" s="157" t="s">
        <v>716</v>
      </c>
      <c r="B86" s="157" t="s">
        <v>20</v>
      </c>
      <c r="C86" s="157" t="s">
        <v>725</v>
      </c>
      <c r="D86" s="157" t="s">
        <v>118</v>
      </c>
      <c r="E86" s="157" t="s">
        <v>726</v>
      </c>
      <c r="F86" s="158" t="s">
        <v>727</v>
      </c>
      <c r="G86" s="157">
        <v>1</v>
      </c>
      <c r="H86" s="157" t="s">
        <v>22</v>
      </c>
      <c r="I86" s="474"/>
      <c r="J86" s="725">
        <v>100</v>
      </c>
      <c r="K86" s="725">
        <v>100</v>
      </c>
      <c r="L86" s="163"/>
      <c r="M86" s="163">
        <v>2</v>
      </c>
      <c r="N86" s="473">
        <v>350022</v>
      </c>
      <c r="O86" s="165">
        <v>0.59599999999999997</v>
      </c>
      <c r="P86" s="166">
        <f>N86*(1-O86)</f>
        <v>141408.88800000001</v>
      </c>
      <c r="Q86" s="166">
        <f t="shared" ref="Q86:Q87" si="20">P86*M86*G86</f>
        <v>282817.77600000001</v>
      </c>
      <c r="R86" s="9"/>
      <c r="S86" s="504">
        <f>Q86/$Q$102</f>
        <v>7.5636297952278678E-2</v>
      </c>
      <c r="T86" s="168">
        <f t="shared" si="13"/>
        <v>282817.77600000001</v>
      </c>
      <c r="U86" s="565"/>
      <c r="V86" s="169">
        <f>T86</f>
        <v>282817.77600000001</v>
      </c>
      <c r="Z86" s="152"/>
      <c r="AA86" s="282">
        <f>T86</f>
        <v>282817.77600000001</v>
      </c>
      <c r="AB86" s="171"/>
      <c r="AD86" s="151"/>
      <c r="AE86" s="174">
        <f>T86</f>
        <v>282817.77600000001</v>
      </c>
      <c r="AF86" s="174"/>
      <c r="AG86" s="172"/>
      <c r="AH86" s="724"/>
    </row>
    <row r="87" spans="1:34" x14ac:dyDescent="0.3">
      <c r="A87" s="157" t="s">
        <v>716</v>
      </c>
      <c r="B87" s="157" t="s">
        <v>20</v>
      </c>
      <c r="C87" s="157" t="s">
        <v>725</v>
      </c>
      <c r="D87" s="157" t="s">
        <v>118</v>
      </c>
      <c r="E87" s="157" t="s">
        <v>728</v>
      </c>
      <c r="F87" s="158" t="s">
        <v>729</v>
      </c>
      <c r="G87" s="157">
        <v>1</v>
      </c>
      <c r="H87" s="157" t="s">
        <v>22</v>
      </c>
      <c r="I87" s="474"/>
      <c r="J87" s="1"/>
      <c r="K87" s="176">
        <v>50</v>
      </c>
      <c r="L87" s="163"/>
      <c r="M87" s="163">
        <v>1</v>
      </c>
      <c r="N87" s="473">
        <v>350658</v>
      </c>
      <c r="O87" s="165">
        <v>0.59599999999999997</v>
      </c>
      <c r="P87" s="166">
        <f>N87*(1-O87)</f>
        <v>141665.83199999999</v>
      </c>
      <c r="Q87" s="166">
        <f t="shared" si="20"/>
        <v>141665.83199999999</v>
      </c>
      <c r="R87" s="9"/>
      <c r="S87" s="167">
        <f>Q87/$Q$102</f>
        <v>3.7886865636088785E-2</v>
      </c>
      <c r="T87" s="168">
        <f t="shared" si="13"/>
        <v>141665.83199999999</v>
      </c>
      <c r="U87" s="565"/>
      <c r="V87" s="169">
        <f>T87</f>
        <v>141665.83199999999</v>
      </c>
      <c r="Z87" s="152"/>
      <c r="AA87" s="282"/>
      <c r="AB87" s="171">
        <f>T87</f>
        <v>141665.83199999999</v>
      </c>
      <c r="AD87" s="151"/>
      <c r="AE87" s="174">
        <f>T87</f>
        <v>141665.83199999999</v>
      </c>
      <c r="AF87" s="174"/>
      <c r="AG87" s="172"/>
      <c r="AH87" s="724"/>
    </row>
    <row r="88" spans="1:34" x14ac:dyDescent="0.3">
      <c r="A88" s="157"/>
      <c r="B88" s="157"/>
      <c r="C88" s="157"/>
      <c r="D88" s="157"/>
      <c r="E88" s="157"/>
      <c r="F88" s="158"/>
      <c r="G88" s="157"/>
      <c r="H88" s="157"/>
      <c r="I88" s="474"/>
      <c r="J88" s="1"/>
      <c r="K88" s="1"/>
      <c r="L88" s="163"/>
      <c r="M88" s="163"/>
      <c r="N88" s="473"/>
      <c r="O88" s="165"/>
      <c r="P88" s="476"/>
      <c r="Q88" s="473"/>
      <c r="R88" s="9"/>
      <c r="S88" s="504"/>
      <c r="T88" s="478"/>
      <c r="U88" s="565"/>
      <c r="Z88" s="152"/>
      <c r="AA88" s="282"/>
      <c r="AB88" s="171"/>
      <c r="AD88" s="151"/>
      <c r="AE88" s="172"/>
      <c r="AF88" s="172"/>
      <c r="AG88" s="172"/>
      <c r="AH88" s="724"/>
    </row>
    <row r="89" spans="1:34" x14ac:dyDescent="0.3">
      <c r="A89" s="157" t="s">
        <v>716</v>
      </c>
      <c r="B89" s="157" t="s">
        <v>122</v>
      </c>
      <c r="C89" s="157"/>
      <c r="D89" s="157" t="s">
        <v>123</v>
      </c>
      <c r="E89" s="157" t="s">
        <v>732</v>
      </c>
      <c r="F89" s="158" t="s">
        <v>124</v>
      </c>
      <c r="G89" s="157">
        <v>1</v>
      </c>
      <c r="H89" s="157" t="s">
        <v>22</v>
      </c>
      <c r="I89" s="176">
        <v>70</v>
      </c>
      <c r="J89" s="1"/>
      <c r="K89" s="1"/>
      <c r="L89" s="163"/>
      <c r="M89" s="163">
        <v>1</v>
      </c>
      <c r="N89" s="473">
        <v>264920</v>
      </c>
      <c r="O89" s="165">
        <v>0.65</v>
      </c>
      <c r="P89" s="166">
        <f>N89*(1-O89)</f>
        <v>92722</v>
      </c>
      <c r="Q89" s="166">
        <f t="shared" ref="Q89:Q91" si="21">P89*M89*G89</f>
        <v>92722</v>
      </c>
      <c r="R89" s="9"/>
      <c r="S89" s="167">
        <f t="shared" ref="S89:S91" si="22">Q89/$Q$102</f>
        <v>2.4797411668816684E-2</v>
      </c>
      <c r="T89" s="168">
        <f t="shared" si="13"/>
        <v>92722</v>
      </c>
      <c r="U89" s="565"/>
      <c r="V89" s="169">
        <f>T89</f>
        <v>92722</v>
      </c>
      <c r="Z89" s="152"/>
      <c r="AA89" s="282"/>
      <c r="AB89" s="171">
        <f>T89</f>
        <v>92722</v>
      </c>
      <c r="AD89" s="151"/>
      <c r="AE89" s="172"/>
      <c r="AF89" s="172"/>
      <c r="AG89" s="174">
        <f>T89</f>
        <v>92722</v>
      </c>
      <c r="AH89" s="728"/>
    </row>
    <row r="90" spans="1:34" x14ac:dyDescent="0.3">
      <c r="A90" s="157" t="s">
        <v>716</v>
      </c>
      <c r="B90" s="157" t="s">
        <v>122</v>
      </c>
      <c r="C90" s="157" t="s">
        <v>733</v>
      </c>
      <c r="D90" s="157" t="s">
        <v>125</v>
      </c>
      <c r="E90" s="157" t="s">
        <v>734</v>
      </c>
      <c r="F90" s="158" t="s">
        <v>126</v>
      </c>
      <c r="G90" s="157">
        <v>1</v>
      </c>
      <c r="H90" s="157" t="s">
        <v>22</v>
      </c>
      <c r="I90" s="474"/>
      <c r="J90" s="1"/>
      <c r="K90" s="176">
        <v>28</v>
      </c>
      <c r="L90" s="177">
        <v>28</v>
      </c>
      <c r="M90" s="163">
        <v>2</v>
      </c>
      <c r="N90" s="473">
        <v>38500</v>
      </c>
      <c r="O90" s="165">
        <v>0.65</v>
      </c>
      <c r="P90" s="166">
        <f>N90*(1-O90)</f>
        <v>13475</v>
      </c>
      <c r="Q90" s="166">
        <f t="shared" si="21"/>
        <v>26950</v>
      </c>
      <c r="R90" s="9"/>
      <c r="S90" s="167">
        <f t="shared" si="22"/>
        <v>7.2074614921443635E-3</v>
      </c>
      <c r="T90" s="168">
        <f t="shared" si="13"/>
        <v>26950</v>
      </c>
      <c r="U90" s="565"/>
      <c r="W90" s="169">
        <f>T90</f>
        <v>26950</v>
      </c>
      <c r="Z90" s="152"/>
      <c r="AA90" s="282"/>
      <c r="AB90" s="171">
        <f>T90</f>
        <v>26950</v>
      </c>
      <c r="AD90" s="151"/>
      <c r="AE90" s="172"/>
      <c r="AF90" s="172"/>
      <c r="AG90" s="174">
        <f>T90</f>
        <v>26950</v>
      </c>
      <c r="AH90" s="728"/>
    </row>
    <row r="91" spans="1:34" x14ac:dyDescent="0.3">
      <c r="A91" s="157" t="s">
        <v>716</v>
      </c>
      <c r="B91" s="157" t="s">
        <v>122</v>
      </c>
      <c r="C91" s="157"/>
      <c r="D91" s="157" t="s">
        <v>127</v>
      </c>
      <c r="E91" s="157" t="s">
        <v>749</v>
      </c>
      <c r="F91" s="158" t="s">
        <v>128</v>
      </c>
      <c r="G91" s="157">
        <v>1</v>
      </c>
      <c r="H91" s="157" t="s">
        <v>22</v>
      </c>
      <c r="I91" s="474"/>
      <c r="J91" s="725">
        <v>40</v>
      </c>
      <c r="K91" s="1"/>
      <c r="L91" s="163"/>
      <c r="M91" s="163">
        <v>1</v>
      </c>
      <c r="N91" s="473">
        <v>216000</v>
      </c>
      <c r="O91" s="165">
        <v>0.65</v>
      </c>
      <c r="P91" s="476">
        <f>N91*(1-O91)</f>
        <v>75600</v>
      </c>
      <c r="Q91" s="473">
        <f t="shared" si="21"/>
        <v>75600</v>
      </c>
      <c r="R91" s="9"/>
      <c r="S91" s="167">
        <f t="shared" si="22"/>
        <v>2.0218333536404967E-2</v>
      </c>
      <c r="T91" s="168">
        <f t="shared" si="13"/>
        <v>75600</v>
      </c>
      <c r="U91" s="565"/>
      <c r="V91" s="169">
        <f>T91</f>
        <v>75600</v>
      </c>
      <c r="Z91" s="152"/>
      <c r="AA91" s="282"/>
      <c r="AB91" s="171">
        <f>T91</f>
        <v>75600</v>
      </c>
      <c r="AD91" s="151"/>
      <c r="AE91" s="172"/>
      <c r="AF91" s="172"/>
      <c r="AG91" s="174">
        <f>T91</f>
        <v>75600</v>
      </c>
      <c r="AH91" s="728"/>
    </row>
    <row r="92" spans="1:34" x14ac:dyDescent="0.3">
      <c r="A92" s="157"/>
      <c r="B92" s="157"/>
      <c r="C92" s="157"/>
      <c r="D92" s="157"/>
      <c r="E92" s="157"/>
      <c r="F92" s="158"/>
      <c r="G92" s="157"/>
      <c r="H92" s="157"/>
      <c r="I92" s="474"/>
      <c r="J92" s="1"/>
      <c r="K92" s="1"/>
      <c r="L92" s="163"/>
      <c r="M92" s="163"/>
      <c r="N92" s="473"/>
      <c r="O92" s="165"/>
      <c r="P92" s="476"/>
      <c r="Q92" s="473"/>
      <c r="R92" s="9"/>
      <c r="S92" s="504"/>
      <c r="T92" s="478"/>
      <c r="U92" s="565"/>
      <c r="Z92" s="152"/>
      <c r="AA92" s="282"/>
      <c r="AB92" s="171"/>
      <c r="AD92" s="151"/>
      <c r="AE92" s="172"/>
      <c r="AF92" s="172"/>
      <c r="AG92" s="172"/>
      <c r="AH92" s="724"/>
    </row>
    <row r="93" spans="1:34" x14ac:dyDescent="0.3">
      <c r="A93" s="157" t="s">
        <v>716</v>
      </c>
      <c r="B93" s="157" t="s">
        <v>110</v>
      </c>
      <c r="C93" s="157" t="s">
        <v>737</v>
      </c>
      <c r="D93" s="157" t="s">
        <v>129</v>
      </c>
      <c r="E93" s="157" t="s">
        <v>738</v>
      </c>
      <c r="F93" s="158" t="s">
        <v>719</v>
      </c>
      <c r="G93" s="157">
        <v>100</v>
      </c>
      <c r="H93" s="157" t="s">
        <v>22</v>
      </c>
      <c r="I93" s="474"/>
      <c r="J93" s="1"/>
      <c r="K93" s="725">
        <v>100</v>
      </c>
      <c r="L93" s="729">
        <v>100</v>
      </c>
      <c r="M93" s="163">
        <v>2</v>
      </c>
      <c r="N93" s="473">
        <v>2520</v>
      </c>
      <c r="O93" s="165">
        <v>0.75</v>
      </c>
      <c r="P93" s="166">
        <f>N93*(1-O93)</f>
        <v>630</v>
      </c>
      <c r="Q93" s="166">
        <f t="shared" ref="Q93" si="23">P93*M93*G93</f>
        <v>126000</v>
      </c>
      <c r="R93" s="9"/>
      <c r="S93" s="167">
        <f>Q93/$Q$102</f>
        <v>3.369722256067495E-2</v>
      </c>
      <c r="T93" s="168">
        <f t="shared" si="13"/>
        <v>126000</v>
      </c>
      <c r="U93" s="565"/>
      <c r="V93" s="169">
        <f>T93</f>
        <v>126000</v>
      </c>
      <c r="Z93" s="152"/>
      <c r="AA93" s="282"/>
      <c r="AB93" s="171">
        <f>T93</f>
        <v>126000</v>
      </c>
      <c r="AD93" s="151"/>
      <c r="AE93" s="172"/>
      <c r="AF93" s="172"/>
      <c r="AG93" s="172"/>
      <c r="AH93" s="728">
        <f>T93</f>
        <v>126000</v>
      </c>
    </row>
    <row r="94" spans="1:34" x14ac:dyDescent="0.3">
      <c r="A94" s="157"/>
      <c r="B94" s="157"/>
      <c r="C94" s="157"/>
      <c r="D94" s="157"/>
      <c r="E94" s="157"/>
      <c r="F94" s="158"/>
      <c r="G94" s="157"/>
      <c r="H94" s="157"/>
      <c r="I94" s="474"/>
      <c r="J94" s="1"/>
      <c r="K94" s="1"/>
      <c r="L94" s="163"/>
      <c r="M94" s="163"/>
      <c r="N94" s="473"/>
      <c r="O94" s="165"/>
      <c r="P94" s="476"/>
      <c r="Q94" s="473"/>
      <c r="R94" s="9"/>
      <c r="S94" s="504"/>
      <c r="T94" s="478"/>
      <c r="U94" s="565"/>
      <c r="Z94" s="152"/>
      <c r="AA94" s="282"/>
      <c r="AB94" s="171"/>
      <c r="AD94" s="151"/>
      <c r="AE94" s="172"/>
      <c r="AF94" s="172"/>
      <c r="AG94" s="172"/>
      <c r="AH94" s="724"/>
    </row>
    <row r="95" spans="1:34" x14ac:dyDescent="0.3">
      <c r="A95" s="157"/>
      <c r="B95" s="157"/>
      <c r="C95" s="157"/>
      <c r="D95" s="157"/>
      <c r="E95" s="157"/>
      <c r="F95" s="158"/>
      <c r="G95" s="157"/>
      <c r="H95" s="157"/>
      <c r="I95" s="474"/>
      <c r="J95" s="1"/>
      <c r="K95" s="1"/>
      <c r="L95" s="163"/>
      <c r="M95" s="163"/>
      <c r="N95" s="473"/>
      <c r="O95" s="165"/>
      <c r="P95" s="476"/>
      <c r="Q95" s="473"/>
      <c r="R95" s="9"/>
      <c r="S95" s="504"/>
      <c r="T95" s="478"/>
      <c r="U95" s="565"/>
      <c r="Z95" s="152"/>
      <c r="AA95" s="282"/>
      <c r="AB95" s="171"/>
      <c r="AD95" s="151"/>
      <c r="AE95" s="172"/>
      <c r="AF95" s="172"/>
      <c r="AG95" s="172"/>
      <c r="AH95" s="724"/>
    </row>
    <row r="96" spans="1:34" x14ac:dyDescent="0.3">
      <c r="A96" s="157"/>
      <c r="B96" s="157"/>
      <c r="C96" s="157"/>
      <c r="D96" s="157"/>
      <c r="E96" s="157"/>
      <c r="F96" s="158"/>
      <c r="G96" s="157"/>
      <c r="H96" s="157"/>
      <c r="I96" s="474"/>
      <c r="J96" s="1"/>
      <c r="K96" s="1"/>
      <c r="L96" s="163"/>
      <c r="M96" s="163"/>
      <c r="N96" s="473"/>
      <c r="O96" s="165"/>
      <c r="P96" s="476"/>
      <c r="Q96" s="473"/>
      <c r="R96" s="9"/>
      <c r="S96" s="504"/>
      <c r="T96" s="478"/>
      <c r="U96" s="565"/>
      <c r="Z96" s="152"/>
      <c r="AA96" s="282"/>
      <c r="AB96" s="171"/>
      <c r="AD96" s="151"/>
      <c r="AE96" s="172"/>
      <c r="AF96" s="172"/>
      <c r="AG96" s="172"/>
      <c r="AH96" s="724"/>
    </row>
    <row r="97" spans="1:34" x14ac:dyDescent="0.3">
      <c r="A97" s="108"/>
      <c r="B97" s="108"/>
      <c r="C97" s="108"/>
      <c r="D97" s="108"/>
      <c r="E97" s="108"/>
      <c r="F97" s="479"/>
      <c r="G97" s="108"/>
      <c r="H97" s="108"/>
      <c r="I97" s="289"/>
      <c r="J97" s="252"/>
      <c r="K97" s="252"/>
      <c r="L97" s="730"/>
      <c r="M97" s="730"/>
      <c r="N97" s="731"/>
      <c r="O97" s="732"/>
      <c r="P97" s="733"/>
      <c r="Q97" s="731"/>
      <c r="R97" s="734"/>
      <c r="S97" s="742"/>
      <c r="T97" s="168"/>
      <c r="U97" s="565"/>
      <c r="W97" s="169"/>
      <c r="Z97" s="152"/>
      <c r="AA97" s="282"/>
      <c r="AB97" s="171"/>
      <c r="AD97" s="151"/>
      <c r="AE97" s="172"/>
      <c r="AF97" s="172"/>
      <c r="AG97" s="172"/>
      <c r="AH97" s="724"/>
    </row>
    <row r="98" spans="1:34" x14ac:dyDescent="0.3">
      <c r="A98" s="108" t="s">
        <v>716</v>
      </c>
      <c r="B98" s="108" t="s">
        <v>739</v>
      </c>
      <c r="C98" s="108" t="s">
        <v>740</v>
      </c>
      <c r="D98" s="108"/>
      <c r="E98" s="108"/>
      <c r="F98" s="479"/>
      <c r="G98" s="108"/>
      <c r="H98" s="108"/>
      <c r="I98" s="289"/>
      <c r="J98" s="252"/>
      <c r="K98" s="252"/>
      <c r="L98" s="730"/>
      <c r="M98" s="730"/>
      <c r="N98" s="731"/>
      <c r="O98" s="732"/>
      <c r="P98" s="733"/>
      <c r="Q98" s="731">
        <v>300000</v>
      </c>
      <c r="R98" s="734"/>
      <c r="S98" s="742">
        <f>Q98/$Q$58</f>
        <v>7.952042857890386E-2</v>
      </c>
      <c r="T98" s="168">
        <f t="shared" ref="T98:T100" si="24">Q98</f>
        <v>300000</v>
      </c>
      <c r="U98" s="565"/>
      <c r="Y98" s="169">
        <f>T98</f>
        <v>300000</v>
      </c>
      <c r="Z98" s="171"/>
      <c r="AA98" s="282"/>
      <c r="AB98" s="171"/>
      <c r="AD98" s="151"/>
      <c r="AE98" s="172"/>
      <c r="AF98" s="172"/>
      <c r="AG98" s="172"/>
      <c r="AH98" s="724"/>
    </row>
    <row r="99" spans="1:34" x14ac:dyDescent="0.3">
      <c r="A99" s="108" t="s">
        <v>716</v>
      </c>
      <c r="B99" s="108" t="s">
        <v>528</v>
      </c>
      <c r="C99" s="108" t="s">
        <v>741</v>
      </c>
      <c r="D99" s="108"/>
      <c r="E99" s="108"/>
      <c r="F99" s="479"/>
      <c r="G99" s="108"/>
      <c r="H99" s="108"/>
      <c r="I99" s="289"/>
      <c r="J99" s="252"/>
      <c r="K99" s="252"/>
      <c r="L99" s="730"/>
      <c r="M99" s="730"/>
      <c r="N99" s="257"/>
      <c r="O99" s="109"/>
      <c r="P99" s="290"/>
      <c r="Q99" s="257">
        <v>250000</v>
      </c>
      <c r="R99" s="290"/>
      <c r="S99" s="742">
        <f>Q99/$Q$58</f>
        <v>6.6267023815753223E-2</v>
      </c>
      <c r="T99" s="168">
        <f t="shared" si="24"/>
        <v>250000</v>
      </c>
      <c r="U99" s="150"/>
      <c r="X99" s="169">
        <f>T99</f>
        <v>250000</v>
      </c>
      <c r="Y99" s="169"/>
      <c r="Z99" s="152"/>
      <c r="AA99" s="280"/>
      <c r="AB99" s="171"/>
      <c r="AD99" s="151"/>
      <c r="AE99" s="172"/>
      <c r="AF99" s="172"/>
      <c r="AG99" s="172"/>
      <c r="AH99" s="724"/>
    </row>
    <row r="100" spans="1:34" x14ac:dyDescent="0.3">
      <c r="A100" s="108" t="s">
        <v>716</v>
      </c>
      <c r="B100" s="108" t="s">
        <v>529</v>
      </c>
      <c r="C100" s="108"/>
      <c r="D100" s="108"/>
      <c r="E100" s="108"/>
      <c r="F100" s="479"/>
      <c r="G100" s="108"/>
      <c r="H100" s="108"/>
      <c r="I100" s="251"/>
      <c r="J100" s="254"/>
      <c r="K100" s="254"/>
      <c r="L100" s="736"/>
      <c r="M100" s="730"/>
      <c r="N100" s="257"/>
      <c r="O100" s="109"/>
      <c r="P100" s="290"/>
      <c r="Q100" s="257">
        <v>350000</v>
      </c>
      <c r="R100" s="480"/>
      <c r="S100" s="291">
        <f>Q100/Q102</f>
        <v>9.3603396001874853E-2</v>
      </c>
      <c r="T100" s="168">
        <f t="shared" si="24"/>
        <v>350000</v>
      </c>
      <c r="U100" s="150"/>
      <c r="Z100" s="171">
        <f>T100</f>
        <v>350000</v>
      </c>
      <c r="AA100" s="280"/>
      <c r="AB100" s="152"/>
      <c r="AD100" s="151"/>
      <c r="AE100" s="172"/>
      <c r="AF100" s="172"/>
      <c r="AG100" s="172"/>
      <c r="AH100" s="724"/>
    </row>
    <row r="101" spans="1:34" x14ac:dyDescent="0.3">
      <c r="I101" s="115">
        <f>I102/$M$102</f>
        <v>0.31457431457431456</v>
      </c>
      <c r="J101" s="115">
        <f t="shared" ref="J101:L101" si="25">J102/$M$102</f>
        <v>0.26262626262626265</v>
      </c>
      <c r="K101" s="115">
        <f t="shared" si="25"/>
        <v>0.33044733044733043</v>
      </c>
      <c r="L101" s="115">
        <f t="shared" si="25"/>
        <v>9.2352092352092352E-2</v>
      </c>
      <c r="T101" s="149"/>
      <c r="U101" s="150"/>
      <c r="Z101" s="152"/>
      <c r="AA101" s="280"/>
      <c r="AB101" s="152"/>
      <c r="AD101" s="151"/>
      <c r="AE101" s="172"/>
      <c r="AF101" s="172"/>
      <c r="AG101" s="172"/>
      <c r="AH101" s="724"/>
    </row>
    <row r="102" spans="1:34" x14ac:dyDescent="0.3">
      <c r="A102" s="212" t="s">
        <v>531</v>
      </c>
      <c r="B102" s="213"/>
      <c r="C102" s="213"/>
      <c r="D102" s="213"/>
      <c r="E102" s="213"/>
      <c r="F102" s="214"/>
      <c r="G102" s="213"/>
      <c r="H102" s="213"/>
      <c r="I102" s="213">
        <f>I89+I77+I76+I80+I83+I84</f>
        <v>436</v>
      </c>
      <c r="J102" s="213">
        <f>J91+J86+J76+J78+J79</f>
        <v>364</v>
      </c>
      <c r="K102" s="213">
        <f>K93+K90+K87+K86+K77+K81</f>
        <v>458</v>
      </c>
      <c r="L102" s="213">
        <f>L93+L90</f>
        <v>128</v>
      </c>
      <c r="M102" s="213">
        <f>SUM(I102:L102)</f>
        <v>1386</v>
      </c>
      <c r="N102" s="215"/>
      <c r="O102" s="216"/>
      <c r="P102" s="215"/>
      <c r="Q102" s="217">
        <f>SUM(Q76:Q101)</f>
        <v>3739180.5740999994</v>
      </c>
      <c r="R102" s="481"/>
      <c r="S102" s="218">
        <f>SUM(S76:S100)</f>
        <v>0.9980801549872732</v>
      </c>
      <c r="T102" s="568">
        <f>SUM(T76:T101)</f>
        <v>3739180.5740999994</v>
      </c>
      <c r="U102" s="569">
        <f t="shared" ref="U102:Z102" si="26">SUM(U76:U100)</f>
        <v>0</v>
      </c>
      <c r="V102" s="570">
        <f t="shared" si="26"/>
        <v>2161280.9279999998</v>
      </c>
      <c r="W102" s="570">
        <f t="shared" si="26"/>
        <v>677899.64610000001</v>
      </c>
      <c r="X102" s="570">
        <f>SUM(X76:X100)</f>
        <v>250000</v>
      </c>
      <c r="Y102" s="570">
        <f t="shared" ref="Y102" si="27">SUM(Y76:Y100)</f>
        <v>300000</v>
      </c>
      <c r="Z102" s="571">
        <f t="shared" si="26"/>
        <v>350000</v>
      </c>
      <c r="AA102" s="572">
        <f>SUM(AA76:AA100)</f>
        <v>1077776.0959999999</v>
      </c>
      <c r="AB102" s="571">
        <f>SUM(AB76:AB100)</f>
        <v>1761404.4780999999</v>
      </c>
      <c r="AC102" s="224"/>
      <c r="AD102" s="570">
        <f t="shared" ref="AD102:AH102" si="28">SUM(AD76:AD100)</f>
        <v>1675850.2660999997</v>
      </c>
      <c r="AE102" s="570">
        <f t="shared" si="28"/>
        <v>424483.60800000001</v>
      </c>
      <c r="AF102" s="570">
        <f t="shared" si="28"/>
        <v>417574.70000000007</v>
      </c>
      <c r="AG102" s="570">
        <f t="shared" si="28"/>
        <v>195272</v>
      </c>
      <c r="AH102" s="571">
        <f t="shared" si="28"/>
        <v>126000</v>
      </c>
    </row>
    <row r="103" spans="1:34" x14ac:dyDescent="0.3">
      <c r="A103" s="228" t="s">
        <v>532</v>
      </c>
      <c r="B103" s="229"/>
      <c r="C103" s="229"/>
      <c r="D103" s="229"/>
      <c r="E103" s="229"/>
      <c r="F103" s="230"/>
      <c r="G103" s="229"/>
      <c r="H103" s="229"/>
      <c r="I103" s="229">
        <f>I89+I77+I76+I80+I83+I84</f>
        <v>436</v>
      </c>
      <c r="J103" s="229">
        <f>J91+J86+J76+J78+J79+I83+I84</f>
        <v>456</v>
      </c>
      <c r="K103" s="229">
        <f>K93+K90+K87+K86+K77+K81+I83+I84</f>
        <v>550</v>
      </c>
      <c r="L103" s="229">
        <f>L93+L90+I83+I84</f>
        <v>220</v>
      </c>
      <c r="M103" s="229">
        <f>SUM(I103:L103)</f>
        <v>1662</v>
      </c>
      <c r="N103" s="231"/>
      <c r="O103" s="232"/>
      <c r="P103" s="231"/>
      <c r="Q103" s="231"/>
      <c r="R103" s="231"/>
      <c r="S103" s="233"/>
      <c r="T103" s="234"/>
      <c r="U103" s="580">
        <f>U102/T102</f>
        <v>0</v>
      </c>
      <c r="V103" s="236">
        <f>V102/T102</f>
        <v>0.57800924164252443</v>
      </c>
      <c r="W103" s="236">
        <f>W102/T102</f>
        <v>0.18129631149551176</v>
      </c>
      <c r="X103" s="236">
        <f>X102/T102</f>
        <v>6.6859568572767758E-2</v>
      </c>
      <c r="Y103" s="236">
        <f>Y102/T102</f>
        <v>8.0231482287321298E-2</v>
      </c>
      <c r="Z103" s="297">
        <f>Z102/T102</f>
        <v>9.3603396001874853E-2</v>
      </c>
      <c r="AA103" s="298">
        <f>AA102/T102</f>
        <v>0.28823857918640766</v>
      </c>
      <c r="AB103" s="297">
        <f>AB102/T102</f>
        <v>0.47106697395162855</v>
      </c>
      <c r="AC103" s="239">
        <f>AA104+AB104</f>
        <v>1386</v>
      </c>
      <c r="AD103" s="743"/>
      <c r="AE103" s="487"/>
      <c r="AF103" s="487"/>
      <c r="AG103" s="487"/>
      <c r="AH103" s="242"/>
    </row>
    <row r="104" spans="1:34" x14ac:dyDescent="0.3">
      <c r="A104" s="243" t="s">
        <v>533</v>
      </c>
      <c r="B104" s="193"/>
      <c r="C104" s="193"/>
      <c r="D104" s="193"/>
      <c r="E104" s="193"/>
      <c r="F104" s="244"/>
      <c r="G104" s="193"/>
      <c r="H104" s="193"/>
      <c r="I104" s="2182">
        <f>I103/$M$103</f>
        <v>0.26233453670276774</v>
      </c>
      <c r="J104" s="2182">
        <f t="shared" ref="J104:L104" si="29">J103/$M$103</f>
        <v>0.27436823104693142</v>
      </c>
      <c r="K104" s="2182">
        <f t="shared" si="29"/>
        <v>0.33092659446450062</v>
      </c>
      <c r="L104" s="2182">
        <f t="shared" si="29"/>
        <v>0.13237063778580024</v>
      </c>
      <c r="M104" s="193"/>
      <c r="N104" s="246"/>
      <c r="O104" s="196"/>
      <c r="P104" s="246"/>
      <c r="Q104" s="194">
        <f>U102</f>
        <v>0</v>
      </c>
      <c r="R104" s="288"/>
      <c r="S104" s="247">
        <f>Q104/Q110</f>
        <v>0</v>
      </c>
      <c r="Z104" s="248"/>
      <c r="AA104" s="357">
        <f>I76+J76+I84+J86+K86</f>
        <v>502</v>
      </c>
      <c r="AB104" s="358">
        <f>I77+K77+J78+J79+I80+K81+I83+K87+I89+K90+L90+J91+K93+L93</f>
        <v>884</v>
      </c>
      <c r="AC104" s="4" t="s">
        <v>534</v>
      </c>
    </row>
    <row r="105" spans="1:34" x14ac:dyDescent="0.3">
      <c r="A105" s="251" t="s">
        <v>11</v>
      </c>
      <c r="B105" s="252"/>
      <c r="C105" s="252"/>
      <c r="D105" s="252"/>
      <c r="E105" s="252"/>
      <c r="F105" s="253"/>
      <c r="G105" s="252"/>
      <c r="H105" s="252"/>
      <c r="I105" s="254"/>
      <c r="J105" s="254"/>
      <c r="K105" s="254"/>
      <c r="L105" s="254"/>
      <c r="M105" s="252"/>
      <c r="N105" s="255"/>
      <c r="O105" s="256"/>
      <c r="P105" s="255"/>
      <c r="Q105" s="257">
        <f>V102</f>
        <v>2161280.9279999998</v>
      </c>
      <c r="R105" s="290"/>
      <c r="S105" s="262">
        <f>Q105/Q110</f>
        <v>0.57800924164252443</v>
      </c>
      <c r="T105" s="574">
        <f>Q102/M102</f>
        <v>2697.8214820346316</v>
      </c>
      <c r="U105" s="489" t="s">
        <v>535</v>
      </c>
      <c r="Z105" s="169"/>
      <c r="AA105" s="195">
        <f>AA104/M102</f>
        <v>0.36219336219336218</v>
      </c>
      <c r="AB105" s="247">
        <f>AB104/M102</f>
        <v>0.63780663780663782</v>
      </c>
    </row>
    <row r="106" spans="1:34" x14ac:dyDescent="0.3">
      <c r="A106" s="251" t="s">
        <v>536</v>
      </c>
      <c r="B106" s="252"/>
      <c r="C106" s="252"/>
      <c r="D106" s="252"/>
      <c r="E106" s="252"/>
      <c r="F106" s="253"/>
      <c r="G106" s="252"/>
      <c r="H106" s="252"/>
      <c r="I106" s="254"/>
      <c r="J106" s="254"/>
      <c r="K106" s="254"/>
      <c r="L106" s="254"/>
      <c r="M106" s="252"/>
      <c r="N106" s="255"/>
      <c r="O106" s="256"/>
      <c r="P106" s="255"/>
      <c r="Q106" s="257">
        <f>W102</f>
        <v>677899.64610000001</v>
      </c>
      <c r="R106" s="290"/>
      <c r="S106" s="262">
        <f>Q106/Q110</f>
        <v>0.18129631149551176</v>
      </c>
      <c r="V106" s="263"/>
      <c r="X106" s="99"/>
      <c r="Y106" s="99"/>
      <c r="Z106" s="263"/>
      <c r="AA106" s="2265" t="s">
        <v>537</v>
      </c>
      <c r="AB106" s="2265"/>
    </row>
    <row r="107" spans="1:34" x14ac:dyDescent="0.3">
      <c r="A107" s="251" t="s">
        <v>529</v>
      </c>
      <c r="B107" s="252"/>
      <c r="C107" s="252"/>
      <c r="D107" s="252"/>
      <c r="E107" s="252"/>
      <c r="F107" s="253"/>
      <c r="G107" s="252"/>
      <c r="H107" s="252"/>
      <c r="I107" s="254"/>
      <c r="J107" s="254"/>
      <c r="K107" s="254"/>
      <c r="L107" s="254"/>
      <c r="M107" s="252"/>
      <c r="N107" s="255"/>
      <c r="O107" s="256"/>
      <c r="P107" s="255"/>
      <c r="Q107" s="257">
        <f>Z102</f>
        <v>350000</v>
      </c>
      <c r="R107" s="290"/>
      <c r="S107" s="262">
        <f>Q107/Q110</f>
        <v>9.3603396001874839E-2</v>
      </c>
      <c r="V107" s="263"/>
    </row>
    <row r="108" spans="1:34" x14ac:dyDescent="0.3">
      <c r="A108" s="251" t="s">
        <v>528</v>
      </c>
      <c r="B108" s="252"/>
      <c r="C108" s="252"/>
      <c r="D108" s="252"/>
      <c r="E108" s="252"/>
      <c r="F108" s="253"/>
      <c r="G108" s="252"/>
      <c r="H108" s="252"/>
      <c r="I108" s="254"/>
      <c r="J108" s="254"/>
      <c r="K108" s="254"/>
      <c r="L108" s="254"/>
      <c r="M108" s="252"/>
      <c r="N108" s="255"/>
      <c r="O108" s="256"/>
      <c r="P108" s="255"/>
      <c r="Q108" s="257">
        <f>X102</f>
        <v>250000</v>
      </c>
      <c r="R108" s="290"/>
      <c r="S108" s="262">
        <f>Q108/Q110</f>
        <v>6.6859568572767744E-2</v>
      </c>
    </row>
    <row r="109" spans="1:34" x14ac:dyDescent="0.3">
      <c r="A109" s="251" t="s">
        <v>742</v>
      </c>
      <c r="B109" s="252"/>
      <c r="C109" s="252"/>
      <c r="D109" s="252"/>
      <c r="E109" s="252"/>
      <c r="F109" s="253"/>
      <c r="G109" s="252"/>
      <c r="H109" s="252"/>
      <c r="I109" s="254"/>
      <c r="J109" s="254"/>
      <c r="K109" s="254"/>
      <c r="L109" s="254"/>
      <c r="M109" s="252"/>
      <c r="N109" s="255"/>
      <c r="O109" s="256"/>
      <c r="P109" s="255"/>
      <c r="Q109" s="257">
        <f>Y102</f>
        <v>300000</v>
      </c>
      <c r="R109" s="290"/>
      <c r="S109" s="262">
        <f>Q109/Q110</f>
        <v>8.0231482287321298E-2</v>
      </c>
    </row>
    <row r="110" spans="1:34" x14ac:dyDescent="0.3">
      <c r="A110" s="251"/>
      <c r="B110" s="252"/>
      <c r="C110" s="252"/>
      <c r="D110" s="252"/>
      <c r="E110" s="252"/>
      <c r="F110" s="253"/>
      <c r="G110" s="252"/>
      <c r="H110" s="252"/>
      <c r="I110" s="254"/>
      <c r="J110" s="254"/>
      <c r="K110" s="254"/>
      <c r="L110" s="254"/>
      <c r="M110" s="252"/>
      <c r="N110" s="255"/>
      <c r="O110" s="256"/>
      <c r="P110" s="255"/>
      <c r="Q110" s="740">
        <f>SUM(Q104:Q109)</f>
        <v>3739180.5740999999</v>
      </c>
      <c r="R110" s="490"/>
      <c r="S110" s="262">
        <f>SUM(S104:S108)</f>
        <v>0.91976851771267876</v>
      </c>
    </row>
    <row r="112" spans="1:34" x14ac:dyDescent="0.3">
      <c r="B112" s="2"/>
    </row>
    <row r="113" spans="1:34" x14ac:dyDescent="0.3">
      <c r="B113" s="2"/>
      <c r="E113" s="1" t="s">
        <v>543</v>
      </c>
      <c r="F113" s="2" t="s">
        <v>750</v>
      </c>
      <c r="G113" s="1" t="s">
        <v>545</v>
      </c>
      <c r="H113" s="1"/>
      <c r="I113" s="304">
        <v>0.6</v>
      </c>
      <c r="J113" s="304"/>
    </row>
    <row r="114" spans="1:34" x14ac:dyDescent="0.3">
      <c r="B114" s="2"/>
      <c r="E114" s="1" t="s">
        <v>473</v>
      </c>
      <c r="F114" s="2" t="s">
        <v>128</v>
      </c>
      <c r="G114" s="1" t="s">
        <v>473</v>
      </c>
      <c r="H114" s="1"/>
      <c r="I114" s="1">
        <v>45</v>
      </c>
      <c r="J114" s="1"/>
    </row>
    <row r="115" spans="1:34" x14ac:dyDescent="0.3">
      <c r="B115" s="2"/>
      <c r="E115" s="1" t="s">
        <v>475</v>
      </c>
      <c r="F115" s="2" t="s">
        <v>751</v>
      </c>
      <c r="G115" s="1" t="s">
        <v>475</v>
      </c>
      <c r="H115" s="1"/>
      <c r="I115" s="95">
        <v>2717</v>
      </c>
      <c r="J115" s="95"/>
    </row>
    <row r="116" spans="1:34" x14ac:dyDescent="0.3">
      <c r="B116" s="2"/>
      <c r="E116" s="1" t="s">
        <v>477</v>
      </c>
      <c r="F116" s="2" t="s">
        <v>752</v>
      </c>
      <c r="G116" s="1" t="s">
        <v>477</v>
      </c>
      <c r="H116" s="1"/>
      <c r="I116" s="95">
        <v>129178650</v>
      </c>
      <c r="J116" s="95"/>
    </row>
    <row r="117" spans="1:34" x14ac:dyDescent="0.3">
      <c r="B117" s="2"/>
    </row>
    <row r="118" spans="1:34" ht="18" x14ac:dyDescent="0.35">
      <c r="A118" s="118" t="s">
        <v>549</v>
      </c>
      <c r="S118" s="98"/>
    </row>
    <row r="119" spans="1:34" ht="18" x14ac:dyDescent="0.35">
      <c r="A119" s="118"/>
      <c r="S119" s="98"/>
    </row>
    <row r="120" spans="1:34" x14ac:dyDescent="0.3">
      <c r="A120" s="2335" t="s">
        <v>480</v>
      </c>
      <c r="B120" s="2336"/>
      <c r="C120" s="2336"/>
      <c r="D120" s="2336"/>
      <c r="E120" s="2336"/>
      <c r="F120" s="2336"/>
      <c r="G120" s="2336"/>
      <c r="H120" s="2336"/>
      <c r="I120" s="2336"/>
      <c r="J120" s="2336"/>
      <c r="K120" s="2336"/>
      <c r="L120" s="2336"/>
      <c r="M120" s="2336"/>
      <c r="N120" s="2336"/>
      <c r="O120" s="2336"/>
      <c r="P120" s="2336"/>
      <c r="Q120" s="2336"/>
      <c r="R120" s="2336"/>
      <c r="S120" s="2337"/>
      <c r="T120" s="2338" t="s">
        <v>584</v>
      </c>
      <c r="U120" s="2339"/>
      <c r="V120" s="2339"/>
      <c r="W120" s="2339"/>
      <c r="X120" s="2339"/>
      <c r="Y120" s="2339"/>
      <c r="Z120" s="2339"/>
      <c r="AA120" s="2339"/>
      <c r="AB120" s="2339"/>
      <c r="AC120" s="2339"/>
      <c r="AD120" s="2339"/>
      <c r="AE120" s="2339"/>
      <c r="AF120" s="2339"/>
      <c r="AG120" s="2339"/>
      <c r="AH120" s="2340"/>
    </row>
    <row r="121" spans="1:34" ht="18" x14ac:dyDescent="0.35">
      <c r="A121" s="2256" t="s">
        <v>482</v>
      </c>
      <c r="B121" s="2258" t="s">
        <v>483</v>
      </c>
      <c r="C121" s="2258" t="s">
        <v>484</v>
      </c>
      <c r="D121" s="2258" t="s">
        <v>485</v>
      </c>
      <c r="E121" s="2258" t="s">
        <v>486</v>
      </c>
      <c r="F121" s="2260" t="s">
        <v>487</v>
      </c>
      <c r="G121" s="2258" t="s">
        <v>488</v>
      </c>
      <c r="H121" s="2258" t="s">
        <v>489</v>
      </c>
      <c r="I121" s="2240" t="s">
        <v>490</v>
      </c>
      <c r="J121" s="2240"/>
      <c r="K121" s="2240"/>
      <c r="L121" s="2240"/>
      <c r="M121" s="305" t="s">
        <v>491</v>
      </c>
      <c r="N121" s="306" t="s">
        <v>492</v>
      </c>
      <c r="O121" s="307" t="s">
        <v>493</v>
      </c>
      <c r="P121" s="306" t="s">
        <v>492</v>
      </c>
      <c r="Q121" s="306" t="s">
        <v>494</v>
      </c>
      <c r="R121" s="512" t="s">
        <v>585</v>
      </c>
      <c r="S121" s="2343" t="s">
        <v>495</v>
      </c>
      <c r="T121" s="695" t="s">
        <v>496</v>
      </c>
      <c r="U121" s="2410" t="s">
        <v>497</v>
      </c>
      <c r="V121" s="2410"/>
      <c r="W121" s="2410"/>
      <c r="X121" s="2410"/>
      <c r="Y121" s="2410"/>
      <c r="Z121" s="2411"/>
      <c r="AA121" s="2403" t="s">
        <v>498</v>
      </c>
      <c r="AB121" s="2405"/>
      <c r="AC121" s="2403" t="s">
        <v>499</v>
      </c>
      <c r="AD121" s="2404"/>
      <c r="AE121" s="2404"/>
      <c r="AF121" s="2404"/>
      <c r="AG121" s="2404"/>
      <c r="AH121" s="2405"/>
    </row>
    <row r="122" spans="1:34" ht="18" x14ac:dyDescent="0.35">
      <c r="A122" s="2257"/>
      <c r="B122" s="2259"/>
      <c r="C122" s="2259"/>
      <c r="D122" s="2259"/>
      <c r="E122" s="2259"/>
      <c r="F122" s="2261"/>
      <c r="G122" s="2259"/>
      <c r="H122" s="2259"/>
      <c r="I122" s="310" t="s">
        <v>500</v>
      </c>
      <c r="J122" s="310" t="s">
        <v>501</v>
      </c>
      <c r="K122" s="310" t="s">
        <v>502</v>
      </c>
      <c r="L122" s="310" t="s">
        <v>503</v>
      </c>
      <c r="M122" s="311" t="s">
        <v>504</v>
      </c>
      <c r="N122" s="312" t="s">
        <v>505</v>
      </c>
      <c r="O122" s="313" t="s">
        <v>506</v>
      </c>
      <c r="P122" s="312" t="s">
        <v>507</v>
      </c>
      <c r="Q122" s="312" t="s">
        <v>507</v>
      </c>
      <c r="R122" s="514"/>
      <c r="S122" s="2344"/>
      <c r="T122" s="696" t="s">
        <v>508</v>
      </c>
      <c r="U122" s="2413"/>
      <c r="V122" s="2413"/>
      <c r="W122" s="2413"/>
      <c r="X122" s="2413"/>
      <c r="Y122" s="2413"/>
      <c r="Z122" s="2414"/>
      <c r="AA122" s="2406"/>
      <c r="AB122" s="2408"/>
      <c r="AC122" s="2406"/>
      <c r="AD122" s="2407"/>
      <c r="AE122" s="2407"/>
      <c r="AF122" s="2407"/>
      <c r="AG122" s="2407"/>
      <c r="AH122" s="2408"/>
    </row>
    <row r="123" spans="1:34" ht="18" x14ac:dyDescent="0.35">
      <c r="A123" s="2359" t="s">
        <v>550</v>
      </c>
      <c r="B123" s="2360"/>
      <c r="C123" s="2360"/>
      <c r="D123" s="2360"/>
      <c r="E123" s="2360"/>
      <c r="F123" s="2360"/>
      <c r="G123" s="2360"/>
      <c r="H123" s="2360"/>
      <c r="I123" s="2360"/>
      <c r="J123" s="2360"/>
      <c r="K123" s="2360"/>
      <c r="L123" s="2360"/>
      <c r="M123" s="2360"/>
      <c r="N123" s="2360"/>
      <c r="O123" s="2360"/>
      <c r="P123" s="2360"/>
      <c r="Q123" s="2360"/>
      <c r="R123" s="2360"/>
      <c r="S123" s="2360"/>
      <c r="T123" s="741"/>
      <c r="U123" s="716" t="s">
        <v>510</v>
      </c>
      <c r="V123" s="717" t="s">
        <v>11</v>
      </c>
      <c r="W123" s="717" t="s">
        <v>511</v>
      </c>
      <c r="X123" s="717" t="s">
        <v>512</v>
      </c>
      <c r="Y123" s="717" t="s">
        <v>715</v>
      </c>
      <c r="Z123" s="718" t="s">
        <v>513</v>
      </c>
      <c r="AA123" s="719" t="s">
        <v>514</v>
      </c>
      <c r="AB123" s="718" t="s">
        <v>515</v>
      </c>
      <c r="AC123" s="720"/>
      <c r="AD123" s="721" t="s">
        <v>0</v>
      </c>
      <c r="AE123" s="722" t="s">
        <v>1</v>
      </c>
      <c r="AF123" s="722" t="s">
        <v>109</v>
      </c>
      <c r="AG123" s="722" t="s">
        <v>3</v>
      </c>
      <c r="AH123" s="723" t="s">
        <v>110</v>
      </c>
    </row>
    <row r="124" spans="1:34" x14ac:dyDescent="0.3">
      <c r="A124" s="154"/>
      <c r="B124" s="462"/>
      <c r="C124" s="462"/>
      <c r="D124" s="462"/>
      <c r="E124" s="462"/>
      <c r="F124" s="463"/>
      <c r="G124" s="462"/>
      <c r="H124" s="462"/>
      <c r="I124" s="464"/>
      <c r="J124" s="465"/>
      <c r="K124" s="465"/>
      <c r="L124" s="466"/>
      <c r="M124" s="467"/>
      <c r="N124" s="468"/>
      <c r="O124" s="469"/>
      <c r="P124" s="468"/>
      <c r="Q124" s="468"/>
      <c r="R124" s="470"/>
      <c r="S124" s="501"/>
      <c r="T124" s="149"/>
      <c r="U124" s="150"/>
      <c r="Z124" s="152"/>
      <c r="AA124" s="280"/>
      <c r="AB124" s="152"/>
      <c r="AD124" s="280"/>
      <c r="AH124" s="152"/>
    </row>
    <row r="125" spans="1:34" x14ac:dyDescent="0.3">
      <c r="A125" s="157" t="s">
        <v>716</v>
      </c>
      <c r="B125" s="157" t="s">
        <v>111</v>
      </c>
      <c r="C125" s="157" t="s">
        <v>717</v>
      </c>
      <c r="D125" s="157" t="s">
        <v>112</v>
      </c>
      <c r="E125" s="157" t="s">
        <v>520</v>
      </c>
      <c r="F125" s="158" t="s">
        <v>753</v>
      </c>
      <c r="G125" s="157">
        <v>120</v>
      </c>
      <c r="H125" s="157" t="s">
        <v>22</v>
      </c>
      <c r="I125" s="159">
        <v>120</v>
      </c>
      <c r="J125" s="725">
        <v>120</v>
      </c>
      <c r="K125" s="160"/>
      <c r="L125" s="162"/>
      <c r="M125" s="163">
        <v>2</v>
      </c>
      <c r="N125" s="473">
        <v>3429.22</v>
      </c>
      <c r="O125" s="165">
        <v>0.48</v>
      </c>
      <c r="P125" s="166">
        <f>N125*(1-O125)</f>
        <v>1783.1943999999999</v>
      </c>
      <c r="Q125" s="166">
        <f t="shared" ref="Q125:Q129" si="30">P125*M125*G125</f>
        <v>427966.65599999996</v>
      </c>
      <c r="R125" s="206" t="e">
        <f>(Q125+Q126+#REF!+#REF!)/E101*1000</f>
        <v>#REF!</v>
      </c>
      <c r="S125" s="178">
        <f>Q125/$Q$147</f>
        <v>0.15985836162228662</v>
      </c>
      <c r="T125" s="168">
        <f>Q125*3</f>
        <v>1283899.9679999999</v>
      </c>
      <c r="U125" s="150"/>
      <c r="V125" s="169">
        <f>T125</f>
        <v>1283899.9679999999</v>
      </c>
      <c r="W125" s="169"/>
      <c r="X125" s="169"/>
      <c r="Y125" s="169"/>
      <c r="Z125" s="171"/>
      <c r="AA125" s="282">
        <f>T125</f>
        <v>1283899.9679999999</v>
      </c>
      <c r="AB125" s="171"/>
      <c r="AD125" s="282">
        <f>T125</f>
        <v>1283899.9679999999</v>
      </c>
      <c r="AH125" s="152"/>
    </row>
    <row r="126" spans="1:34" x14ac:dyDescent="0.3">
      <c r="A126" s="157" t="s">
        <v>716</v>
      </c>
      <c r="B126" s="157" t="s">
        <v>113</v>
      </c>
      <c r="C126" s="157" t="s">
        <v>717</v>
      </c>
      <c r="D126" s="157" t="s">
        <v>112</v>
      </c>
      <c r="E126" s="157" t="s">
        <v>518</v>
      </c>
      <c r="F126" s="158" t="s">
        <v>754</v>
      </c>
      <c r="G126" s="157">
        <v>80</v>
      </c>
      <c r="H126" s="157" t="s">
        <v>22</v>
      </c>
      <c r="I126" s="176">
        <v>80</v>
      </c>
      <c r="J126" s="160"/>
      <c r="K126" s="176">
        <v>80</v>
      </c>
      <c r="L126" s="180"/>
      <c r="M126" s="163">
        <v>2</v>
      </c>
      <c r="N126" s="166">
        <v>6980.9</v>
      </c>
      <c r="O126" s="173">
        <v>0.35</v>
      </c>
      <c r="P126" s="166">
        <f>N126*(1-O126)</f>
        <v>4537.585</v>
      </c>
      <c r="Q126" s="166">
        <f t="shared" si="30"/>
        <v>726013.6</v>
      </c>
      <c r="R126" s="206" t="e">
        <f>(Q126+Q127+#REF!+#REF!)/E102*1000</f>
        <v>#REF!</v>
      </c>
      <c r="S126" s="167">
        <f>Q126/$Q$147</f>
        <v>0.27118782032284811</v>
      </c>
      <c r="T126" s="168">
        <f t="shared" ref="T126:T129" si="31">Q126*3</f>
        <v>2178040.7999999998</v>
      </c>
      <c r="U126" s="150"/>
      <c r="V126" s="169">
        <f>T126</f>
        <v>2178040.7999999998</v>
      </c>
      <c r="Z126" s="152"/>
      <c r="AA126" s="282"/>
      <c r="AB126" s="171">
        <f>T126</f>
        <v>2178040.7999999998</v>
      </c>
      <c r="AD126" s="282">
        <f>T126</f>
        <v>2178040.7999999998</v>
      </c>
      <c r="AH126" s="152"/>
    </row>
    <row r="127" spans="1:34" x14ac:dyDescent="0.3">
      <c r="A127" s="157" t="s">
        <v>716</v>
      </c>
      <c r="B127" s="157" t="s">
        <v>113</v>
      </c>
      <c r="C127" s="157" t="s">
        <v>720</v>
      </c>
      <c r="D127" s="157" t="s">
        <v>114</v>
      </c>
      <c r="E127" s="157" t="s">
        <v>721</v>
      </c>
      <c r="F127" s="158" t="s">
        <v>83</v>
      </c>
      <c r="G127" s="157">
        <v>1</v>
      </c>
      <c r="H127" s="157" t="s">
        <v>22</v>
      </c>
      <c r="I127" s="188"/>
      <c r="J127" s="725">
        <v>25</v>
      </c>
      <c r="L127" s="286"/>
      <c r="M127" s="163">
        <v>1</v>
      </c>
      <c r="N127" s="166">
        <v>80709</v>
      </c>
      <c r="O127" s="173">
        <v>0.43</v>
      </c>
      <c r="P127" s="166">
        <f t="shared" ref="P127:P129" si="32">N127*(1-O127)</f>
        <v>46004.130000000005</v>
      </c>
      <c r="Q127" s="166">
        <f t="shared" si="30"/>
        <v>46004.130000000005</v>
      </c>
      <c r="R127" s="206"/>
      <c r="S127" s="167">
        <f>Q127/$Q$147</f>
        <v>1.7183920164235145E-2</v>
      </c>
      <c r="T127" s="168">
        <f t="shared" si="31"/>
        <v>138012.39000000001</v>
      </c>
      <c r="U127" s="150"/>
      <c r="V127" s="169"/>
      <c r="W127" s="169">
        <f>T127</f>
        <v>138012.39000000001</v>
      </c>
      <c r="Z127" s="152"/>
      <c r="AA127" s="282"/>
      <c r="AB127" s="171">
        <f>T127</f>
        <v>138012.39000000001</v>
      </c>
      <c r="AD127" s="282">
        <f>T127</f>
        <v>138012.39000000001</v>
      </c>
      <c r="AH127" s="152"/>
    </row>
    <row r="128" spans="1:34" x14ac:dyDescent="0.3">
      <c r="A128" s="157"/>
      <c r="B128" s="157" t="s">
        <v>111</v>
      </c>
      <c r="C128" s="157" t="s">
        <v>720</v>
      </c>
      <c r="D128" s="157" t="s">
        <v>114</v>
      </c>
      <c r="E128" s="157" t="s">
        <v>722</v>
      </c>
      <c r="F128" s="158" t="s">
        <v>115</v>
      </c>
      <c r="G128" s="157">
        <v>1</v>
      </c>
      <c r="H128" s="157" t="s">
        <v>22</v>
      </c>
      <c r="I128" s="188"/>
      <c r="J128" s="176">
        <v>49</v>
      </c>
      <c r="L128" s="286"/>
      <c r="M128" s="163">
        <v>1</v>
      </c>
      <c r="N128" s="166">
        <v>67237.13</v>
      </c>
      <c r="O128" s="173">
        <v>0.43</v>
      </c>
      <c r="P128" s="166">
        <f t="shared" si="32"/>
        <v>38325.164100000009</v>
      </c>
      <c r="Q128" s="166">
        <f t="shared" si="30"/>
        <v>38325.164100000009</v>
      </c>
      <c r="R128" s="206"/>
      <c r="S128" s="167">
        <f>Q128/$Q$147</f>
        <v>1.4315596451353628E-2</v>
      </c>
      <c r="T128" s="168">
        <f t="shared" si="31"/>
        <v>114975.49230000003</v>
      </c>
      <c r="U128" s="150"/>
      <c r="V128" s="169"/>
      <c r="W128" s="169">
        <f>T128</f>
        <v>114975.49230000003</v>
      </c>
      <c r="Z128" s="152"/>
      <c r="AA128" s="282"/>
      <c r="AB128" s="171"/>
      <c r="AD128" s="282">
        <f>T128</f>
        <v>114975.49230000003</v>
      </c>
      <c r="AH128" s="152"/>
    </row>
    <row r="129" spans="1:34" x14ac:dyDescent="0.3">
      <c r="A129" s="157" t="s">
        <v>716</v>
      </c>
      <c r="B129" s="157" t="s">
        <v>111</v>
      </c>
      <c r="C129" s="157" t="s">
        <v>723</v>
      </c>
      <c r="D129" s="157" t="s">
        <v>116</v>
      </c>
      <c r="E129" s="157" t="s">
        <v>724</v>
      </c>
      <c r="F129" s="158" t="s">
        <v>38</v>
      </c>
      <c r="G129" s="157">
        <v>1</v>
      </c>
      <c r="H129" s="157" t="s">
        <v>117</v>
      </c>
      <c r="I129" s="2445">
        <v>1</v>
      </c>
      <c r="J129" s="726"/>
      <c r="K129" s="726"/>
      <c r="L129" s="727"/>
      <c r="M129" s="163">
        <v>1</v>
      </c>
      <c r="N129" s="473">
        <v>368518</v>
      </c>
      <c r="O129" s="165">
        <v>0.43</v>
      </c>
      <c r="P129" s="166">
        <f t="shared" si="32"/>
        <v>210055.26</v>
      </c>
      <c r="Q129" s="166">
        <f t="shared" si="30"/>
        <v>210055.26</v>
      </c>
      <c r="R129" s="9"/>
      <c r="S129" s="178">
        <f>Q129/$Q$147</f>
        <v>7.8461929785818271E-2</v>
      </c>
      <c r="T129" s="168">
        <f t="shared" si="31"/>
        <v>630165.78</v>
      </c>
      <c r="U129" s="565"/>
      <c r="W129" s="169">
        <f>T129</f>
        <v>630165.78</v>
      </c>
      <c r="Z129" s="152"/>
      <c r="AA129" s="282">
        <f>T129</f>
        <v>630165.78</v>
      </c>
      <c r="AB129" s="171"/>
      <c r="AD129" s="282">
        <f>T129</f>
        <v>630165.78</v>
      </c>
      <c r="AH129" s="152"/>
    </row>
    <row r="130" spans="1:34" x14ac:dyDescent="0.3">
      <c r="A130" s="157"/>
      <c r="B130" s="157"/>
      <c r="C130" s="157"/>
      <c r="D130" s="157"/>
      <c r="E130" s="157"/>
      <c r="F130" s="158"/>
      <c r="G130" s="157"/>
      <c r="H130" s="157"/>
      <c r="I130" s="188"/>
      <c r="L130" s="286"/>
      <c r="M130" s="163"/>
      <c r="N130" s="473"/>
      <c r="O130" s="165"/>
      <c r="P130" s="476"/>
      <c r="Q130" s="473"/>
      <c r="R130" s="9"/>
      <c r="S130" s="504"/>
      <c r="T130" s="478"/>
      <c r="U130" s="565"/>
      <c r="Z130" s="152"/>
      <c r="AA130" s="282"/>
      <c r="AB130" s="171"/>
      <c r="AD130" s="282"/>
      <c r="AH130" s="152"/>
    </row>
    <row r="131" spans="1:34" x14ac:dyDescent="0.3">
      <c r="A131" s="157" t="s">
        <v>716</v>
      </c>
      <c r="B131" s="157" t="s">
        <v>20</v>
      </c>
      <c r="C131" s="157" t="s">
        <v>725</v>
      </c>
      <c r="D131" s="157" t="s">
        <v>118</v>
      </c>
      <c r="E131" s="157" t="s">
        <v>726</v>
      </c>
      <c r="F131" s="158" t="s">
        <v>755</v>
      </c>
      <c r="G131" s="157">
        <v>1</v>
      </c>
      <c r="H131" s="157" t="s">
        <v>22</v>
      </c>
      <c r="I131" s="474"/>
      <c r="J131" s="725">
        <v>100</v>
      </c>
      <c r="L131" s="163"/>
      <c r="M131" s="163">
        <v>1</v>
      </c>
      <c r="N131" s="473">
        <v>350022</v>
      </c>
      <c r="O131" s="165">
        <v>0.59599999999999997</v>
      </c>
      <c r="P131" s="166">
        <f>N131*(1-O131)</f>
        <v>141408.88800000001</v>
      </c>
      <c r="Q131" s="166">
        <f t="shared" ref="Q131:Q132" si="33">P131*M131*G131</f>
        <v>141408.88800000001</v>
      </c>
      <c r="R131" s="9"/>
      <c r="S131" s="178">
        <f>Q131/$Q$147</f>
        <v>5.2820454204987009E-2</v>
      </c>
      <c r="T131" s="168">
        <f>Q131*3</f>
        <v>424226.66399999999</v>
      </c>
      <c r="U131" s="565"/>
      <c r="V131" s="169">
        <f>T131</f>
        <v>424226.66399999999</v>
      </c>
      <c r="Z131" s="152"/>
      <c r="AA131" s="282">
        <f>T131</f>
        <v>424226.66399999999</v>
      </c>
      <c r="AB131" s="171"/>
      <c r="AD131" s="280"/>
      <c r="AE131" s="169">
        <f>T131</f>
        <v>424226.66399999999</v>
      </c>
      <c r="AF131" s="169"/>
      <c r="AH131" s="152"/>
    </row>
    <row r="132" spans="1:34" x14ac:dyDescent="0.3">
      <c r="A132" s="157" t="s">
        <v>716</v>
      </c>
      <c r="B132" s="157" t="s">
        <v>20</v>
      </c>
      <c r="C132" s="157" t="s">
        <v>725</v>
      </c>
      <c r="D132" s="157" t="s">
        <v>118</v>
      </c>
      <c r="E132" s="157" t="s">
        <v>728</v>
      </c>
      <c r="F132" s="158" t="s">
        <v>729</v>
      </c>
      <c r="G132" s="157">
        <v>1</v>
      </c>
      <c r="H132" s="157" t="s">
        <v>22</v>
      </c>
      <c r="I132" s="474"/>
      <c r="J132" s="1"/>
      <c r="K132" s="176">
        <v>50</v>
      </c>
      <c r="L132" s="163"/>
      <c r="M132" s="163">
        <v>1</v>
      </c>
      <c r="N132" s="473">
        <v>350658</v>
      </c>
      <c r="O132" s="165">
        <v>0.59599999999999997</v>
      </c>
      <c r="P132" s="166">
        <f>N132*(1-O132)</f>
        <v>141665.83199999999</v>
      </c>
      <c r="Q132" s="166">
        <f t="shared" si="33"/>
        <v>141665.83199999999</v>
      </c>
      <c r="R132" s="9"/>
      <c r="S132" s="167">
        <f>Q132/$Q$147</f>
        <v>5.2916430483262007E-2</v>
      </c>
      <c r="T132" s="168">
        <f>Q132*3</f>
        <v>424997.49599999998</v>
      </c>
      <c r="U132" s="565"/>
      <c r="V132" s="169">
        <f>T132</f>
        <v>424997.49599999998</v>
      </c>
      <c r="Z132" s="152"/>
      <c r="AA132" s="282"/>
      <c r="AB132" s="171">
        <f>T132</f>
        <v>424997.49599999998</v>
      </c>
      <c r="AD132" s="280"/>
      <c r="AE132" s="169">
        <f>T132</f>
        <v>424997.49599999998</v>
      </c>
      <c r="AF132" s="169"/>
      <c r="AH132" s="152"/>
    </row>
    <row r="133" spans="1:34" x14ac:dyDescent="0.3">
      <c r="A133" s="157"/>
      <c r="B133" s="157"/>
      <c r="C133" s="157"/>
      <c r="D133" s="157"/>
      <c r="E133" s="157"/>
      <c r="F133" s="158"/>
      <c r="G133" s="157"/>
      <c r="H133" s="157"/>
      <c r="I133" s="474"/>
      <c r="J133" s="1"/>
      <c r="K133" s="1"/>
      <c r="L133" s="163"/>
      <c r="M133" s="163"/>
      <c r="N133" s="473"/>
      <c r="O133" s="165"/>
      <c r="P133" s="476"/>
      <c r="Q133" s="473"/>
      <c r="R133" s="9"/>
      <c r="S133" s="504"/>
      <c r="T133" s="478"/>
      <c r="U133" s="565"/>
      <c r="Z133" s="152"/>
      <c r="AA133" s="282"/>
      <c r="AB133" s="171"/>
      <c r="AD133" s="280"/>
      <c r="AH133" s="152"/>
    </row>
    <row r="134" spans="1:34" x14ac:dyDescent="0.3">
      <c r="A134" s="157" t="s">
        <v>716</v>
      </c>
      <c r="B134" s="157" t="s">
        <v>132</v>
      </c>
      <c r="C134" s="157" t="s">
        <v>730</v>
      </c>
      <c r="D134" s="157" t="s">
        <v>120</v>
      </c>
      <c r="E134" s="157" t="s">
        <v>121</v>
      </c>
      <c r="F134" s="158" t="s">
        <v>590</v>
      </c>
      <c r="G134" s="157">
        <v>2</v>
      </c>
      <c r="H134" s="157" t="s">
        <v>24</v>
      </c>
      <c r="I134" s="2445">
        <v>2</v>
      </c>
      <c r="J134" s="726"/>
      <c r="K134" s="726"/>
      <c r="L134" s="727"/>
      <c r="M134" s="163">
        <v>1</v>
      </c>
      <c r="N134" s="473">
        <v>250000</v>
      </c>
      <c r="O134" s="165">
        <v>0.48</v>
      </c>
      <c r="P134" s="166">
        <f>N134*(1-O134)</f>
        <v>130000</v>
      </c>
      <c r="Q134" s="166">
        <f t="shared" ref="Q134" si="34">P134*M134*G134</f>
        <v>260000</v>
      </c>
      <c r="R134" s="9"/>
      <c r="S134" s="178">
        <f>Q134/$Q$147</f>
        <v>9.7117785787952896E-2</v>
      </c>
      <c r="T134" s="168">
        <f>Q134*3</f>
        <v>780000</v>
      </c>
      <c r="U134" s="565"/>
      <c r="W134" s="169">
        <f>T134</f>
        <v>780000</v>
      </c>
      <c r="Z134" s="152"/>
      <c r="AA134" s="282">
        <f>T134</f>
        <v>780000</v>
      </c>
      <c r="AB134" s="171"/>
      <c r="AD134" s="280"/>
      <c r="AF134" s="169">
        <f>T134</f>
        <v>780000</v>
      </c>
      <c r="AH134" s="152"/>
    </row>
    <row r="135" spans="1:34" x14ac:dyDescent="0.3">
      <c r="A135" s="157"/>
      <c r="B135" s="157"/>
      <c r="C135" s="157"/>
      <c r="D135" s="157"/>
      <c r="E135" s="157"/>
      <c r="F135" s="158"/>
      <c r="G135" s="157"/>
      <c r="H135" s="157"/>
      <c r="I135" s="1"/>
      <c r="J135" s="1"/>
      <c r="K135" s="1"/>
      <c r="L135" s="163"/>
      <c r="M135" s="163"/>
      <c r="N135" s="473"/>
      <c r="O135" s="165"/>
      <c r="P135" s="476"/>
      <c r="Q135" s="473"/>
      <c r="R135" s="9"/>
      <c r="S135" s="504"/>
      <c r="T135" s="478"/>
      <c r="U135" s="565"/>
      <c r="Z135" s="152"/>
      <c r="AA135" s="282"/>
      <c r="AB135" s="171"/>
      <c r="AD135" s="280"/>
      <c r="AH135" s="152"/>
    </row>
    <row r="136" spans="1:34" x14ac:dyDescent="0.3">
      <c r="A136" s="157" t="s">
        <v>716</v>
      </c>
      <c r="B136" s="157" t="s">
        <v>122</v>
      </c>
      <c r="C136" s="157"/>
      <c r="D136" s="157" t="s">
        <v>123</v>
      </c>
      <c r="E136" s="157" t="s">
        <v>732</v>
      </c>
      <c r="F136" s="158" t="s">
        <v>124</v>
      </c>
      <c r="G136" s="157">
        <v>1</v>
      </c>
      <c r="H136" s="157" t="s">
        <v>22</v>
      </c>
      <c r="I136" s="176">
        <v>70</v>
      </c>
      <c r="J136" s="1"/>
      <c r="K136" s="1"/>
      <c r="L136" s="163"/>
      <c r="M136" s="163">
        <v>1</v>
      </c>
      <c r="N136" s="473">
        <v>264920</v>
      </c>
      <c r="O136" s="165">
        <v>0.65</v>
      </c>
      <c r="P136" s="166">
        <f>N136*(1-O136)</f>
        <v>92722</v>
      </c>
      <c r="Q136" s="166">
        <f t="shared" ref="Q136" si="35">P136*M136*G136</f>
        <v>92722</v>
      </c>
      <c r="R136" s="9"/>
      <c r="S136" s="167">
        <f>Q136/$Q$147</f>
        <v>3.4634443591656031E-2</v>
      </c>
      <c r="T136" s="168">
        <f>Q136*3</f>
        <v>278166</v>
      </c>
      <c r="U136" s="565"/>
      <c r="V136" s="169">
        <f>T136</f>
        <v>278166</v>
      </c>
      <c r="Z136" s="152"/>
      <c r="AA136" s="282"/>
      <c r="AB136" s="171">
        <f>T136</f>
        <v>278166</v>
      </c>
      <c r="AD136" s="280"/>
      <c r="AG136" s="169">
        <f>T136</f>
        <v>278166</v>
      </c>
      <c r="AH136" s="171"/>
    </row>
    <row r="137" spans="1:34" x14ac:dyDescent="0.3">
      <c r="A137" s="157"/>
      <c r="B137" s="157"/>
      <c r="C137" s="157"/>
      <c r="D137" s="157"/>
      <c r="E137" s="157"/>
      <c r="F137" s="158"/>
      <c r="G137" s="157"/>
      <c r="H137" s="157"/>
      <c r="I137" s="474"/>
      <c r="J137" s="1"/>
      <c r="K137" s="1"/>
      <c r="L137" s="163"/>
      <c r="M137" s="163"/>
      <c r="N137" s="473"/>
      <c r="O137" s="165"/>
      <c r="P137" s="476"/>
      <c r="Q137" s="473"/>
      <c r="R137" s="9"/>
      <c r="S137" s="504"/>
      <c r="T137" s="478"/>
      <c r="U137" s="565"/>
      <c r="Z137" s="152"/>
      <c r="AA137" s="282"/>
      <c r="AB137" s="171"/>
      <c r="AD137" s="280"/>
      <c r="AH137" s="152"/>
    </row>
    <row r="138" spans="1:34" x14ac:dyDescent="0.3">
      <c r="A138" s="157" t="s">
        <v>716</v>
      </c>
      <c r="B138" s="157" t="s">
        <v>110</v>
      </c>
      <c r="C138" s="157" t="s">
        <v>737</v>
      </c>
      <c r="D138" s="157" t="s">
        <v>133</v>
      </c>
      <c r="E138" s="157" t="s">
        <v>738</v>
      </c>
      <c r="F138" s="158" t="s">
        <v>756</v>
      </c>
      <c r="G138" s="157">
        <v>100</v>
      </c>
      <c r="H138" s="157" t="s">
        <v>22</v>
      </c>
      <c r="I138" s="474"/>
      <c r="J138" s="1"/>
      <c r="K138" s="725">
        <v>100</v>
      </c>
      <c r="L138" s="163"/>
      <c r="M138" s="163">
        <v>1</v>
      </c>
      <c r="N138" s="473">
        <v>2520</v>
      </c>
      <c r="O138" s="165">
        <v>0.75</v>
      </c>
      <c r="P138" s="166">
        <f>N138*(1-O138)</f>
        <v>630</v>
      </c>
      <c r="Q138" s="166">
        <f t="shared" ref="Q138" si="36">P138*M138*G138</f>
        <v>63000</v>
      </c>
      <c r="R138" s="9"/>
      <c r="S138" s="167">
        <f>Q138/$Q$147</f>
        <v>2.3532386556311662E-2</v>
      </c>
      <c r="T138" s="168">
        <f>Q138*3</f>
        <v>189000</v>
      </c>
      <c r="U138" s="565"/>
      <c r="V138" s="169">
        <f>T138</f>
        <v>189000</v>
      </c>
      <c r="Z138" s="152"/>
      <c r="AA138" s="282"/>
      <c r="AB138" s="171">
        <f>T138</f>
        <v>189000</v>
      </c>
      <c r="AD138" s="280"/>
      <c r="AH138" s="171">
        <f>T138</f>
        <v>189000</v>
      </c>
    </row>
    <row r="139" spans="1:34" x14ac:dyDescent="0.3">
      <c r="A139" s="157"/>
      <c r="B139" s="157"/>
      <c r="C139" s="157"/>
      <c r="D139" s="157"/>
      <c r="E139" s="157"/>
      <c r="F139" s="158"/>
      <c r="G139" s="157"/>
      <c r="H139" s="157"/>
      <c r="I139" s="474"/>
      <c r="J139" s="1"/>
      <c r="K139" s="1"/>
      <c r="L139" s="163"/>
      <c r="M139" s="163"/>
      <c r="N139" s="473"/>
      <c r="O139" s="165"/>
      <c r="P139" s="476"/>
      <c r="Q139" s="473"/>
      <c r="R139" s="9"/>
      <c r="S139" s="504"/>
      <c r="T139" s="478"/>
      <c r="U139" s="565"/>
      <c r="Z139" s="152"/>
      <c r="AA139" s="282"/>
      <c r="AB139" s="171"/>
      <c r="AD139" s="280"/>
      <c r="AH139" s="152"/>
    </row>
    <row r="140" spans="1:34" x14ac:dyDescent="0.3">
      <c r="A140" s="157"/>
      <c r="B140" s="157"/>
      <c r="C140" s="157"/>
      <c r="D140" s="157"/>
      <c r="E140" s="157"/>
      <c r="F140" s="158"/>
      <c r="G140" s="157"/>
      <c r="H140" s="157"/>
      <c r="I140" s="474"/>
      <c r="J140" s="1"/>
      <c r="K140" s="1"/>
      <c r="L140" s="163"/>
      <c r="M140" s="163"/>
      <c r="N140" s="473"/>
      <c r="O140" s="165"/>
      <c r="P140" s="476"/>
      <c r="Q140" s="473"/>
      <c r="R140" s="9"/>
      <c r="S140" s="504"/>
      <c r="T140" s="478"/>
      <c r="U140" s="565"/>
      <c r="Z140" s="152"/>
      <c r="AA140" s="282"/>
      <c r="AB140" s="171"/>
      <c r="AD140" s="280"/>
      <c r="AH140" s="152"/>
    </row>
    <row r="141" spans="1:34" x14ac:dyDescent="0.3">
      <c r="A141" s="157"/>
      <c r="B141" s="157"/>
      <c r="C141" s="157"/>
      <c r="D141" s="157"/>
      <c r="E141" s="157"/>
      <c r="F141" s="158"/>
      <c r="G141" s="157"/>
      <c r="H141" s="157"/>
      <c r="I141" s="474"/>
      <c r="J141" s="1"/>
      <c r="K141" s="1"/>
      <c r="L141" s="163"/>
      <c r="M141" s="163"/>
      <c r="N141" s="473"/>
      <c r="O141" s="165"/>
      <c r="P141" s="476"/>
      <c r="Q141" s="473"/>
      <c r="R141" s="9"/>
      <c r="S141" s="504"/>
      <c r="T141" s="478"/>
      <c r="U141" s="565"/>
      <c r="Z141" s="152"/>
      <c r="AA141" s="282"/>
      <c r="AB141" s="171"/>
      <c r="AD141" s="280"/>
      <c r="AH141" s="152"/>
    </row>
    <row r="142" spans="1:34" x14ac:dyDescent="0.3">
      <c r="A142" s="108"/>
      <c r="B142" s="108"/>
      <c r="C142" s="108"/>
      <c r="D142" s="108"/>
      <c r="E142" s="108"/>
      <c r="F142" s="479"/>
      <c r="G142" s="108"/>
      <c r="H142" s="108"/>
      <c r="I142" s="289"/>
      <c r="J142" s="252"/>
      <c r="K142" s="252"/>
      <c r="L142" s="730"/>
      <c r="M142" s="730"/>
      <c r="N142" s="731"/>
      <c r="O142" s="732"/>
      <c r="P142" s="733"/>
      <c r="Q142" s="731"/>
      <c r="R142" s="734"/>
      <c r="S142" s="742"/>
      <c r="T142" s="168"/>
      <c r="U142" s="565"/>
      <c r="W142" s="169"/>
      <c r="Z142" s="152"/>
      <c r="AA142" s="282"/>
      <c r="AB142" s="171"/>
      <c r="AD142" s="280"/>
      <c r="AH142" s="152"/>
    </row>
    <row r="143" spans="1:34" x14ac:dyDescent="0.3">
      <c r="A143" s="108" t="s">
        <v>716</v>
      </c>
      <c r="B143" s="108" t="s">
        <v>739</v>
      </c>
      <c r="C143" s="108" t="s">
        <v>740</v>
      </c>
      <c r="D143" s="108"/>
      <c r="E143" s="108"/>
      <c r="F143" s="479"/>
      <c r="G143" s="108"/>
      <c r="H143" s="108"/>
      <c r="I143" s="289"/>
      <c r="J143" s="252"/>
      <c r="K143" s="252"/>
      <c r="L143" s="730"/>
      <c r="M143" s="730"/>
      <c r="N143" s="731"/>
      <c r="O143" s="732"/>
      <c r="P143" s="733"/>
      <c r="Q143" s="731">
        <v>230000</v>
      </c>
      <c r="R143" s="734"/>
      <c r="S143" s="742">
        <f>Q143/$Q$147</f>
        <v>8.5911887427804479E-2</v>
      </c>
      <c r="T143" s="168">
        <f>Q143*3</f>
        <v>690000</v>
      </c>
      <c r="U143" s="565"/>
      <c r="Z143" s="171">
        <f>T143</f>
        <v>690000</v>
      </c>
      <c r="AA143" s="282"/>
      <c r="AB143" s="171"/>
      <c r="AD143" s="280"/>
      <c r="AH143" s="152"/>
    </row>
    <row r="144" spans="1:34" x14ac:dyDescent="0.3">
      <c r="A144" s="108" t="s">
        <v>716</v>
      </c>
      <c r="B144" s="108" t="s">
        <v>528</v>
      </c>
      <c r="C144" s="108" t="s">
        <v>741</v>
      </c>
      <c r="D144" s="108"/>
      <c r="E144" s="108"/>
      <c r="F144" s="479"/>
      <c r="G144" s="108"/>
      <c r="H144" s="108"/>
      <c r="I144" s="289"/>
      <c r="J144" s="252"/>
      <c r="K144" s="252"/>
      <c r="L144" s="730"/>
      <c r="M144" s="730"/>
      <c r="N144" s="257"/>
      <c r="O144" s="109"/>
      <c r="P144" s="290"/>
      <c r="Q144" s="257">
        <v>170000</v>
      </c>
      <c r="R144" s="290"/>
      <c r="S144" s="742">
        <f>Q144/$Q$147</f>
        <v>6.3500090707507659E-2</v>
      </c>
      <c r="T144" s="168">
        <f>Q144*3</f>
        <v>510000</v>
      </c>
      <c r="U144" s="150"/>
      <c r="X144" s="169">
        <f>T144</f>
        <v>510000</v>
      </c>
      <c r="Y144" s="169"/>
      <c r="Z144" s="152"/>
      <c r="AA144" s="280"/>
      <c r="AB144" s="171"/>
      <c r="AD144" s="280"/>
      <c r="AH144" s="152"/>
    </row>
    <row r="145" spans="1:34" x14ac:dyDescent="0.3">
      <c r="A145" s="108" t="s">
        <v>716</v>
      </c>
      <c r="B145" s="108" t="s">
        <v>529</v>
      </c>
      <c r="C145" s="108"/>
      <c r="D145" s="108"/>
      <c r="E145" s="108"/>
      <c r="F145" s="479"/>
      <c r="G145" s="108"/>
      <c r="H145" s="108"/>
      <c r="I145" s="251"/>
      <c r="J145" s="254"/>
      <c r="K145" s="254"/>
      <c r="L145" s="736"/>
      <c r="M145" s="730"/>
      <c r="N145" s="257"/>
      <c r="O145" s="109"/>
      <c r="P145" s="290"/>
      <c r="Q145" s="257">
        <v>130000</v>
      </c>
      <c r="R145" s="480"/>
      <c r="S145" s="742">
        <f>Q145/$Q$147</f>
        <v>4.8558892893976448E-2</v>
      </c>
      <c r="T145" s="168">
        <f>Q145*3</f>
        <v>390000</v>
      </c>
      <c r="U145" s="150"/>
      <c r="Z145" s="171">
        <f>T145</f>
        <v>390000</v>
      </c>
      <c r="AA145" s="280"/>
      <c r="AB145" s="152"/>
      <c r="AD145" s="280"/>
      <c r="AH145" s="152"/>
    </row>
    <row r="146" spans="1:34" x14ac:dyDescent="0.3">
      <c r="I146" s="115">
        <f>I147/$M$147</f>
        <v>0.32231404958677684</v>
      </c>
      <c r="J146" s="115">
        <f t="shared" ref="J146:K146" si="37">J147/$M$147</f>
        <v>0.34710743801652894</v>
      </c>
      <c r="K146" s="115">
        <f t="shared" si="37"/>
        <v>0.33057851239669422</v>
      </c>
      <c r="T146" s="325"/>
      <c r="U146" s="150"/>
      <c r="Z146" s="152"/>
      <c r="AA146" s="280"/>
      <c r="AB146" s="152"/>
      <c r="AD146" s="280"/>
      <c r="AH146" s="152"/>
    </row>
    <row r="147" spans="1:34" x14ac:dyDescent="0.3">
      <c r="A147" s="326" t="s">
        <v>531</v>
      </c>
      <c r="B147" s="327"/>
      <c r="C147" s="327"/>
      <c r="D147" s="327"/>
      <c r="E147" s="327"/>
      <c r="F147" s="328"/>
      <c r="G147" s="327"/>
      <c r="H147" s="327"/>
      <c r="I147" s="327">
        <f>I136+I126+I125+I129+I134</f>
        <v>273</v>
      </c>
      <c r="J147" s="327">
        <f>+J131+J125+J127+J128</f>
        <v>294</v>
      </c>
      <c r="K147" s="327">
        <f>K138+K132+K132+K126</f>
        <v>280</v>
      </c>
      <c r="L147" s="327"/>
      <c r="M147" s="327">
        <f>SUM(I147:L147)</f>
        <v>847</v>
      </c>
      <c r="N147" s="329"/>
      <c r="O147" s="330"/>
      <c r="P147" s="329"/>
      <c r="Q147" s="744">
        <f>SUM(Q125:Q146)</f>
        <v>2677161.5301000001</v>
      </c>
      <c r="R147" s="331"/>
      <c r="S147" s="332">
        <f>SUM(S125:S145)</f>
        <v>0.99999999999999978</v>
      </c>
      <c r="T147" s="745">
        <f>SUM(T123:T146)</f>
        <v>8031484.5903000003</v>
      </c>
      <c r="U147" s="584">
        <f t="shared" ref="U147:AB147" si="38">SUM(U123:U145)</f>
        <v>0</v>
      </c>
      <c r="V147" s="585">
        <f t="shared" si="38"/>
        <v>4778330.9279999994</v>
      </c>
      <c r="W147" s="585">
        <f t="shared" si="38"/>
        <v>1663153.6623</v>
      </c>
      <c r="X147" s="585">
        <f t="shared" si="38"/>
        <v>510000</v>
      </c>
      <c r="Y147" s="585">
        <f t="shared" si="38"/>
        <v>0</v>
      </c>
      <c r="Z147" s="586">
        <f t="shared" si="38"/>
        <v>1080000</v>
      </c>
      <c r="AA147" s="587">
        <f t="shared" si="38"/>
        <v>3118292.412</v>
      </c>
      <c r="AB147" s="586">
        <f t="shared" si="38"/>
        <v>3208216.6859999998</v>
      </c>
      <c r="AC147" s="338"/>
      <c r="AD147" s="584">
        <f>SUM(AD123:AD145)</f>
        <v>4345094.4303000001</v>
      </c>
      <c r="AE147" s="585">
        <f>SUM(AE123:AE145)</f>
        <v>849224.15999999992</v>
      </c>
      <c r="AF147" s="585">
        <f>SUM(AF123:AF145)</f>
        <v>780000</v>
      </c>
      <c r="AG147" s="585">
        <f>SUM(AG123:AG145)</f>
        <v>278166</v>
      </c>
      <c r="AH147" s="586">
        <f>SUM(AH123:AH145)</f>
        <v>189000</v>
      </c>
    </row>
    <row r="148" spans="1:34" x14ac:dyDescent="0.3">
      <c r="A148" s="342" t="s">
        <v>532</v>
      </c>
      <c r="B148" s="343"/>
      <c r="C148" s="343"/>
      <c r="D148" s="343"/>
      <c r="E148" s="343"/>
      <c r="F148" s="344"/>
      <c r="G148" s="343"/>
      <c r="H148" s="343"/>
      <c r="I148" s="343">
        <f>I136+I126+I125+I129+I134</f>
        <v>273</v>
      </c>
      <c r="J148" s="343">
        <f>+J131+J125+J127+J128+I129+I134</f>
        <v>297</v>
      </c>
      <c r="K148" s="343">
        <f>K138+K132+K126+I129+I134</f>
        <v>233</v>
      </c>
      <c r="L148" s="343"/>
      <c r="M148" s="343">
        <f>SUM(I148:L148)</f>
        <v>803</v>
      </c>
      <c r="N148" s="345"/>
      <c r="O148" s="346"/>
      <c r="P148" s="345"/>
      <c r="Q148" s="345"/>
      <c r="R148" s="345"/>
      <c r="S148" s="347"/>
      <c r="T148" s="746"/>
      <c r="U148" s="637">
        <f>U147/T147</f>
        <v>0</v>
      </c>
      <c r="V148" s="350">
        <f>V147/T147</f>
        <v>0.59494989678135135</v>
      </c>
      <c r="W148" s="350">
        <f>W147/T147</f>
        <v>0.20707923218935992</v>
      </c>
      <c r="X148" s="350">
        <f>X147/T147</f>
        <v>6.3500090707507659E-2</v>
      </c>
      <c r="Y148" s="350">
        <f>Y147/T147</f>
        <v>0</v>
      </c>
      <c r="Z148" s="352">
        <f>Z147/T147</f>
        <v>0.13447078032178092</v>
      </c>
      <c r="AA148" s="351">
        <f>AA147/T147</f>
        <v>0.38825853140104477</v>
      </c>
      <c r="AB148" s="352">
        <f>AB147/T147</f>
        <v>0.39945500111831295</v>
      </c>
      <c r="AC148" s="353">
        <f>AA149+AB149</f>
        <v>797</v>
      </c>
      <c r="AD148" s="747"/>
      <c r="AE148" s="524"/>
      <c r="AF148" s="524"/>
      <c r="AG148" s="524"/>
      <c r="AH148" s="356"/>
    </row>
    <row r="149" spans="1:34" x14ac:dyDescent="0.3">
      <c r="A149" s="243" t="s">
        <v>533</v>
      </c>
      <c r="B149" s="193"/>
      <c r="C149" s="193"/>
      <c r="D149" s="193"/>
      <c r="E149" s="193"/>
      <c r="F149" s="244"/>
      <c r="G149" s="193"/>
      <c r="H149" s="193"/>
      <c r="I149" s="2182">
        <f>I148/$M$148</f>
        <v>0.33997509339975096</v>
      </c>
      <c r="J149" s="2182">
        <f t="shared" ref="J149:K149" si="39">J148/$M$148</f>
        <v>0.36986301369863012</v>
      </c>
      <c r="K149" s="2182">
        <f t="shared" si="39"/>
        <v>0.29016189290161892</v>
      </c>
      <c r="L149" s="245"/>
      <c r="M149" s="193"/>
      <c r="N149" s="246"/>
      <c r="O149" s="196"/>
      <c r="P149" s="246"/>
      <c r="Q149" s="194">
        <f>U147/3</f>
        <v>0</v>
      </c>
      <c r="R149" s="288"/>
      <c r="S149" s="247">
        <f>Q149/Q154</f>
        <v>0</v>
      </c>
      <c r="Z149" s="248"/>
      <c r="AA149" s="357">
        <f>I125+J125+I129+J131+I134</f>
        <v>343</v>
      </c>
      <c r="AB149" s="17">
        <f>I126+K126+J127+J128+K132+I136+K138</f>
        <v>454</v>
      </c>
      <c r="AC149" s="4" t="s">
        <v>534</v>
      </c>
      <c r="AD149" s="188"/>
    </row>
    <row r="150" spans="1:34" x14ac:dyDescent="0.3">
      <c r="A150" s="251" t="s">
        <v>11</v>
      </c>
      <c r="B150" s="252"/>
      <c r="C150" s="252"/>
      <c r="D150" s="252"/>
      <c r="E150" s="252"/>
      <c r="F150" s="253"/>
      <c r="G150" s="252"/>
      <c r="H150" s="252"/>
      <c r="I150" s="254"/>
      <c r="J150" s="254"/>
      <c r="K150" s="254"/>
      <c r="L150" s="254"/>
      <c r="M150" s="252"/>
      <c r="N150" s="255"/>
      <c r="O150" s="256"/>
      <c r="P150" s="255"/>
      <c r="Q150" s="257">
        <f>V147/3</f>
        <v>1592776.9759999998</v>
      </c>
      <c r="R150" s="290"/>
      <c r="S150" s="262">
        <f>Q150/Q154</f>
        <v>0.59494989678135146</v>
      </c>
      <c r="T150" s="525">
        <f>Q147/M147</f>
        <v>3160.7574145218418</v>
      </c>
      <c r="U150" s="526" t="s">
        <v>535</v>
      </c>
      <c r="AA150" s="195">
        <f>AA149/M147</f>
        <v>0.4049586776859504</v>
      </c>
      <c r="AB150" s="196">
        <f>AB149/M147</f>
        <v>0.5360094451003542</v>
      </c>
      <c r="AD150" s="188"/>
    </row>
    <row r="151" spans="1:34" x14ac:dyDescent="0.3">
      <c r="A151" s="251" t="s">
        <v>536</v>
      </c>
      <c r="B151" s="252"/>
      <c r="C151" s="252"/>
      <c r="D151" s="252"/>
      <c r="E151" s="252"/>
      <c r="F151" s="253"/>
      <c r="G151" s="252"/>
      <c r="H151" s="252"/>
      <c r="I151" s="254"/>
      <c r="J151" s="254"/>
      <c r="K151" s="254"/>
      <c r="L151" s="254"/>
      <c r="M151" s="252"/>
      <c r="N151" s="255"/>
      <c r="O151" s="256"/>
      <c r="P151" s="255"/>
      <c r="Q151" s="257">
        <f>W147/3</f>
        <v>554384.55409999995</v>
      </c>
      <c r="R151" s="290"/>
      <c r="S151" s="262">
        <f>Q151/Q154</f>
        <v>0.20707923218935995</v>
      </c>
      <c r="V151" s="263"/>
      <c r="X151" s="99"/>
      <c r="Y151" s="99"/>
      <c r="AA151" s="2265" t="s">
        <v>537</v>
      </c>
      <c r="AB151" s="2265"/>
    </row>
    <row r="152" spans="1:34" x14ac:dyDescent="0.3">
      <c r="A152" s="251" t="s">
        <v>529</v>
      </c>
      <c r="B152" s="252"/>
      <c r="C152" s="252"/>
      <c r="D152" s="252"/>
      <c r="E152" s="252"/>
      <c r="F152" s="253"/>
      <c r="G152" s="252"/>
      <c r="H152" s="252"/>
      <c r="I152" s="254"/>
      <c r="J152" s="254"/>
      <c r="K152" s="254"/>
      <c r="L152" s="254"/>
      <c r="M152" s="252"/>
      <c r="N152" s="255"/>
      <c r="O152" s="256"/>
      <c r="P152" s="255"/>
      <c r="Q152" s="257">
        <f>Z147/3</f>
        <v>360000</v>
      </c>
      <c r="R152" s="290"/>
      <c r="S152" s="262">
        <f>Q152/Q154</f>
        <v>0.13447078032178095</v>
      </c>
      <c r="V152" s="263"/>
    </row>
    <row r="153" spans="1:34" x14ac:dyDescent="0.3">
      <c r="A153" s="251" t="s">
        <v>528</v>
      </c>
      <c r="B153" s="252"/>
      <c r="C153" s="252"/>
      <c r="D153" s="252"/>
      <c r="E153" s="252"/>
      <c r="F153" s="253"/>
      <c r="G153" s="252"/>
      <c r="H153" s="252"/>
      <c r="I153" s="254"/>
      <c r="J153" s="254"/>
      <c r="K153" s="254"/>
      <c r="L153" s="254"/>
      <c r="M153" s="252"/>
      <c r="N153" s="255"/>
      <c r="O153" s="256"/>
      <c r="P153" s="255"/>
      <c r="Q153" s="257">
        <f>X147/3</f>
        <v>170000</v>
      </c>
      <c r="R153" s="290"/>
      <c r="S153" s="262">
        <f>Q153/Q154</f>
        <v>6.3500090707507673E-2</v>
      </c>
    </row>
    <row r="154" spans="1:34" x14ac:dyDescent="0.3">
      <c r="A154" s="251"/>
      <c r="B154" s="252"/>
      <c r="C154" s="252"/>
      <c r="D154" s="252"/>
      <c r="E154" s="252"/>
      <c r="F154" s="253"/>
      <c r="G154" s="252"/>
      <c r="H154" s="252"/>
      <c r="I154" s="254"/>
      <c r="J154" s="254"/>
      <c r="K154" s="254"/>
      <c r="L154" s="254"/>
      <c r="M154" s="252"/>
      <c r="N154" s="255"/>
      <c r="O154" s="256"/>
      <c r="P154" s="255"/>
      <c r="Q154" s="740">
        <f>SUM(Q149:Q153)</f>
        <v>2677161.5300999996</v>
      </c>
      <c r="R154" s="490"/>
      <c r="S154" s="262">
        <f>SUM(S149:S153)</f>
        <v>1</v>
      </c>
    </row>
    <row r="155" spans="1:34" x14ac:dyDescent="0.3">
      <c r="A155" s="465"/>
      <c r="B155" s="527"/>
      <c r="C155" s="527"/>
      <c r="D155" s="527"/>
      <c r="E155" s="527"/>
      <c r="F155" s="528"/>
      <c r="G155" s="527"/>
      <c r="H155" s="527"/>
      <c r="I155" s="465"/>
      <c r="J155" s="465"/>
      <c r="K155" s="465"/>
      <c r="L155" s="465"/>
      <c r="M155" s="527"/>
      <c r="N155" s="529"/>
      <c r="O155" s="530"/>
      <c r="P155" s="529"/>
      <c r="Q155" s="531"/>
      <c r="R155" s="531"/>
      <c r="S155" s="530"/>
      <c r="T155" s="5"/>
      <c r="U155" s="7"/>
    </row>
    <row r="156" spans="1:34" x14ac:dyDescent="0.3">
      <c r="A156" s="188"/>
      <c r="N156" s="5"/>
      <c r="O156" s="6"/>
      <c r="P156" s="5"/>
      <c r="Q156" s="7"/>
      <c r="R156" s="7"/>
      <c r="S156" s="8"/>
      <c r="T156" s="5"/>
    </row>
    <row r="157" spans="1:34" x14ac:dyDescent="0.3">
      <c r="A157" s="188"/>
      <c r="N157" s="5"/>
      <c r="O157" s="6"/>
      <c r="P157" s="5"/>
      <c r="Q157" s="7"/>
      <c r="R157" s="7"/>
      <c r="S157" s="8"/>
      <c r="T157" s="5"/>
    </row>
    <row r="158" spans="1:34" x14ac:dyDescent="0.3">
      <c r="A158" s="188"/>
      <c r="N158" s="5"/>
      <c r="O158" s="6"/>
      <c r="P158" s="5"/>
      <c r="Q158" s="7"/>
      <c r="R158" s="7"/>
      <c r="S158" s="8"/>
      <c r="T158" s="5"/>
    </row>
    <row r="159" spans="1:34" ht="18" x14ac:dyDescent="0.35">
      <c r="A159" s="118" t="s">
        <v>554</v>
      </c>
      <c r="S159" s="98"/>
    </row>
    <row r="160" spans="1:34" ht="18" x14ac:dyDescent="0.35">
      <c r="A160" s="118"/>
      <c r="S160" s="98"/>
    </row>
    <row r="161" spans="1:34" x14ac:dyDescent="0.3">
      <c r="A161" s="2335" t="s">
        <v>480</v>
      </c>
      <c r="B161" s="2336"/>
      <c r="C161" s="2336"/>
      <c r="D161" s="2336"/>
      <c r="E161" s="2336"/>
      <c r="F161" s="2336"/>
      <c r="G161" s="2336"/>
      <c r="H161" s="2336"/>
      <c r="I161" s="2336"/>
      <c r="J161" s="2336"/>
      <c r="K161" s="2336"/>
      <c r="L161" s="2336"/>
      <c r="M161" s="2336"/>
      <c r="N161" s="2336"/>
      <c r="O161" s="2336"/>
      <c r="P161" s="2336"/>
      <c r="Q161" s="2336"/>
      <c r="R161" s="2336"/>
      <c r="S161" s="2337"/>
      <c r="T161" s="2338" t="s">
        <v>584</v>
      </c>
      <c r="U161" s="2339"/>
      <c r="V161" s="2339"/>
      <c r="W161" s="2339"/>
      <c r="X161" s="2339"/>
      <c r="Y161" s="2339"/>
      <c r="Z161" s="2339"/>
      <c r="AA161" s="2339"/>
      <c r="AB161" s="2339"/>
      <c r="AC161" s="2339"/>
      <c r="AD161" s="2339"/>
      <c r="AE161" s="2339"/>
      <c r="AF161" s="2339"/>
      <c r="AG161" s="2339"/>
      <c r="AH161" s="2340"/>
    </row>
    <row r="162" spans="1:34" ht="18" x14ac:dyDescent="0.35">
      <c r="A162" s="2256" t="s">
        <v>482</v>
      </c>
      <c r="B162" s="2258" t="s">
        <v>483</v>
      </c>
      <c r="C162" s="2258" t="s">
        <v>484</v>
      </c>
      <c r="D162" s="2258" t="s">
        <v>555</v>
      </c>
      <c r="E162" s="2258" t="s">
        <v>556</v>
      </c>
      <c r="F162" s="2260" t="s">
        <v>487</v>
      </c>
      <c r="G162" s="2258" t="s">
        <v>557</v>
      </c>
      <c r="H162" s="2258" t="s">
        <v>489</v>
      </c>
      <c r="I162" s="2240" t="s">
        <v>490</v>
      </c>
      <c r="J162" s="2240"/>
      <c r="K162" s="2240"/>
      <c r="L162" s="2240"/>
      <c r="M162" s="305" t="s">
        <v>491</v>
      </c>
      <c r="N162" s="306" t="s">
        <v>558</v>
      </c>
      <c r="O162" s="307" t="s">
        <v>493</v>
      </c>
      <c r="P162" s="306" t="s">
        <v>558</v>
      </c>
      <c r="Q162" s="306" t="s">
        <v>559</v>
      </c>
      <c r="R162" s="512" t="s">
        <v>585</v>
      </c>
      <c r="S162" s="2343" t="s">
        <v>495</v>
      </c>
      <c r="T162" s="695" t="s">
        <v>496</v>
      </c>
      <c r="U162" s="2410" t="s">
        <v>497</v>
      </c>
      <c r="V162" s="2410"/>
      <c r="W162" s="2410"/>
      <c r="X162" s="2410"/>
      <c r="Y162" s="2410"/>
      <c r="Z162" s="2411"/>
      <c r="AA162" s="2403" t="s">
        <v>498</v>
      </c>
      <c r="AB162" s="2405"/>
      <c r="AC162" s="2403" t="s">
        <v>499</v>
      </c>
      <c r="AD162" s="2404"/>
      <c r="AE162" s="2404"/>
      <c r="AF162" s="2404"/>
      <c r="AG162" s="2404"/>
      <c r="AH162" s="2405"/>
    </row>
    <row r="163" spans="1:34" ht="18" x14ac:dyDescent="0.35">
      <c r="A163" s="2257"/>
      <c r="B163" s="2259"/>
      <c r="C163" s="2259"/>
      <c r="D163" s="2259"/>
      <c r="E163" s="2259"/>
      <c r="F163" s="2261"/>
      <c r="G163" s="2259"/>
      <c r="H163" s="2259"/>
      <c r="I163" s="310" t="s">
        <v>500</v>
      </c>
      <c r="J163" s="310" t="s">
        <v>501</v>
      </c>
      <c r="K163" s="310" t="s">
        <v>502</v>
      </c>
      <c r="L163" s="310" t="s">
        <v>503</v>
      </c>
      <c r="M163" s="311" t="s">
        <v>504</v>
      </c>
      <c r="N163" s="312" t="s">
        <v>505</v>
      </c>
      <c r="O163" s="313" t="s">
        <v>506</v>
      </c>
      <c r="P163" s="312" t="s">
        <v>507</v>
      </c>
      <c r="Q163" s="312" t="s">
        <v>560</v>
      </c>
      <c r="R163" s="312"/>
      <c r="S163" s="2344"/>
      <c r="T163" s="696" t="s">
        <v>508</v>
      </c>
      <c r="U163" s="2413"/>
      <c r="V163" s="2413"/>
      <c r="W163" s="2413"/>
      <c r="X163" s="2413"/>
      <c r="Y163" s="2413"/>
      <c r="Z163" s="2414"/>
      <c r="AA163" s="2406"/>
      <c r="AB163" s="2408"/>
      <c r="AC163" s="2406"/>
      <c r="AD163" s="2407"/>
      <c r="AE163" s="2407"/>
      <c r="AF163" s="2407"/>
      <c r="AG163" s="2407"/>
      <c r="AH163" s="2408"/>
    </row>
    <row r="164" spans="1:34" ht="18" x14ac:dyDescent="0.35">
      <c r="A164" s="2357" t="s">
        <v>561</v>
      </c>
      <c r="B164" s="2358"/>
      <c r="C164" s="2358"/>
      <c r="D164" s="2358"/>
      <c r="E164" s="2358"/>
      <c r="F164" s="2358"/>
      <c r="G164" s="2358"/>
      <c r="H164" s="2358"/>
      <c r="I164" s="2358"/>
      <c r="J164" s="2358"/>
      <c r="K164" s="2358"/>
      <c r="L164" s="2358"/>
      <c r="M164" s="2358"/>
      <c r="N164" s="2358"/>
      <c r="O164" s="2358"/>
      <c r="P164" s="2358"/>
      <c r="Q164" s="2358"/>
      <c r="R164" s="2358"/>
      <c r="S164" s="2358"/>
      <c r="T164" s="741"/>
      <c r="U164" s="716" t="s">
        <v>510</v>
      </c>
      <c r="V164" s="717" t="s">
        <v>11</v>
      </c>
      <c r="W164" s="717" t="s">
        <v>511</v>
      </c>
      <c r="X164" s="717" t="s">
        <v>512</v>
      </c>
      <c r="Y164" s="717" t="s">
        <v>715</v>
      </c>
      <c r="Z164" s="717" t="s">
        <v>513</v>
      </c>
      <c r="AA164" s="719" t="s">
        <v>514</v>
      </c>
      <c r="AB164" s="718" t="s">
        <v>515</v>
      </c>
      <c r="AC164" s="720"/>
      <c r="AD164" s="721" t="s">
        <v>0</v>
      </c>
      <c r="AE164" s="722" t="s">
        <v>1</v>
      </c>
      <c r="AF164" s="722" t="s">
        <v>757</v>
      </c>
      <c r="AG164" s="722" t="s">
        <v>3</v>
      </c>
      <c r="AH164" s="723" t="s">
        <v>110</v>
      </c>
    </row>
    <row r="165" spans="1:34" x14ac:dyDescent="0.3">
      <c r="A165" s="154"/>
      <c r="B165" s="462"/>
      <c r="C165" s="462"/>
      <c r="D165" s="462"/>
      <c r="E165" s="462"/>
      <c r="F165" s="463"/>
      <c r="G165" s="462"/>
      <c r="H165" s="462"/>
      <c r="I165" s="465"/>
      <c r="J165" s="465"/>
      <c r="K165" s="465"/>
      <c r="L165" s="465"/>
      <c r="M165" s="462"/>
      <c r="N165" s="468"/>
      <c r="O165" s="469"/>
      <c r="P165" s="468"/>
      <c r="Q165" s="468"/>
      <c r="R165" s="470"/>
      <c r="S165" s="532"/>
      <c r="T165" s="149"/>
      <c r="U165" s="150"/>
      <c r="AA165" s="280"/>
      <c r="AB165" s="152"/>
      <c r="AD165" s="280"/>
      <c r="AH165" s="152"/>
    </row>
    <row r="166" spans="1:34" x14ac:dyDescent="0.3">
      <c r="A166" s="157" t="s">
        <v>716</v>
      </c>
      <c r="B166" s="157" t="s">
        <v>111</v>
      </c>
      <c r="C166" s="157" t="s">
        <v>717</v>
      </c>
      <c r="D166" s="157" t="s">
        <v>112</v>
      </c>
      <c r="E166" s="157" t="s">
        <v>520</v>
      </c>
      <c r="F166" s="158" t="s">
        <v>753</v>
      </c>
      <c r="G166" s="157">
        <v>120</v>
      </c>
      <c r="H166" s="157" t="s">
        <v>22</v>
      </c>
      <c r="I166" s="159">
        <v>120</v>
      </c>
      <c r="J166" s="725">
        <v>120</v>
      </c>
      <c r="K166" s="160"/>
      <c r="L166" s="162"/>
      <c r="M166" s="163">
        <v>2</v>
      </c>
      <c r="N166" s="473">
        <v>3429.22</v>
      </c>
      <c r="O166" s="165">
        <v>0.48</v>
      </c>
      <c r="P166" s="166">
        <f>N166*(1-O166)</f>
        <v>1783.1943999999999</v>
      </c>
      <c r="Q166" s="166">
        <f t="shared" ref="Q166:Q171" si="40">P166*M166*G166</f>
        <v>427966.65599999996</v>
      </c>
      <c r="R166" s="206" t="e">
        <f>(Q166+Q167+#REF!+#REF!)/E143*1000</f>
        <v>#REF!</v>
      </c>
      <c r="S166" s="178">
        <f t="shared" ref="S166:S171" si="41">Q166/$Q$190</f>
        <v>0.1598697201075257</v>
      </c>
      <c r="T166" s="168">
        <f>Q166</f>
        <v>427966.65599999996</v>
      </c>
      <c r="U166" s="150"/>
      <c r="V166" s="169">
        <f>T166</f>
        <v>427966.65599999996</v>
      </c>
      <c r="W166" s="169"/>
      <c r="X166" s="169"/>
      <c r="Y166" s="169"/>
      <c r="Z166" s="169"/>
      <c r="AA166" s="282">
        <f>T166</f>
        <v>427966.65599999996</v>
      </c>
      <c r="AB166" s="171"/>
      <c r="AD166" s="282">
        <f>T166</f>
        <v>427966.65599999996</v>
      </c>
      <c r="AH166" s="152"/>
    </row>
    <row r="167" spans="1:34" x14ac:dyDescent="0.3">
      <c r="A167" s="157" t="s">
        <v>716</v>
      </c>
      <c r="B167" s="157" t="s">
        <v>113</v>
      </c>
      <c r="C167" s="157" t="s">
        <v>717</v>
      </c>
      <c r="D167" s="157" t="s">
        <v>112</v>
      </c>
      <c r="E167" s="157" t="s">
        <v>518</v>
      </c>
      <c r="F167" s="158" t="s">
        <v>754</v>
      </c>
      <c r="G167" s="157">
        <v>80</v>
      </c>
      <c r="H167" s="157" t="s">
        <v>22</v>
      </c>
      <c r="I167" s="176">
        <v>80</v>
      </c>
      <c r="J167" s="160"/>
      <c r="K167" s="176">
        <v>80</v>
      </c>
      <c r="L167" s="180"/>
      <c r="M167" s="163">
        <v>2</v>
      </c>
      <c r="N167" s="166">
        <v>6980.9</v>
      </c>
      <c r="O167" s="173">
        <v>0.35</v>
      </c>
      <c r="P167" s="166">
        <f>N167*(1-O167)</f>
        <v>4537.585</v>
      </c>
      <c r="Q167" s="166">
        <f t="shared" si="40"/>
        <v>726013.6</v>
      </c>
      <c r="R167" s="206" t="e">
        <f>(Q167+Q168+#REF!+#REF!)/E144*1000</f>
        <v>#REF!</v>
      </c>
      <c r="S167" s="167">
        <f t="shared" si="41"/>
        <v>0.27120708914821889</v>
      </c>
      <c r="T167" s="168">
        <f t="shared" ref="T167:T181" si="42">Q167</f>
        <v>726013.6</v>
      </c>
      <c r="U167" s="150"/>
      <c r="V167" s="169">
        <f>T167</f>
        <v>726013.6</v>
      </c>
      <c r="AA167" s="282"/>
      <c r="AB167" s="171">
        <f>T167</f>
        <v>726013.6</v>
      </c>
      <c r="AD167" s="282">
        <f t="shared" ref="AD167:AD171" si="43">T167</f>
        <v>726013.6</v>
      </c>
      <c r="AH167" s="152"/>
    </row>
    <row r="168" spans="1:34" x14ac:dyDescent="0.3">
      <c r="A168" s="157" t="s">
        <v>716</v>
      </c>
      <c r="B168" s="157" t="s">
        <v>113</v>
      </c>
      <c r="C168" s="157" t="s">
        <v>720</v>
      </c>
      <c r="D168" s="157" t="s">
        <v>114</v>
      </c>
      <c r="E168" s="157" t="s">
        <v>721</v>
      </c>
      <c r="F168" s="158" t="s">
        <v>83</v>
      </c>
      <c r="G168" s="157">
        <v>1</v>
      </c>
      <c r="H168" s="157" t="s">
        <v>22</v>
      </c>
      <c r="I168" s="188"/>
      <c r="J168" s="725">
        <v>25</v>
      </c>
      <c r="L168" s="286"/>
      <c r="M168" s="163">
        <v>1</v>
      </c>
      <c r="N168" s="166">
        <v>80709</v>
      </c>
      <c r="O168" s="173">
        <v>0.43</v>
      </c>
      <c r="P168" s="166">
        <f t="shared" ref="P168:P171" si="44">N168*(1-O168)</f>
        <v>46004.130000000005</v>
      </c>
      <c r="Q168" s="166">
        <f t="shared" si="40"/>
        <v>46004.130000000005</v>
      </c>
      <c r="R168" s="206"/>
      <c r="S168" s="167">
        <f t="shared" si="41"/>
        <v>1.718514114073931E-2</v>
      </c>
      <c r="T168" s="168">
        <f t="shared" si="42"/>
        <v>46004.130000000005</v>
      </c>
      <c r="U168" s="150"/>
      <c r="V168" s="169"/>
      <c r="W168" s="169">
        <f>T168</f>
        <v>46004.130000000005</v>
      </c>
      <c r="AA168" s="282"/>
      <c r="AB168" s="171">
        <f>T168</f>
        <v>46004.130000000005</v>
      </c>
      <c r="AD168" s="282">
        <f t="shared" si="43"/>
        <v>46004.130000000005</v>
      </c>
      <c r="AH168" s="152"/>
    </row>
    <row r="169" spans="1:34" x14ac:dyDescent="0.3">
      <c r="A169" s="157" t="s">
        <v>716</v>
      </c>
      <c r="B169" s="157" t="s">
        <v>111</v>
      </c>
      <c r="C169" s="157" t="s">
        <v>720</v>
      </c>
      <c r="D169" s="157" t="s">
        <v>114</v>
      </c>
      <c r="E169" s="157" t="s">
        <v>722</v>
      </c>
      <c r="F169" s="158" t="s">
        <v>115</v>
      </c>
      <c r="G169" s="157">
        <v>1</v>
      </c>
      <c r="H169" s="157" t="s">
        <v>22</v>
      </c>
      <c r="I169" s="188"/>
      <c r="J169" s="176">
        <v>49</v>
      </c>
      <c r="L169" s="286"/>
      <c r="M169" s="163">
        <v>1</v>
      </c>
      <c r="N169" s="166">
        <v>67237.13</v>
      </c>
      <c r="O169" s="173">
        <v>0.43</v>
      </c>
      <c r="P169" s="166">
        <f t="shared" si="44"/>
        <v>38325.164100000009</v>
      </c>
      <c r="Q169" s="166">
        <f t="shared" si="40"/>
        <v>38325.164100000009</v>
      </c>
      <c r="R169" s="206"/>
      <c r="S169" s="167">
        <f t="shared" si="41"/>
        <v>1.4316613623613691E-2</v>
      </c>
      <c r="T169" s="168">
        <f t="shared" si="42"/>
        <v>38325.164100000009</v>
      </c>
      <c r="U169" s="150"/>
      <c r="V169" s="169"/>
      <c r="W169" s="169">
        <f>T169</f>
        <v>38325.164100000009</v>
      </c>
      <c r="AA169" s="282"/>
      <c r="AB169" s="171">
        <f t="shared" ref="AB169:AB171" si="45">T169</f>
        <v>38325.164100000009</v>
      </c>
      <c r="AD169" s="282">
        <f t="shared" si="43"/>
        <v>38325.164100000009</v>
      </c>
      <c r="AH169" s="152"/>
    </row>
    <row r="170" spans="1:34" x14ac:dyDescent="0.3">
      <c r="A170" s="157" t="s">
        <v>716</v>
      </c>
      <c r="B170" s="157" t="s">
        <v>111</v>
      </c>
      <c r="C170" s="157" t="s">
        <v>720</v>
      </c>
      <c r="D170" s="157" t="s">
        <v>114</v>
      </c>
      <c r="E170" s="157" t="s">
        <v>744</v>
      </c>
      <c r="F170" s="158" t="s">
        <v>80</v>
      </c>
      <c r="G170" s="157">
        <v>1</v>
      </c>
      <c r="H170" s="157" t="s">
        <v>22</v>
      </c>
      <c r="I170" s="176">
        <v>24</v>
      </c>
      <c r="L170" s="286"/>
      <c r="M170" s="163">
        <v>1</v>
      </c>
      <c r="N170" s="473">
        <v>80709.05</v>
      </c>
      <c r="O170" s="173">
        <v>0.43</v>
      </c>
      <c r="P170" s="166">
        <f t="shared" si="44"/>
        <v>46004.158500000005</v>
      </c>
      <c r="Q170" s="166">
        <f t="shared" si="40"/>
        <v>46004.158500000005</v>
      </c>
      <c r="R170" s="206"/>
      <c r="S170" s="167">
        <f t="shared" si="41"/>
        <v>1.7185151787099159E-2</v>
      </c>
      <c r="T170" s="168">
        <f t="shared" si="42"/>
        <v>46004.158500000005</v>
      </c>
      <c r="U170" s="565"/>
      <c r="W170" s="169">
        <f>T170</f>
        <v>46004.158500000005</v>
      </c>
      <c r="AA170" s="282"/>
      <c r="AB170" s="171">
        <f t="shared" si="45"/>
        <v>46004.158500000005</v>
      </c>
      <c r="AD170" s="282">
        <f t="shared" si="43"/>
        <v>46004.158500000005</v>
      </c>
      <c r="AH170" s="152"/>
    </row>
    <row r="171" spans="1:34" x14ac:dyDescent="0.3">
      <c r="A171" s="157" t="s">
        <v>716</v>
      </c>
      <c r="B171" s="157" t="s">
        <v>111</v>
      </c>
      <c r="C171" s="157" t="s">
        <v>720</v>
      </c>
      <c r="D171" s="157" t="s">
        <v>114</v>
      </c>
      <c r="E171" s="157" t="s">
        <v>745</v>
      </c>
      <c r="F171" s="158" t="s">
        <v>134</v>
      </c>
      <c r="G171" s="157">
        <v>1</v>
      </c>
      <c r="H171" s="157" t="s">
        <v>22</v>
      </c>
      <c r="I171" s="188"/>
      <c r="K171" s="176">
        <v>80</v>
      </c>
      <c r="L171" s="286"/>
      <c r="M171" s="163">
        <v>1</v>
      </c>
      <c r="N171" s="473">
        <v>180774.55</v>
      </c>
      <c r="O171" s="165">
        <v>0.43</v>
      </c>
      <c r="P171" s="476">
        <f t="shared" si="44"/>
        <v>103041.49350000001</v>
      </c>
      <c r="Q171" s="473">
        <f t="shared" si="40"/>
        <v>103041.49350000001</v>
      </c>
      <c r="R171" s="9"/>
      <c r="S171" s="178">
        <f t="shared" si="41"/>
        <v>3.8491818216105214E-2</v>
      </c>
      <c r="T171" s="168">
        <f t="shared" si="42"/>
        <v>103041.49350000001</v>
      </c>
      <c r="U171" s="565"/>
      <c r="W171" s="169">
        <f>T171</f>
        <v>103041.49350000001</v>
      </c>
      <c r="AA171" s="282"/>
      <c r="AB171" s="171">
        <f t="shared" si="45"/>
        <v>103041.49350000001</v>
      </c>
      <c r="AD171" s="282">
        <f t="shared" si="43"/>
        <v>103041.49350000001</v>
      </c>
      <c r="AH171" s="152"/>
    </row>
    <row r="172" spans="1:34" x14ac:dyDescent="0.3">
      <c r="A172" s="157"/>
      <c r="B172" s="157"/>
      <c r="C172" s="157"/>
      <c r="D172" s="157"/>
      <c r="E172" s="157"/>
      <c r="F172" s="158"/>
      <c r="G172" s="157"/>
      <c r="H172" s="157"/>
      <c r="I172" s="188"/>
      <c r="L172" s="286"/>
      <c r="M172" s="163"/>
      <c r="N172" s="473"/>
      <c r="O172" s="165"/>
      <c r="P172" s="476"/>
      <c r="Q172" s="473"/>
      <c r="R172" s="9"/>
      <c r="S172" s="504"/>
      <c r="T172" s="478"/>
      <c r="U172" s="565"/>
      <c r="AA172" s="282"/>
      <c r="AB172" s="171"/>
      <c r="AD172" s="280"/>
      <c r="AH172" s="152"/>
    </row>
    <row r="173" spans="1:34" x14ac:dyDescent="0.3">
      <c r="A173" s="157" t="s">
        <v>716</v>
      </c>
      <c r="B173" s="157" t="s">
        <v>130</v>
      </c>
      <c r="C173" s="157" t="s">
        <v>746</v>
      </c>
      <c r="D173" s="157" t="s">
        <v>131</v>
      </c>
      <c r="E173" s="157" t="s">
        <v>747</v>
      </c>
      <c r="F173" s="158" t="s">
        <v>719</v>
      </c>
      <c r="G173" s="157">
        <v>80</v>
      </c>
      <c r="H173" s="157" t="s">
        <v>24</v>
      </c>
      <c r="I173" s="159">
        <v>80</v>
      </c>
      <c r="J173" s="161"/>
      <c r="K173" s="161"/>
      <c r="L173" s="2209"/>
      <c r="M173" s="163">
        <v>1</v>
      </c>
      <c r="N173" s="473">
        <v>10299</v>
      </c>
      <c r="O173" s="165">
        <v>0.83</v>
      </c>
      <c r="P173" s="476">
        <f t="shared" ref="P173:P174" si="46">N173*(1-O173)</f>
        <v>1750.8300000000004</v>
      </c>
      <c r="Q173" s="473">
        <f t="shared" ref="Q173:Q174" si="47">P173*M173*G173</f>
        <v>140066.40000000002</v>
      </c>
      <c r="R173" s="9"/>
      <c r="S173" s="178">
        <f>Q173/$Q$190</f>
        <v>5.2322712179868384E-2</v>
      </c>
      <c r="T173" s="168">
        <f t="shared" si="42"/>
        <v>140066.40000000002</v>
      </c>
      <c r="U173" s="565"/>
      <c r="W173" s="169">
        <f>T173</f>
        <v>140066.40000000002</v>
      </c>
      <c r="AA173" s="282">
        <f>T173</f>
        <v>140066.40000000002</v>
      </c>
      <c r="AB173" s="171"/>
      <c r="AD173" s="280"/>
      <c r="AE173" s="169"/>
      <c r="AF173" s="169">
        <f>T173</f>
        <v>140066.40000000002</v>
      </c>
      <c r="AH173" s="152"/>
    </row>
    <row r="174" spans="1:34" x14ac:dyDescent="0.3">
      <c r="A174" s="157" t="s">
        <v>716</v>
      </c>
      <c r="B174" s="157" t="s">
        <v>132</v>
      </c>
      <c r="C174" s="157" t="s">
        <v>730</v>
      </c>
      <c r="D174" s="157" t="s">
        <v>120</v>
      </c>
      <c r="E174" s="157" t="s">
        <v>121</v>
      </c>
      <c r="F174" s="158" t="s">
        <v>590</v>
      </c>
      <c r="G174" s="157">
        <v>2</v>
      </c>
      <c r="H174" s="157" t="s">
        <v>24</v>
      </c>
      <c r="I174" s="2445">
        <v>2</v>
      </c>
      <c r="J174" s="726"/>
      <c r="K174" s="726"/>
      <c r="L174" s="727"/>
      <c r="M174" s="163">
        <v>1</v>
      </c>
      <c r="N174" s="473">
        <v>250000</v>
      </c>
      <c r="O174" s="165">
        <v>0.48</v>
      </c>
      <c r="P174" s="476">
        <f t="shared" si="46"/>
        <v>130000</v>
      </c>
      <c r="Q174" s="473">
        <f t="shared" si="47"/>
        <v>260000</v>
      </c>
      <c r="R174" s="9"/>
      <c r="S174" s="178">
        <f>Q174/$Q$190</f>
        <v>9.7124686339948613E-2</v>
      </c>
      <c r="T174" s="168">
        <f t="shared" si="42"/>
        <v>260000</v>
      </c>
      <c r="U174" s="565"/>
      <c r="W174" s="169">
        <f>T174</f>
        <v>260000</v>
      </c>
      <c r="AA174" s="282">
        <f>T174</f>
        <v>260000</v>
      </c>
      <c r="AB174" s="171"/>
      <c r="AD174" s="280"/>
      <c r="AE174" s="169"/>
      <c r="AF174" s="169">
        <f>T174</f>
        <v>260000</v>
      </c>
      <c r="AH174" s="152"/>
    </row>
    <row r="175" spans="1:34" x14ac:dyDescent="0.3">
      <c r="A175" s="157"/>
      <c r="B175" s="157"/>
      <c r="C175" s="157"/>
      <c r="D175" s="157"/>
      <c r="E175" s="157"/>
      <c r="F175" s="158"/>
      <c r="G175" s="157"/>
      <c r="H175" s="157"/>
      <c r="I175" s="188"/>
      <c r="L175" s="286"/>
      <c r="M175" s="163"/>
      <c r="N175" s="473"/>
      <c r="O175" s="165"/>
      <c r="P175" s="476"/>
      <c r="Q175" s="473"/>
      <c r="R175" s="9"/>
      <c r="S175" s="504"/>
      <c r="T175" s="478"/>
      <c r="U175" s="565"/>
      <c r="AA175" s="282"/>
      <c r="AB175" s="171"/>
      <c r="AD175" s="280"/>
      <c r="AH175" s="152"/>
    </row>
    <row r="176" spans="1:34" x14ac:dyDescent="0.3">
      <c r="A176" s="157" t="s">
        <v>716</v>
      </c>
      <c r="B176" s="157" t="s">
        <v>20</v>
      </c>
      <c r="C176" s="157" t="s">
        <v>725</v>
      </c>
      <c r="D176" s="157" t="s">
        <v>118</v>
      </c>
      <c r="E176" s="157" t="s">
        <v>726</v>
      </c>
      <c r="F176" s="158" t="s">
        <v>755</v>
      </c>
      <c r="G176" s="157">
        <v>1</v>
      </c>
      <c r="H176" s="157" t="s">
        <v>22</v>
      </c>
      <c r="I176" s="474"/>
      <c r="J176" s="725">
        <v>100</v>
      </c>
      <c r="L176" s="163"/>
      <c r="M176" s="163">
        <v>1</v>
      </c>
      <c r="N176" s="473">
        <v>350022</v>
      </c>
      <c r="O176" s="165">
        <v>0.59599999999999997</v>
      </c>
      <c r="P176" s="166">
        <f>N176*(1-O176)</f>
        <v>141408.88800000001</v>
      </c>
      <c r="Q176" s="166">
        <f t="shared" ref="Q176:Q177" si="48">P176*M176*G176</f>
        <v>141408.88800000001</v>
      </c>
      <c r="R176" s="9"/>
      <c r="S176" s="178">
        <f>Q176/$Q$190</f>
        <v>5.2824207279542013E-2</v>
      </c>
      <c r="T176" s="168">
        <f t="shared" si="42"/>
        <v>141408.88800000001</v>
      </c>
      <c r="U176" s="565"/>
      <c r="V176" s="169">
        <f>T176</f>
        <v>141408.88800000001</v>
      </c>
      <c r="AA176" s="282">
        <f>T176</f>
        <v>141408.88800000001</v>
      </c>
      <c r="AB176" s="171"/>
      <c r="AD176" s="280"/>
      <c r="AE176" s="169">
        <f>T176</f>
        <v>141408.88800000001</v>
      </c>
      <c r="AF176" s="169"/>
      <c r="AH176" s="152"/>
    </row>
    <row r="177" spans="1:34" x14ac:dyDescent="0.3">
      <c r="A177" s="157" t="s">
        <v>716</v>
      </c>
      <c r="B177" s="157" t="s">
        <v>20</v>
      </c>
      <c r="C177" s="157" t="s">
        <v>725</v>
      </c>
      <c r="D177" s="157" t="s">
        <v>118</v>
      </c>
      <c r="E177" s="157" t="s">
        <v>728</v>
      </c>
      <c r="F177" s="158" t="s">
        <v>729</v>
      </c>
      <c r="G177" s="157">
        <v>1</v>
      </c>
      <c r="H177" s="157" t="s">
        <v>22</v>
      </c>
      <c r="I177" s="474"/>
      <c r="J177" s="1"/>
      <c r="K177" s="176">
        <v>50</v>
      </c>
      <c r="L177" s="163"/>
      <c r="M177" s="163">
        <v>1</v>
      </c>
      <c r="N177" s="473">
        <v>350658</v>
      </c>
      <c r="O177" s="165">
        <v>0.59599999999999997</v>
      </c>
      <c r="P177" s="166">
        <f>N177*(1-O177)</f>
        <v>141665.83199999999</v>
      </c>
      <c r="Q177" s="166">
        <f t="shared" si="48"/>
        <v>141665.83199999999</v>
      </c>
      <c r="R177" s="9"/>
      <c r="S177" s="167">
        <f>Q177/$Q$190</f>
        <v>5.2920190377260978E-2</v>
      </c>
      <c r="T177" s="168">
        <f t="shared" si="42"/>
        <v>141665.83199999999</v>
      </c>
      <c r="U177" s="565"/>
      <c r="V177" s="169">
        <f>T177</f>
        <v>141665.83199999999</v>
      </c>
      <c r="AA177" s="282"/>
      <c r="AB177" s="171">
        <f>T177</f>
        <v>141665.83199999999</v>
      </c>
      <c r="AD177" s="280"/>
      <c r="AE177" s="169">
        <f>T177</f>
        <v>141665.83199999999</v>
      </c>
      <c r="AF177" s="169"/>
      <c r="AH177" s="152"/>
    </row>
    <row r="178" spans="1:34" x14ac:dyDescent="0.3">
      <c r="A178" s="157"/>
      <c r="B178" s="157"/>
      <c r="C178" s="157"/>
      <c r="D178" s="157"/>
      <c r="E178" s="157"/>
      <c r="F178" s="158"/>
      <c r="G178" s="157"/>
      <c r="H178" s="157"/>
      <c r="I178" s="474"/>
      <c r="J178" s="1"/>
      <c r="K178" s="1"/>
      <c r="L178" s="163"/>
      <c r="M178" s="163"/>
      <c r="N178" s="473"/>
      <c r="O178" s="165"/>
      <c r="P178" s="476"/>
      <c r="Q178" s="473"/>
      <c r="R178" s="9"/>
      <c r="S178" s="504"/>
      <c r="T178" s="478"/>
      <c r="U178" s="565"/>
      <c r="AA178" s="282"/>
      <c r="AB178" s="171"/>
      <c r="AD178" s="280"/>
      <c r="AH178" s="152"/>
    </row>
    <row r="179" spans="1:34" x14ac:dyDescent="0.3">
      <c r="A179" s="157" t="s">
        <v>716</v>
      </c>
      <c r="B179" s="157" t="s">
        <v>122</v>
      </c>
      <c r="C179" s="157" t="s">
        <v>733</v>
      </c>
      <c r="D179" s="157" t="s">
        <v>125</v>
      </c>
      <c r="E179" s="157" t="s">
        <v>734</v>
      </c>
      <c r="F179" s="158" t="s">
        <v>126</v>
      </c>
      <c r="G179" s="157">
        <v>1</v>
      </c>
      <c r="H179" s="157" t="s">
        <v>22</v>
      </c>
      <c r="I179" s="474"/>
      <c r="J179" s="725">
        <v>28</v>
      </c>
      <c r="K179" s="1"/>
      <c r="L179" s="163"/>
      <c r="M179" s="163">
        <v>1</v>
      </c>
      <c r="N179" s="473">
        <v>38500</v>
      </c>
      <c r="O179" s="165">
        <v>0.65</v>
      </c>
      <c r="P179" s="166">
        <f>N179*(1-O179)</f>
        <v>13475</v>
      </c>
      <c r="Q179" s="166">
        <f t="shared" ref="Q179" si="49">P179*M179*G179</f>
        <v>13475</v>
      </c>
      <c r="R179" s="9"/>
      <c r="S179" s="167">
        <f>Q179/$Q$190</f>
        <v>5.0336736478107979E-3</v>
      </c>
      <c r="T179" s="168">
        <f t="shared" si="42"/>
        <v>13475</v>
      </c>
      <c r="U179" s="565"/>
      <c r="W179" s="169">
        <f>T179</f>
        <v>13475</v>
      </c>
      <c r="AA179" s="282"/>
      <c r="AB179" s="171">
        <f>T179</f>
        <v>13475</v>
      </c>
      <c r="AD179" s="280"/>
      <c r="AG179" s="169">
        <f>T179</f>
        <v>13475</v>
      </c>
      <c r="AH179" s="171"/>
    </row>
    <row r="180" spans="1:34" x14ac:dyDescent="0.3">
      <c r="A180" s="157"/>
      <c r="B180" s="157"/>
      <c r="C180" s="157"/>
      <c r="D180" s="157"/>
      <c r="E180" s="157"/>
      <c r="F180" s="158"/>
      <c r="G180" s="157"/>
      <c r="H180" s="157"/>
      <c r="I180" s="474"/>
      <c r="J180" s="1"/>
      <c r="K180" s="1"/>
      <c r="L180" s="163"/>
      <c r="M180" s="163"/>
      <c r="N180" s="473"/>
      <c r="O180" s="165"/>
      <c r="P180" s="476"/>
      <c r="Q180" s="473"/>
      <c r="R180" s="9"/>
      <c r="S180" s="504"/>
      <c r="T180" s="478"/>
      <c r="U180" s="565"/>
      <c r="AA180" s="282"/>
      <c r="AB180" s="171"/>
      <c r="AD180" s="280"/>
      <c r="AH180" s="152"/>
    </row>
    <row r="181" spans="1:34" x14ac:dyDescent="0.3">
      <c r="A181" s="157" t="s">
        <v>716</v>
      </c>
      <c r="B181" s="157" t="s">
        <v>110</v>
      </c>
      <c r="C181" s="157" t="s">
        <v>737</v>
      </c>
      <c r="D181" s="157" t="s">
        <v>129</v>
      </c>
      <c r="E181" s="157" t="s">
        <v>738</v>
      </c>
      <c r="F181" s="158" t="s">
        <v>756</v>
      </c>
      <c r="G181" s="157">
        <v>100</v>
      </c>
      <c r="H181" s="157" t="s">
        <v>22</v>
      </c>
      <c r="I181" s="474"/>
      <c r="J181" s="725">
        <v>100</v>
      </c>
      <c r="K181" s="1"/>
      <c r="L181" s="163"/>
      <c r="M181" s="163">
        <v>1</v>
      </c>
      <c r="N181" s="473">
        <v>2520</v>
      </c>
      <c r="O181" s="165">
        <v>0.75</v>
      </c>
      <c r="P181" s="166">
        <f>N181*(1-O181)</f>
        <v>630</v>
      </c>
      <c r="Q181" s="166">
        <f t="shared" ref="Q181" si="50">P181*M181*G181</f>
        <v>63000</v>
      </c>
      <c r="R181" s="9"/>
      <c r="S181" s="167">
        <f>Q181/$Q$190</f>
        <v>2.3534058613141395E-2</v>
      </c>
      <c r="T181" s="168">
        <f t="shared" si="42"/>
        <v>63000</v>
      </c>
      <c r="U181" s="565"/>
      <c r="V181" s="169">
        <f>T181</f>
        <v>63000</v>
      </c>
      <c r="AA181" s="282"/>
      <c r="AB181" s="171">
        <f>T181</f>
        <v>63000</v>
      </c>
      <c r="AD181" s="280"/>
      <c r="AH181" s="171">
        <f>T181</f>
        <v>63000</v>
      </c>
    </row>
    <row r="182" spans="1:34" x14ac:dyDescent="0.3">
      <c r="A182" s="157"/>
      <c r="B182" s="157"/>
      <c r="C182" s="157"/>
      <c r="D182" s="157"/>
      <c r="E182" s="157"/>
      <c r="F182" s="158"/>
      <c r="G182" s="157"/>
      <c r="H182" s="157"/>
      <c r="I182" s="474"/>
      <c r="J182" s="1"/>
      <c r="K182" s="1"/>
      <c r="L182" s="163"/>
      <c r="M182" s="163"/>
      <c r="N182" s="473"/>
      <c r="O182" s="165"/>
      <c r="P182" s="476"/>
      <c r="Q182" s="473"/>
      <c r="R182" s="9"/>
      <c r="S182" s="504"/>
      <c r="T182" s="478"/>
      <c r="U182" s="565"/>
      <c r="AA182" s="282"/>
      <c r="AB182" s="171"/>
      <c r="AD182" s="280"/>
      <c r="AH182" s="152"/>
    </row>
    <row r="183" spans="1:34" x14ac:dyDescent="0.3">
      <c r="A183" s="157"/>
      <c r="B183" s="157"/>
      <c r="C183" s="157"/>
      <c r="D183" s="157"/>
      <c r="E183" s="157"/>
      <c r="F183" s="158"/>
      <c r="G183" s="157"/>
      <c r="H183" s="157"/>
      <c r="I183" s="474"/>
      <c r="J183" s="1"/>
      <c r="K183" s="1"/>
      <c r="L183" s="163"/>
      <c r="M183" s="163"/>
      <c r="N183" s="473"/>
      <c r="O183" s="165"/>
      <c r="P183" s="476"/>
      <c r="Q183" s="473"/>
      <c r="R183" s="9"/>
      <c r="S183" s="504"/>
      <c r="T183" s="478"/>
      <c r="U183" s="565"/>
      <c r="AA183" s="282"/>
      <c r="AB183" s="171"/>
      <c r="AD183" s="280"/>
      <c r="AH183" s="152"/>
    </row>
    <row r="184" spans="1:34" x14ac:dyDescent="0.3">
      <c r="A184" s="157"/>
      <c r="B184" s="157"/>
      <c r="C184" s="157"/>
      <c r="D184" s="157"/>
      <c r="E184" s="157"/>
      <c r="F184" s="158"/>
      <c r="G184" s="157"/>
      <c r="H184" s="157"/>
      <c r="I184" s="474"/>
      <c r="J184" s="1"/>
      <c r="K184" s="1"/>
      <c r="L184" s="163"/>
      <c r="M184" s="163"/>
      <c r="N184" s="473"/>
      <c r="O184" s="165"/>
      <c r="P184" s="476"/>
      <c r="Q184" s="473"/>
      <c r="R184" s="9"/>
      <c r="S184" s="504"/>
      <c r="T184" s="478"/>
      <c r="U184" s="565"/>
      <c r="AA184" s="282"/>
      <c r="AB184" s="171"/>
      <c r="AD184" s="280"/>
      <c r="AH184" s="152"/>
    </row>
    <row r="185" spans="1:34" x14ac:dyDescent="0.3">
      <c r="A185" s="108"/>
      <c r="B185" s="108"/>
      <c r="C185" s="108"/>
      <c r="D185" s="108"/>
      <c r="E185" s="108"/>
      <c r="F185" s="479"/>
      <c r="G185" s="108"/>
      <c r="H185" s="108"/>
      <c r="I185" s="289"/>
      <c r="J185" s="252"/>
      <c r="K185" s="252"/>
      <c r="L185" s="730"/>
      <c r="M185" s="730"/>
      <c r="N185" s="731"/>
      <c r="O185" s="732"/>
      <c r="P185" s="733"/>
      <c r="Q185" s="731"/>
      <c r="R185" s="734"/>
      <c r="S185" s="742"/>
      <c r="T185" s="168"/>
      <c r="U185" s="565"/>
      <c r="W185" s="169"/>
      <c r="AA185" s="282"/>
      <c r="AB185" s="171"/>
      <c r="AD185" s="280"/>
      <c r="AH185" s="152"/>
    </row>
    <row r="186" spans="1:34" x14ac:dyDescent="0.3">
      <c r="A186" s="108" t="s">
        <v>716</v>
      </c>
      <c r="B186" s="108" t="s">
        <v>739</v>
      </c>
      <c r="C186" s="108" t="s">
        <v>740</v>
      </c>
      <c r="D186" s="108"/>
      <c r="E186" s="108"/>
      <c r="F186" s="479"/>
      <c r="G186" s="108"/>
      <c r="H186" s="108"/>
      <c r="I186" s="289"/>
      <c r="J186" s="252"/>
      <c r="K186" s="252"/>
      <c r="L186" s="730"/>
      <c r="M186" s="730"/>
      <c r="N186" s="731"/>
      <c r="O186" s="732"/>
      <c r="P186" s="733"/>
      <c r="Q186" s="731">
        <v>230000</v>
      </c>
      <c r="R186" s="734"/>
      <c r="S186" s="742">
        <f>Q186/$Q$190</f>
        <v>8.5917991762262239E-2</v>
      </c>
      <c r="T186" s="168">
        <f t="shared" ref="T186:T188" si="51">Q186</f>
        <v>230000</v>
      </c>
      <c r="U186" s="565"/>
      <c r="Z186" s="169">
        <f>T186</f>
        <v>230000</v>
      </c>
      <c r="AA186" s="282"/>
      <c r="AB186" s="171"/>
      <c r="AD186" s="280"/>
      <c r="AH186" s="152"/>
    </row>
    <row r="187" spans="1:34" x14ac:dyDescent="0.3">
      <c r="A187" s="108" t="s">
        <v>716</v>
      </c>
      <c r="B187" s="108" t="s">
        <v>528</v>
      </c>
      <c r="C187" s="108" t="s">
        <v>741</v>
      </c>
      <c r="D187" s="108"/>
      <c r="E187" s="108"/>
      <c r="F187" s="479"/>
      <c r="G187" s="108"/>
      <c r="H187" s="108"/>
      <c r="I187" s="289"/>
      <c r="J187" s="252"/>
      <c r="K187" s="252"/>
      <c r="L187" s="730"/>
      <c r="M187" s="730"/>
      <c r="N187" s="257"/>
      <c r="O187" s="109"/>
      <c r="P187" s="290"/>
      <c r="Q187" s="257">
        <v>170000</v>
      </c>
      <c r="R187" s="290"/>
      <c r="S187" s="742">
        <f>Q187/$Q$190</f>
        <v>6.3504602606889476E-2</v>
      </c>
      <c r="T187" s="168">
        <f t="shared" si="51"/>
        <v>170000</v>
      </c>
      <c r="U187" s="150"/>
      <c r="X187" s="169">
        <f>T187</f>
        <v>170000</v>
      </c>
      <c r="Y187" s="169"/>
      <c r="AA187" s="280"/>
      <c r="AB187" s="171"/>
      <c r="AD187" s="280"/>
      <c r="AH187" s="152"/>
    </row>
    <row r="188" spans="1:34" x14ac:dyDescent="0.3">
      <c r="A188" s="108" t="s">
        <v>716</v>
      </c>
      <c r="B188" s="108" t="s">
        <v>529</v>
      </c>
      <c r="C188" s="108"/>
      <c r="D188" s="108"/>
      <c r="E188" s="108"/>
      <c r="F188" s="479"/>
      <c r="G188" s="108"/>
      <c r="H188" s="108"/>
      <c r="I188" s="251"/>
      <c r="J188" s="254"/>
      <c r="K188" s="254"/>
      <c r="L188" s="736"/>
      <c r="M188" s="730"/>
      <c r="N188" s="257"/>
      <c r="O188" s="109"/>
      <c r="P188" s="290"/>
      <c r="Q188" s="257">
        <v>130000</v>
      </c>
      <c r="R188" s="480"/>
      <c r="S188" s="291">
        <f>Q188/Q190</f>
        <v>4.8562343169974306E-2</v>
      </c>
      <c r="T188" s="168">
        <f t="shared" si="51"/>
        <v>130000</v>
      </c>
      <c r="U188" s="150"/>
      <c r="Z188" s="169">
        <f>T188</f>
        <v>130000</v>
      </c>
      <c r="AA188" s="280"/>
      <c r="AB188" s="152"/>
      <c r="AD188" s="280"/>
      <c r="AH188" s="152"/>
    </row>
    <row r="189" spans="1:34" x14ac:dyDescent="0.3">
      <c r="I189" s="115">
        <f>I190/$M$190</f>
        <v>0.32622601279317698</v>
      </c>
      <c r="J189" s="115">
        <f t="shared" ref="J189:K189" si="52">J190/$M$190</f>
        <v>0.44989339019189767</v>
      </c>
      <c r="K189" s="115">
        <f t="shared" si="52"/>
        <v>0.22388059701492538</v>
      </c>
      <c r="T189" s="325"/>
      <c r="U189" s="578"/>
      <c r="V189" s="245"/>
      <c r="W189" s="245"/>
      <c r="X189" s="245"/>
      <c r="Y189" s="245"/>
      <c r="Z189" s="245"/>
      <c r="AA189" s="566"/>
      <c r="AB189" s="567"/>
      <c r="AC189" s="245"/>
      <c r="AD189" s="566"/>
      <c r="AE189" s="245"/>
      <c r="AF189" s="245"/>
      <c r="AG189" s="245"/>
      <c r="AH189" s="567"/>
    </row>
    <row r="190" spans="1:34" x14ac:dyDescent="0.3">
      <c r="A190" s="326" t="s">
        <v>531</v>
      </c>
      <c r="B190" s="327"/>
      <c r="C190" s="327"/>
      <c r="D190" s="327"/>
      <c r="E190" s="327"/>
      <c r="F190" s="328"/>
      <c r="G190" s="327"/>
      <c r="H190" s="327"/>
      <c r="I190" s="327">
        <f>I174+I173+I170+I167+I166</f>
        <v>306</v>
      </c>
      <c r="J190" s="327">
        <f>J176+J169+J168+J166+J179+J181</f>
        <v>422</v>
      </c>
      <c r="K190" s="327">
        <f>+K177+K14+K171+K167</f>
        <v>210</v>
      </c>
      <c r="L190" s="327"/>
      <c r="M190" s="327">
        <f>SUM(I190:L190)</f>
        <v>938</v>
      </c>
      <c r="N190" s="329"/>
      <c r="O190" s="330"/>
      <c r="P190" s="329"/>
      <c r="Q190" s="331">
        <f>SUM(Q166:Q189)</f>
        <v>2676971.3220999995</v>
      </c>
      <c r="R190" s="331"/>
      <c r="S190" s="332">
        <f>SUM(S166:S188)</f>
        <v>1.0000000000000002</v>
      </c>
      <c r="T190" s="333">
        <f>SUM(T166:T189)</f>
        <v>2676971.3220999995</v>
      </c>
      <c r="U190" s="589">
        <f t="shared" ref="U190:AB190" si="53">SUM(U166:U188)</f>
        <v>0</v>
      </c>
      <c r="V190" s="589">
        <f t="shared" si="53"/>
        <v>1500054.976</v>
      </c>
      <c r="W190" s="589">
        <f t="shared" si="53"/>
        <v>646916.34610000008</v>
      </c>
      <c r="X190" s="589">
        <f t="shared" si="53"/>
        <v>170000</v>
      </c>
      <c r="Y190" s="589"/>
      <c r="Z190" s="589">
        <f t="shared" si="53"/>
        <v>360000</v>
      </c>
      <c r="AA190" s="648">
        <f t="shared" si="53"/>
        <v>969441.94400000002</v>
      </c>
      <c r="AB190" s="647">
        <f t="shared" si="53"/>
        <v>1177529.3781000001</v>
      </c>
      <c r="AC190" s="748"/>
      <c r="AD190" s="749">
        <f>SUM(AD166:AD189)</f>
        <v>1387355.2020999999</v>
      </c>
      <c r="AE190" s="748">
        <f>SUM(AE166:AE189)</f>
        <v>283074.71999999997</v>
      </c>
      <c r="AF190" s="748">
        <f>SUM(AF165:AF189)</f>
        <v>400066.4</v>
      </c>
      <c r="AG190" s="748">
        <f>SUM(AG165:AG189)</f>
        <v>13475</v>
      </c>
      <c r="AH190" s="750">
        <f>SUM(AH165:AH189)</f>
        <v>63000</v>
      </c>
    </row>
    <row r="191" spans="1:34" x14ac:dyDescent="0.3">
      <c r="A191" s="342" t="s">
        <v>532</v>
      </c>
      <c r="B191" s="343"/>
      <c r="C191" s="343"/>
      <c r="D191" s="343"/>
      <c r="E191" s="343"/>
      <c r="F191" s="344"/>
      <c r="G191" s="343"/>
      <c r="H191" s="343"/>
      <c r="I191" s="343">
        <f>I174+I173+I170+I167+I166</f>
        <v>306</v>
      </c>
      <c r="J191" s="343">
        <f>J176+I174+I173+J169+J168+J166+J179+J181</f>
        <v>504</v>
      </c>
      <c r="K191" s="343">
        <f>+K177+I174+I173+K171+K167</f>
        <v>292</v>
      </c>
      <c r="L191" s="343"/>
      <c r="M191" s="343">
        <f>SUM(I191:L191)</f>
        <v>1102</v>
      </c>
      <c r="N191" s="345"/>
      <c r="O191" s="346"/>
      <c r="P191" s="345"/>
      <c r="Q191" s="345"/>
      <c r="R191" s="345"/>
      <c r="S191" s="347"/>
      <c r="T191" s="348"/>
      <c r="U191" s="751">
        <f>U190/T190</f>
        <v>0</v>
      </c>
      <c r="V191" s="350">
        <f>V190/T190</f>
        <v>0.56035526552568904</v>
      </c>
      <c r="W191" s="350">
        <f>W190/T190</f>
        <v>0.24165979693518519</v>
      </c>
      <c r="X191" s="350">
        <f>X190/T190</f>
        <v>6.3504602606889476E-2</v>
      </c>
      <c r="Y191" s="350"/>
      <c r="Z191" s="350">
        <f>Z190/T190</f>
        <v>0.13448033493223654</v>
      </c>
      <c r="AA191" s="351">
        <f>AA190/T190</f>
        <v>0.36214132590688475</v>
      </c>
      <c r="AB191" s="352">
        <f>AB190/T190</f>
        <v>0.43987373655398948</v>
      </c>
      <c r="AC191" s="523">
        <f>AA192+AB192</f>
        <v>938</v>
      </c>
      <c r="AD191" s="752"/>
      <c r="AE191" s="524"/>
      <c r="AF191" s="524"/>
      <c r="AG191" s="524"/>
      <c r="AH191" s="356"/>
    </row>
    <row r="192" spans="1:34" x14ac:dyDescent="0.3">
      <c r="A192" s="243" t="s">
        <v>533</v>
      </c>
      <c r="B192" s="193"/>
      <c r="C192" s="193"/>
      <c r="D192" s="193"/>
      <c r="E192" s="193"/>
      <c r="F192" s="244"/>
      <c r="G192" s="193"/>
      <c r="H192" s="193"/>
      <c r="I192" s="2182">
        <f>I191/$M$191</f>
        <v>0.27767695099818512</v>
      </c>
      <c r="J192" s="2182">
        <f t="shared" ref="J192:K192" si="54">J191/$M$191</f>
        <v>0.4573502722323049</v>
      </c>
      <c r="K192" s="2182">
        <f t="shared" si="54"/>
        <v>0.26497277676950998</v>
      </c>
      <c r="L192" s="245"/>
      <c r="M192" s="193"/>
      <c r="N192" s="246"/>
      <c r="O192" s="196"/>
      <c r="P192" s="246"/>
      <c r="Q192" s="194">
        <f>U190/2</f>
        <v>0</v>
      </c>
      <c r="R192" s="288"/>
      <c r="S192" s="247">
        <f>Q192/Q197</f>
        <v>0</v>
      </c>
      <c r="Z192" s="248"/>
      <c r="AA192" s="357">
        <f>I166+J166+K171+I173+I174+J176</f>
        <v>502</v>
      </c>
      <c r="AB192" s="17">
        <f>I167+K167+J168+J169+I170+K177+J179+J181</f>
        <v>436</v>
      </c>
      <c r="AC192" s="4" t="s">
        <v>534</v>
      </c>
      <c r="AD192" s="188"/>
    </row>
    <row r="193" spans="1:34" x14ac:dyDescent="0.3">
      <c r="A193" s="251" t="s">
        <v>11</v>
      </c>
      <c r="B193" s="252"/>
      <c r="C193" s="252"/>
      <c r="D193" s="252"/>
      <c r="E193" s="252"/>
      <c r="F193" s="253"/>
      <c r="G193" s="252"/>
      <c r="H193" s="252"/>
      <c r="I193" s="254"/>
      <c r="J193" s="254"/>
      <c r="K193" s="254"/>
      <c r="L193" s="254"/>
      <c r="M193" s="252"/>
      <c r="N193" s="255"/>
      <c r="O193" s="256"/>
      <c r="P193" s="255"/>
      <c r="Q193" s="257">
        <f>V190</f>
        <v>1500054.976</v>
      </c>
      <c r="R193" s="290"/>
      <c r="S193" s="262">
        <f>Q193/Q197</f>
        <v>0.56035526552568893</v>
      </c>
      <c r="T193" s="525">
        <f>Q190/M190</f>
        <v>2853.9139894456284</v>
      </c>
      <c r="U193" s="526" t="s">
        <v>535</v>
      </c>
      <c r="Z193" s="169"/>
      <c r="AA193" s="195">
        <f>AA192/M190</f>
        <v>0.53518123667377404</v>
      </c>
      <c r="AB193" s="196">
        <f>AB192/M190</f>
        <v>0.46481876332622601</v>
      </c>
      <c r="AD193" s="188"/>
    </row>
    <row r="194" spans="1:34" x14ac:dyDescent="0.3">
      <c r="A194" s="251" t="s">
        <v>536</v>
      </c>
      <c r="B194" s="252"/>
      <c r="C194" s="252"/>
      <c r="D194" s="252"/>
      <c r="E194" s="252"/>
      <c r="F194" s="253"/>
      <c r="G194" s="252"/>
      <c r="H194" s="252"/>
      <c r="I194" s="254"/>
      <c r="J194" s="254"/>
      <c r="K194" s="254"/>
      <c r="L194" s="254"/>
      <c r="M194" s="252"/>
      <c r="N194" s="255"/>
      <c r="O194" s="256"/>
      <c r="P194" s="255"/>
      <c r="Q194" s="257">
        <f>W190</f>
        <v>646916.34610000008</v>
      </c>
      <c r="R194" s="290"/>
      <c r="S194" s="262">
        <f>Q194/Q197</f>
        <v>0.24165979693518513</v>
      </c>
      <c r="V194" s="263"/>
      <c r="X194" s="99"/>
      <c r="Y194" s="99"/>
      <c r="AA194" s="2265" t="s">
        <v>537</v>
      </c>
      <c r="AB194" s="2265"/>
      <c r="AD194" s="188"/>
    </row>
    <row r="195" spans="1:34" x14ac:dyDescent="0.3">
      <c r="A195" s="251" t="s">
        <v>529</v>
      </c>
      <c r="B195" s="252"/>
      <c r="C195" s="252"/>
      <c r="D195" s="252"/>
      <c r="E195" s="252"/>
      <c r="F195" s="253"/>
      <c r="G195" s="252"/>
      <c r="H195" s="252"/>
      <c r="I195" s="254"/>
      <c r="J195" s="254"/>
      <c r="K195" s="254"/>
      <c r="L195" s="254"/>
      <c r="M195" s="252"/>
      <c r="N195" s="255"/>
      <c r="O195" s="256"/>
      <c r="P195" s="255"/>
      <c r="Q195" s="257">
        <f>Z190</f>
        <v>360000</v>
      </c>
      <c r="R195" s="290"/>
      <c r="S195" s="262">
        <f>Q195/Q197</f>
        <v>0.13448033493223652</v>
      </c>
      <c r="V195" s="263"/>
    </row>
    <row r="196" spans="1:34" x14ac:dyDescent="0.3">
      <c r="A196" s="251" t="s">
        <v>528</v>
      </c>
      <c r="B196" s="252"/>
      <c r="C196" s="252"/>
      <c r="D196" s="252"/>
      <c r="E196" s="252"/>
      <c r="F196" s="253"/>
      <c r="G196" s="252"/>
      <c r="H196" s="252"/>
      <c r="I196" s="254"/>
      <c r="J196" s="254"/>
      <c r="K196" s="254"/>
      <c r="L196" s="254"/>
      <c r="M196" s="252"/>
      <c r="N196" s="255"/>
      <c r="O196" s="256"/>
      <c r="P196" s="255"/>
      <c r="Q196" s="257">
        <f>X190</f>
        <v>170000</v>
      </c>
      <c r="R196" s="290"/>
      <c r="S196" s="262">
        <f>Q196/Q197</f>
        <v>6.3504602606889463E-2</v>
      </c>
    </row>
    <row r="197" spans="1:34" x14ac:dyDescent="0.3">
      <c r="A197" s="251"/>
      <c r="B197" s="252"/>
      <c r="C197" s="252"/>
      <c r="D197" s="252"/>
      <c r="E197" s="252"/>
      <c r="F197" s="253"/>
      <c r="G197" s="252"/>
      <c r="H197" s="252"/>
      <c r="I197" s="254"/>
      <c r="J197" s="254"/>
      <c r="K197" s="254"/>
      <c r="L197" s="254"/>
      <c r="M197" s="252"/>
      <c r="N197" s="255"/>
      <c r="O197" s="256"/>
      <c r="P197" s="255"/>
      <c r="Q197" s="264">
        <f>SUM(Q192:Q196)</f>
        <v>2676971.3221</v>
      </c>
      <c r="R197" s="490"/>
      <c r="S197" s="262">
        <f>SUM(S192:S196)</f>
        <v>1</v>
      </c>
    </row>
    <row r="201" spans="1:34" x14ac:dyDescent="0.3">
      <c r="E201" s="1" t="s">
        <v>562</v>
      </c>
      <c r="F201" s="2" t="s">
        <v>758</v>
      </c>
    </row>
    <row r="202" spans="1:34" x14ac:dyDescent="0.3">
      <c r="E202" s="1" t="s">
        <v>473</v>
      </c>
      <c r="F202" s="2" t="s">
        <v>546</v>
      </c>
    </row>
    <row r="203" spans="1:34" x14ac:dyDescent="0.3">
      <c r="E203" s="1" t="s">
        <v>475</v>
      </c>
      <c r="F203" s="2" t="s">
        <v>759</v>
      </c>
    </row>
    <row r="204" spans="1:34" x14ac:dyDescent="0.3">
      <c r="E204" s="1" t="s">
        <v>477</v>
      </c>
      <c r="F204" s="2" t="s">
        <v>760</v>
      </c>
    </row>
    <row r="205" spans="1:34" ht="18" x14ac:dyDescent="0.35">
      <c r="A205" s="118" t="s">
        <v>567</v>
      </c>
      <c r="S205" s="98"/>
    </row>
    <row r="206" spans="1:34" ht="18" x14ac:dyDescent="0.35">
      <c r="A206" s="118"/>
      <c r="S206" s="98"/>
    </row>
    <row r="207" spans="1:34" x14ac:dyDescent="0.3">
      <c r="A207" s="2335" t="s">
        <v>480</v>
      </c>
      <c r="B207" s="2336"/>
      <c r="C207" s="2336"/>
      <c r="D207" s="2336"/>
      <c r="E207" s="2336"/>
      <c r="F207" s="2336"/>
      <c r="G207" s="2336"/>
      <c r="H207" s="2336"/>
      <c r="I207" s="2336"/>
      <c r="J207" s="2336"/>
      <c r="K207" s="2336"/>
      <c r="L207" s="2336"/>
      <c r="M207" s="2336"/>
      <c r="N207" s="2336"/>
      <c r="O207" s="2336"/>
      <c r="P207" s="2336"/>
      <c r="Q207" s="2336"/>
      <c r="R207" s="2336"/>
      <c r="S207" s="2337"/>
      <c r="T207" s="2338" t="s">
        <v>584</v>
      </c>
      <c r="U207" s="2339"/>
      <c r="V207" s="2339"/>
      <c r="W207" s="2339"/>
      <c r="X207" s="2339"/>
      <c r="Y207" s="2339"/>
      <c r="Z207" s="2339"/>
      <c r="AA207" s="2339"/>
      <c r="AB207" s="2339"/>
      <c r="AC207" s="2339"/>
      <c r="AD207" s="2339"/>
      <c r="AE207" s="2339"/>
      <c r="AF207" s="2339"/>
      <c r="AG207" s="2339"/>
      <c r="AH207" s="2340"/>
    </row>
    <row r="208" spans="1:34" ht="18" x14ac:dyDescent="0.35">
      <c r="A208" s="2227" t="s">
        <v>482</v>
      </c>
      <c r="B208" s="2215" t="s">
        <v>483</v>
      </c>
      <c r="C208" s="2215" t="s">
        <v>484</v>
      </c>
      <c r="D208" s="2215" t="s">
        <v>555</v>
      </c>
      <c r="E208" s="2215" t="s">
        <v>556</v>
      </c>
      <c r="F208" s="2213" t="s">
        <v>487</v>
      </c>
      <c r="G208" s="2215" t="s">
        <v>557</v>
      </c>
      <c r="H208" s="2215" t="s">
        <v>489</v>
      </c>
      <c r="I208" s="2217" t="s">
        <v>490</v>
      </c>
      <c r="J208" s="373"/>
      <c r="K208" s="373"/>
      <c r="L208" s="2218"/>
      <c r="M208" s="374" t="s">
        <v>491</v>
      </c>
      <c r="N208" s="375" t="s">
        <v>558</v>
      </c>
      <c r="O208" s="376" t="s">
        <v>493</v>
      </c>
      <c r="P208" s="375" t="s">
        <v>558</v>
      </c>
      <c r="Q208" s="375" t="s">
        <v>559</v>
      </c>
      <c r="R208" s="534" t="s">
        <v>585</v>
      </c>
      <c r="S208" s="2327" t="s">
        <v>495</v>
      </c>
      <c r="T208" s="703" t="s">
        <v>496</v>
      </c>
      <c r="U208" s="2389" t="s">
        <v>497</v>
      </c>
      <c r="V208" s="2389"/>
      <c r="W208" s="2389"/>
      <c r="X208" s="2389"/>
      <c r="Y208" s="2389"/>
      <c r="Z208" s="2390"/>
      <c r="AA208" s="2394" t="s">
        <v>498</v>
      </c>
      <c r="AB208" s="2395"/>
      <c r="AC208" s="2394" t="s">
        <v>499</v>
      </c>
      <c r="AD208" s="2398"/>
      <c r="AE208" s="2398"/>
      <c r="AF208" s="2398"/>
      <c r="AG208" s="2398"/>
      <c r="AH208" s="2395"/>
    </row>
    <row r="209" spans="1:34" ht="18" x14ac:dyDescent="0.35">
      <c r="A209" s="2341"/>
      <c r="B209" s="2326"/>
      <c r="C209" s="2326"/>
      <c r="D209" s="2326"/>
      <c r="E209" s="2326"/>
      <c r="F209" s="2342"/>
      <c r="G209" s="2326"/>
      <c r="H209" s="2326"/>
      <c r="I209" s="536" t="s">
        <v>500</v>
      </c>
      <c r="J209" s="536" t="s">
        <v>501</v>
      </c>
      <c r="K209" s="536" t="s">
        <v>502</v>
      </c>
      <c r="L209" s="536" t="s">
        <v>503</v>
      </c>
      <c r="M209" s="537" t="s">
        <v>504</v>
      </c>
      <c r="N209" s="538" t="s">
        <v>505</v>
      </c>
      <c r="O209" s="539" t="s">
        <v>506</v>
      </c>
      <c r="P209" s="538" t="s">
        <v>507</v>
      </c>
      <c r="Q209" s="538" t="s">
        <v>560</v>
      </c>
      <c r="R209" s="538"/>
      <c r="S209" s="2328"/>
      <c r="T209" s="704" t="s">
        <v>508</v>
      </c>
      <c r="U209" s="2392"/>
      <c r="V209" s="2392"/>
      <c r="W209" s="2392"/>
      <c r="X209" s="2392"/>
      <c r="Y209" s="2392"/>
      <c r="Z209" s="2393"/>
      <c r="AA209" s="2396"/>
      <c r="AB209" s="2397"/>
      <c r="AC209" s="2396"/>
      <c r="AD209" s="2399"/>
      <c r="AE209" s="2399"/>
      <c r="AF209" s="2399"/>
      <c r="AG209" s="2399"/>
      <c r="AH209" s="2397"/>
    </row>
    <row r="210" spans="1:34" ht="18" x14ac:dyDescent="0.35">
      <c r="A210" s="2323" t="s">
        <v>568</v>
      </c>
      <c r="B210" s="2324"/>
      <c r="C210" s="2324"/>
      <c r="D210" s="2324"/>
      <c r="E210" s="2324"/>
      <c r="F210" s="2324"/>
      <c r="G210" s="2324"/>
      <c r="H210" s="2324"/>
      <c r="I210" s="2324"/>
      <c r="J210" s="2324"/>
      <c r="K210" s="2324"/>
      <c r="L210" s="2324"/>
      <c r="M210" s="2324"/>
      <c r="N210" s="2324"/>
      <c r="O210" s="2324"/>
      <c r="P210" s="2324"/>
      <c r="Q210" s="2324"/>
      <c r="R210" s="2324"/>
      <c r="S210" s="2324"/>
      <c r="T210" s="741"/>
      <c r="U210" s="716" t="s">
        <v>510</v>
      </c>
      <c r="V210" s="717" t="s">
        <v>11</v>
      </c>
      <c r="W210" s="717" t="s">
        <v>511</v>
      </c>
      <c r="X210" s="717" t="s">
        <v>512</v>
      </c>
      <c r="Y210" s="717" t="s">
        <v>715</v>
      </c>
      <c r="Z210" s="718" t="s">
        <v>513</v>
      </c>
      <c r="AA210" s="719" t="s">
        <v>514</v>
      </c>
      <c r="AB210" s="718" t="s">
        <v>515</v>
      </c>
      <c r="AC210" s="720"/>
      <c r="AD210" s="721" t="s">
        <v>0</v>
      </c>
      <c r="AE210" s="722" t="s">
        <v>1</v>
      </c>
      <c r="AF210" s="722" t="s">
        <v>757</v>
      </c>
      <c r="AG210" s="722" t="s">
        <v>3</v>
      </c>
      <c r="AH210" s="723" t="s">
        <v>110</v>
      </c>
    </row>
    <row r="211" spans="1:34" x14ac:dyDescent="0.3">
      <c r="A211" s="154"/>
      <c r="B211" s="462"/>
      <c r="C211" s="462"/>
      <c r="D211" s="462"/>
      <c r="E211" s="462"/>
      <c r="F211" s="463"/>
      <c r="G211" s="462"/>
      <c r="H211" s="462"/>
      <c r="I211" s="465"/>
      <c r="J211" s="465"/>
      <c r="K211" s="465"/>
      <c r="L211" s="465"/>
      <c r="M211" s="462"/>
      <c r="N211" s="468"/>
      <c r="O211" s="469"/>
      <c r="P211" s="468"/>
      <c r="Q211" s="468"/>
      <c r="R211" s="468"/>
      <c r="S211" s="532"/>
      <c r="T211" s="149"/>
      <c r="U211" s="150"/>
      <c r="Z211" s="152"/>
      <c r="AA211" s="280"/>
      <c r="AB211" s="152"/>
      <c r="AD211" s="280"/>
      <c r="AH211" s="152"/>
    </row>
    <row r="212" spans="1:34" x14ac:dyDescent="0.3">
      <c r="A212" s="157" t="s">
        <v>716</v>
      </c>
      <c r="B212" s="157" t="s">
        <v>111</v>
      </c>
      <c r="C212" s="157" t="s">
        <v>717</v>
      </c>
      <c r="D212" s="157" t="s">
        <v>112</v>
      </c>
      <c r="E212" s="157" t="s">
        <v>520</v>
      </c>
      <c r="F212" s="158" t="s">
        <v>761</v>
      </c>
      <c r="G212" s="157">
        <v>100</v>
      </c>
      <c r="H212" s="157" t="s">
        <v>22</v>
      </c>
      <c r="I212" s="159">
        <v>100</v>
      </c>
      <c r="J212" s="160"/>
      <c r="K212" s="160"/>
      <c r="L212" s="162"/>
      <c r="M212" s="163">
        <v>1</v>
      </c>
      <c r="N212" s="473">
        <v>3429.22</v>
      </c>
      <c r="O212" s="165">
        <v>0.48</v>
      </c>
      <c r="P212" s="166">
        <f>N212*(1-O212)</f>
        <v>1783.1943999999999</v>
      </c>
      <c r="Q212" s="166">
        <f t="shared" ref="Q212:Q214" si="55">P212*M212*G212</f>
        <v>178319.43999999997</v>
      </c>
      <c r="R212" s="206" t="e">
        <f>(Q212+Q213+#REF!+#REF!)/E189*1000</f>
        <v>#REF!</v>
      </c>
      <c r="S212" s="178">
        <f>Q212/$Q$228</f>
        <v>0.19886856723517557</v>
      </c>
      <c r="T212" s="168">
        <f>Q212*4</f>
        <v>713277.75999999989</v>
      </c>
      <c r="U212" s="150"/>
      <c r="V212" s="169">
        <f>T212</f>
        <v>713277.75999999989</v>
      </c>
      <c r="W212" s="169"/>
      <c r="X212" s="169"/>
      <c r="Y212" s="169"/>
      <c r="Z212" s="171"/>
      <c r="AA212" s="282">
        <f>T212</f>
        <v>713277.75999999989</v>
      </c>
      <c r="AB212" s="171"/>
      <c r="AD212" s="282">
        <f>T212</f>
        <v>713277.75999999989</v>
      </c>
      <c r="AH212" s="152"/>
    </row>
    <row r="213" spans="1:34" x14ac:dyDescent="0.3">
      <c r="A213" s="157" t="s">
        <v>716</v>
      </c>
      <c r="B213" s="157" t="s">
        <v>113</v>
      </c>
      <c r="C213" s="157" t="s">
        <v>717</v>
      </c>
      <c r="D213" s="157" t="s">
        <v>112</v>
      </c>
      <c r="E213" s="157" t="s">
        <v>518</v>
      </c>
      <c r="F213" s="158" t="s">
        <v>762</v>
      </c>
      <c r="G213" s="157">
        <v>50</v>
      </c>
      <c r="H213" s="157" t="s">
        <v>22</v>
      </c>
      <c r="I213" s="188"/>
      <c r="J213" s="160"/>
      <c r="K213" s="176">
        <v>50</v>
      </c>
      <c r="L213" s="180"/>
      <c r="M213" s="163">
        <v>1</v>
      </c>
      <c r="N213" s="166">
        <v>6980.9</v>
      </c>
      <c r="O213" s="173">
        <v>0.35</v>
      </c>
      <c r="P213" s="166">
        <f>N213*(1-O213)</f>
        <v>4537.585</v>
      </c>
      <c r="Q213" s="166">
        <f t="shared" si="55"/>
        <v>226879.25</v>
      </c>
      <c r="R213" s="206" t="e">
        <f>(Q213+Q214+#REF!+#REF!)/E190*1000</f>
        <v>#REF!</v>
      </c>
      <c r="S213" s="167">
        <f>Q213/$Q$228</f>
        <v>0.25302429944200822</v>
      </c>
      <c r="T213" s="168">
        <f t="shared" ref="T213:T214" si="56">Q213*4</f>
        <v>907517</v>
      </c>
      <c r="U213" s="150"/>
      <c r="V213" s="169">
        <f>T213</f>
        <v>907517</v>
      </c>
      <c r="Z213" s="152"/>
      <c r="AA213" s="282"/>
      <c r="AB213" s="171">
        <f>T213</f>
        <v>907517</v>
      </c>
      <c r="AD213" s="282">
        <f>T213</f>
        <v>907517</v>
      </c>
      <c r="AH213" s="152"/>
    </row>
    <row r="214" spans="1:34" x14ac:dyDescent="0.3">
      <c r="A214" s="157" t="s">
        <v>716</v>
      </c>
      <c r="B214" s="157" t="s">
        <v>113</v>
      </c>
      <c r="C214" s="157" t="s">
        <v>720</v>
      </c>
      <c r="D214" s="157" t="s">
        <v>114</v>
      </c>
      <c r="E214" s="157" t="s">
        <v>721</v>
      </c>
      <c r="F214" s="158" t="s">
        <v>83</v>
      </c>
      <c r="G214" s="157">
        <v>1</v>
      </c>
      <c r="H214" s="157" t="s">
        <v>22</v>
      </c>
      <c r="I214" s="188"/>
      <c r="J214" s="725">
        <v>25</v>
      </c>
      <c r="L214" s="286"/>
      <c r="M214" s="163">
        <v>1</v>
      </c>
      <c r="N214" s="166">
        <v>80709</v>
      </c>
      <c r="O214" s="173">
        <v>0.43</v>
      </c>
      <c r="P214" s="166">
        <f t="shared" ref="P214" si="57">N214*(1-O214)</f>
        <v>46004.130000000005</v>
      </c>
      <c r="Q214" s="166">
        <f t="shared" si="55"/>
        <v>46004.130000000005</v>
      </c>
      <c r="R214" s="206"/>
      <c r="S214" s="167">
        <f>Q214/$Q$228</f>
        <v>5.130554144854179E-2</v>
      </c>
      <c r="T214" s="168">
        <f t="shared" si="56"/>
        <v>184016.52000000002</v>
      </c>
      <c r="U214" s="150"/>
      <c r="V214" s="169"/>
      <c r="W214" s="169">
        <f>T214</f>
        <v>184016.52000000002</v>
      </c>
      <c r="Z214" s="152"/>
      <c r="AA214" s="282"/>
      <c r="AB214" s="171">
        <f>T214</f>
        <v>184016.52000000002</v>
      </c>
      <c r="AD214" s="282">
        <f>T214</f>
        <v>184016.52000000002</v>
      </c>
      <c r="AH214" s="152"/>
    </row>
    <row r="215" spans="1:34" x14ac:dyDescent="0.3">
      <c r="A215" s="157"/>
      <c r="B215" s="157"/>
      <c r="C215" s="157"/>
      <c r="D215" s="157"/>
      <c r="E215" s="157"/>
      <c r="F215" s="158"/>
      <c r="G215" s="157"/>
      <c r="H215" s="157"/>
      <c r="I215" s="188"/>
      <c r="L215" s="286"/>
      <c r="M215" s="163"/>
      <c r="N215" s="473"/>
      <c r="O215" s="165"/>
      <c r="P215" s="476"/>
      <c r="Q215" s="473"/>
      <c r="R215" s="9"/>
      <c r="S215" s="504"/>
      <c r="T215" s="478"/>
      <c r="U215" s="565"/>
      <c r="Z215" s="152"/>
      <c r="AA215" s="282"/>
      <c r="AB215" s="171"/>
      <c r="AD215" s="282"/>
      <c r="AH215" s="152"/>
    </row>
    <row r="216" spans="1:34" x14ac:dyDescent="0.3">
      <c r="A216" s="157" t="s">
        <v>716</v>
      </c>
      <c r="B216" s="157" t="s">
        <v>130</v>
      </c>
      <c r="C216" s="157" t="s">
        <v>746</v>
      </c>
      <c r="D216" s="157" t="s">
        <v>131</v>
      </c>
      <c r="E216" s="157" t="s">
        <v>747</v>
      </c>
      <c r="F216" s="158" t="s">
        <v>729</v>
      </c>
      <c r="G216" s="157">
        <v>70</v>
      </c>
      <c r="H216" s="157" t="s">
        <v>24</v>
      </c>
      <c r="I216" s="159">
        <v>70</v>
      </c>
      <c r="J216" s="161"/>
      <c r="K216" s="161"/>
      <c r="L216" s="2209"/>
      <c r="M216" s="163">
        <v>1</v>
      </c>
      <c r="N216" s="473">
        <v>10299</v>
      </c>
      <c r="O216" s="165">
        <v>0.83</v>
      </c>
      <c r="P216" s="476">
        <f t="shared" ref="P216" si="58">N216*(1-O216)</f>
        <v>1750.8300000000004</v>
      </c>
      <c r="Q216" s="473">
        <f t="shared" ref="Q216" si="59">P216*M216*G216</f>
        <v>122558.10000000002</v>
      </c>
      <c r="R216" s="9"/>
      <c r="S216" s="178">
        <f>Q216/$Q$228</f>
        <v>0.13668141706852255</v>
      </c>
      <c r="T216" s="168">
        <f>Q216*4</f>
        <v>490232.40000000008</v>
      </c>
      <c r="U216" s="565"/>
      <c r="W216" s="169">
        <f>T216</f>
        <v>490232.40000000008</v>
      </c>
      <c r="Z216" s="152"/>
      <c r="AA216" s="282">
        <f>T216</f>
        <v>490232.40000000008</v>
      </c>
      <c r="AB216" s="171"/>
      <c r="AD216" s="282"/>
      <c r="AF216" s="169">
        <f>T216</f>
        <v>490232.40000000008</v>
      </c>
      <c r="AH216" s="152"/>
    </row>
    <row r="217" spans="1:34" x14ac:dyDescent="0.3">
      <c r="A217" s="157"/>
      <c r="B217" s="157"/>
      <c r="C217" s="157"/>
      <c r="D217" s="157"/>
      <c r="E217" s="157"/>
      <c r="F217" s="158"/>
      <c r="G217" s="157"/>
      <c r="H217" s="157"/>
      <c r="I217" s="188"/>
      <c r="L217" s="286"/>
      <c r="M217" s="163"/>
      <c r="N217" s="473"/>
      <c r="O217" s="165"/>
      <c r="P217" s="476"/>
      <c r="Q217" s="473"/>
      <c r="R217" s="9"/>
      <c r="S217" s="504"/>
      <c r="T217" s="478"/>
      <c r="U217" s="565"/>
      <c r="Z217" s="152"/>
      <c r="AA217" s="282"/>
      <c r="AB217" s="171"/>
      <c r="AD217" s="282"/>
      <c r="AH217" s="152"/>
    </row>
    <row r="218" spans="1:34" x14ac:dyDescent="0.3">
      <c r="A218" s="157" t="s">
        <v>716</v>
      </c>
      <c r="B218" s="157" t="s">
        <v>20</v>
      </c>
      <c r="C218" s="157" t="s">
        <v>725</v>
      </c>
      <c r="D218" s="157" t="s">
        <v>118</v>
      </c>
      <c r="E218" s="157" t="s">
        <v>726</v>
      </c>
      <c r="F218" s="158" t="s">
        <v>763</v>
      </c>
      <c r="G218" s="157">
        <v>1</v>
      </c>
      <c r="H218" s="157" t="s">
        <v>22</v>
      </c>
      <c r="I218" s="474"/>
      <c r="J218" s="725">
        <v>100</v>
      </c>
      <c r="L218" s="163"/>
      <c r="M218" s="163">
        <v>1</v>
      </c>
      <c r="N218" s="473">
        <v>350022</v>
      </c>
      <c r="O218" s="165">
        <v>0.59599999999999997</v>
      </c>
      <c r="P218" s="166">
        <f>N218*(1-O218)</f>
        <v>141408.88800000001</v>
      </c>
      <c r="Q218" s="166">
        <f t="shared" ref="Q218" si="60">P218*M218*G218</f>
        <v>141408.88800000001</v>
      </c>
      <c r="R218" s="9"/>
      <c r="S218" s="178">
        <f>Q218/$Q$228</f>
        <v>0.15770452706042268</v>
      </c>
      <c r="T218" s="168">
        <f t="shared" ref="T218:T220" si="61">Q218*4</f>
        <v>565635.55200000003</v>
      </c>
      <c r="U218" s="565"/>
      <c r="V218" s="169">
        <f>T218</f>
        <v>565635.55200000003</v>
      </c>
      <c r="Z218" s="152"/>
      <c r="AA218" s="282">
        <f>T218</f>
        <v>565635.55200000003</v>
      </c>
      <c r="AB218" s="171"/>
      <c r="AD218" s="280"/>
      <c r="AE218" s="169">
        <f>T218</f>
        <v>565635.55200000003</v>
      </c>
      <c r="AF218" s="169"/>
      <c r="AH218" s="152"/>
    </row>
    <row r="219" spans="1:34" x14ac:dyDescent="0.3">
      <c r="A219" s="157"/>
      <c r="B219" s="157"/>
      <c r="C219" s="157"/>
      <c r="D219" s="157"/>
      <c r="E219" s="157"/>
      <c r="F219" s="158"/>
      <c r="G219" s="157"/>
      <c r="H219" s="157"/>
      <c r="I219" s="474"/>
      <c r="J219" s="1"/>
      <c r="K219" s="1"/>
      <c r="L219" s="163"/>
      <c r="M219" s="163"/>
      <c r="N219" s="473"/>
      <c r="O219" s="165"/>
      <c r="P219" s="476"/>
      <c r="Q219" s="473"/>
      <c r="R219" s="9"/>
      <c r="S219" s="504"/>
      <c r="T219" s="478"/>
      <c r="U219" s="565"/>
      <c r="Z219" s="152"/>
      <c r="AA219" s="282"/>
      <c r="AB219" s="171"/>
      <c r="AD219" s="280"/>
      <c r="AH219" s="152"/>
    </row>
    <row r="220" spans="1:34" x14ac:dyDescent="0.3">
      <c r="A220" s="157" t="s">
        <v>716</v>
      </c>
      <c r="B220" s="157" t="s">
        <v>110</v>
      </c>
      <c r="C220" s="157" t="s">
        <v>737</v>
      </c>
      <c r="D220" s="157" t="s">
        <v>129</v>
      </c>
      <c r="E220" s="157" t="s">
        <v>738</v>
      </c>
      <c r="F220" s="158" t="s">
        <v>729</v>
      </c>
      <c r="G220" s="157">
        <v>50</v>
      </c>
      <c r="H220" s="157" t="s">
        <v>22</v>
      </c>
      <c r="I220" s="474"/>
      <c r="J220" s="1"/>
      <c r="K220" s="725">
        <v>50</v>
      </c>
      <c r="L220" s="163"/>
      <c r="M220" s="163">
        <v>1</v>
      </c>
      <c r="N220" s="473">
        <v>2520</v>
      </c>
      <c r="O220" s="165">
        <v>0.75</v>
      </c>
      <c r="P220" s="166">
        <f>N220*(1-O220)</f>
        <v>630</v>
      </c>
      <c r="Q220" s="166">
        <f t="shared" ref="Q220" si="62">P220*M220*G220</f>
        <v>31500</v>
      </c>
      <c r="R220" s="9"/>
      <c r="S220" s="167">
        <f>Q220/$Q$228</f>
        <v>3.512998845166871E-2</v>
      </c>
      <c r="T220" s="168">
        <f t="shared" si="61"/>
        <v>126000</v>
      </c>
      <c r="U220" s="565"/>
      <c r="V220" s="169">
        <f>T220</f>
        <v>126000</v>
      </c>
      <c r="Z220" s="152"/>
      <c r="AA220" s="282"/>
      <c r="AB220" s="171">
        <f>T220</f>
        <v>126000</v>
      </c>
      <c r="AD220" s="280"/>
      <c r="AH220" s="171">
        <f>T220</f>
        <v>126000</v>
      </c>
    </row>
    <row r="221" spans="1:34" x14ac:dyDescent="0.3">
      <c r="A221" s="157"/>
      <c r="B221" s="157"/>
      <c r="C221" s="157"/>
      <c r="D221" s="157"/>
      <c r="E221" s="157"/>
      <c r="F221" s="158"/>
      <c r="G221" s="157"/>
      <c r="H221" s="157"/>
      <c r="I221" s="474"/>
      <c r="J221" s="1"/>
      <c r="K221" s="1"/>
      <c r="L221" s="163"/>
      <c r="M221" s="163"/>
      <c r="N221" s="473"/>
      <c r="O221" s="165"/>
      <c r="P221" s="476"/>
      <c r="Q221" s="473"/>
      <c r="R221" s="9"/>
      <c r="S221" s="504"/>
      <c r="T221" s="478"/>
      <c r="U221" s="565"/>
      <c r="Z221" s="152"/>
      <c r="AA221" s="282"/>
      <c r="AB221" s="171"/>
      <c r="AD221" s="280"/>
      <c r="AH221" s="152"/>
    </row>
    <row r="222" spans="1:34" x14ac:dyDescent="0.3">
      <c r="A222" s="157"/>
      <c r="B222" s="157"/>
      <c r="C222" s="157"/>
      <c r="D222" s="157"/>
      <c r="E222" s="157"/>
      <c r="F222" s="158"/>
      <c r="G222" s="157"/>
      <c r="H222" s="157"/>
      <c r="I222" s="474"/>
      <c r="J222" s="1"/>
      <c r="K222" s="1"/>
      <c r="L222" s="163"/>
      <c r="M222" s="163"/>
      <c r="N222" s="473"/>
      <c r="O222" s="165"/>
      <c r="P222" s="476"/>
      <c r="Q222" s="473"/>
      <c r="R222" s="9"/>
      <c r="S222" s="504"/>
      <c r="T222" s="478"/>
      <c r="U222" s="565"/>
      <c r="Z222" s="152"/>
      <c r="AA222" s="282"/>
      <c r="AB222" s="171"/>
      <c r="AD222" s="280"/>
      <c r="AH222" s="152"/>
    </row>
    <row r="223" spans="1:34" x14ac:dyDescent="0.3">
      <c r="A223" s="108"/>
      <c r="B223" s="108"/>
      <c r="C223" s="108"/>
      <c r="D223" s="108"/>
      <c r="E223" s="108"/>
      <c r="F223" s="479"/>
      <c r="G223" s="108"/>
      <c r="H223" s="108"/>
      <c r="I223" s="289"/>
      <c r="J223" s="252"/>
      <c r="K223" s="252"/>
      <c r="L223" s="730"/>
      <c r="M223" s="730"/>
      <c r="N223" s="731"/>
      <c r="O223" s="732"/>
      <c r="P223" s="733"/>
      <c r="Q223" s="731"/>
      <c r="R223" s="734"/>
      <c r="S223" s="742"/>
      <c r="T223" s="168"/>
      <c r="U223" s="565"/>
      <c r="W223" s="169"/>
      <c r="Z223" s="152"/>
      <c r="AA223" s="282"/>
      <c r="AB223" s="171"/>
      <c r="AD223" s="280"/>
      <c r="AH223" s="152"/>
    </row>
    <row r="224" spans="1:34" x14ac:dyDescent="0.3">
      <c r="A224" s="108" t="s">
        <v>716</v>
      </c>
      <c r="B224" s="108" t="s">
        <v>739</v>
      </c>
      <c r="C224" s="108" t="s">
        <v>740</v>
      </c>
      <c r="D224" s="108"/>
      <c r="E224" s="108"/>
      <c r="F224" s="479"/>
      <c r="G224" s="108"/>
      <c r="H224" s="108"/>
      <c r="I224" s="289"/>
      <c r="J224" s="252"/>
      <c r="K224" s="252"/>
      <c r="L224" s="730"/>
      <c r="M224" s="730"/>
      <c r="N224" s="731"/>
      <c r="O224" s="732"/>
      <c r="P224" s="733"/>
      <c r="Q224" s="731">
        <v>150000</v>
      </c>
      <c r="R224" s="734"/>
      <c r="S224" s="742">
        <f>Q224/$Q$228</f>
        <v>0.16728565929366054</v>
      </c>
      <c r="T224" s="168">
        <f t="shared" ref="T224" si="63">Q224*4</f>
        <v>600000</v>
      </c>
      <c r="U224" s="565"/>
      <c r="Z224" s="171">
        <f>T224</f>
        <v>600000</v>
      </c>
      <c r="AA224" s="282"/>
      <c r="AB224" s="171"/>
      <c r="AD224" s="280"/>
      <c r="AH224" s="152"/>
    </row>
    <row r="225" spans="1:35" x14ac:dyDescent="0.3">
      <c r="A225" s="108" t="s">
        <v>716</v>
      </c>
      <c r="B225" s="108" t="s">
        <v>528</v>
      </c>
      <c r="C225" s="108" t="s">
        <v>741</v>
      </c>
      <c r="D225" s="108"/>
      <c r="E225" s="108"/>
      <c r="F225" s="479"/>
      <c r="G225" s="108"/>
      <c r="H225" s="108"/>
      <c r="I225" s="289"/>
      <c r="J225" s="252"/>
      <c r="K225" s="252"/>
      <c r="L225" s="730"/>
      <c r="M225" s="730"/>
      <c r="N225" s="257"/>
      <c r="O225" s="109"/>
      <c r="P225" s="290"/>
      <c r="Q225" s="257"/>
      <c r="R225" s="290"/>
      <c r="S225" s="742">
        <f>Q225/$Q$228</f>
        <v>0</v>
      </c>
      <c r="T225" s="168">
        <f t="shared" ref="T225:T226" si="64">Q225*2</f>
        <v>0</v>
      </c>
      <c r="U225" s="150"/>
      <c r="X225" s="169">
        <f>T225</f>
        <v>0</v>
      </c>
      <c r="Y225" s="169"/>
      <c r="Z225" s="152"/>
      <c r="AA225" s="280"/>
      <c r="AB225" s="171"/>
      <c r="AD225" s="280"/>
      <c r="AH225" s="152"/>
    </row>
    <row r="226" spans="1:35" x14ac:dyDescent="0.3">
      <c r="A226" s="108" t="s">
        <v>716</v>
      </c>
      <c r="B226" s="108" t="s">
        <v>529</v>
      </c>
      <c r="C226" s="108"/>
      <c r="D226" s="108"/>
      <c r="E226" s="108"/>
      <c r="F226" s="479"/>
      <c r="G226" s="108"/>
      <c r="H226" s="108"/>
      <c r="I226" s="251"/>
      <c r="J226" s="254"/>
      <c r="K226" s="254"/>
      <c r="L226" s="736"/>
      <c r="M226" s="730"/>
      <c r="N226" s="257"/>
      <c r="O226" s="109"/>
      <c r="P226" s="290"/>
      <c r="Q226" s="257"/>
      <c r="R226" s="480"/>
      <c r="S226" s="291">
        <f>Q226/Q228</f>
        <v>0</v>
      </c>
      <c r="T226" s="168">
        <f t="shared" si="64"/>
        <v>0</v>
      </c>
      <c r="U226" s="150"/>
      <c r="Z226" s="171">
        <f>T226</f>
        <v>0</v>
      </c>
      <c r="AA226" s="280"/>
      <c r="AB226" s="152"/>
      <c r="AD226" s="280"/>
      <c r="AH226" s="152"/>
    </row>
    <row r="227" spans="1:35" x14ac:dyDescent="0.3">
      <c r="I227" s="115">
        <f>I228/M228</f>
        <v>0.43037974683544306</v>
      </c>
      <c r="J227" s="115">
        <f>J228/M228</f>
        <v>0.31645569620253167</v>
      </c>
      <c r="K227" s="115">
        <f>K228/M228</f>
        <v>0.25316455696202533</v>
      </c>
      <c r="T227" s="149"/>
      <c r="U227" s="578"/>
      <c r="V227" s="245"/>
      <c r="W227" s="245"/>
      <c r="X227" s="245"/>
      <c r="Y227" s="245"/>
      <c r="Z227" s="567"/>
      <c r="AA227" s="566"/>
      <c r="AB227" s="567"/>
      <c r="AC227" s="245"/>
      <c r="AD227" s="566"/>
      <c r="AE227" s="245"/>
      <c r="AF227" s="245"/>
      <c r="AG227" s="245"/>
      <c r="AH227" s="567"/>
    </row>
    <row r="228" spans="1:35" ht="15.6" x14ac:dyDescent="0.3">
      <c r="A228" s="396" t="s">
        <v>531</v>
      </c>
      <c r="B228" s="373"/>
      <c r="C228" s="373"/>
      <c r="D228" s="373"/>
      <c r="E228" s="373"/>
      <c r="F228" s="397"/>
      <c r="G228" s="373"/>
      <c r="H228" s="373"/>
      <c r="I228" s="373">
        <f>I216+I212</f>
        <v>170</v>
      </c>
      <c r="J228" s="373">
        <f>J218+J214</f>
        <v>125</v>
      </c>
      <c r="K228" s="373">
        <f>K220+K213</f>
        <v>100</v>
      </c>
      <c r="L228" s="373"/>
      <c r="M228" s="373">
        <f>SUM(I228:L228)</f>
        <v>395</v>
      </c>
      <c r="N228" s="398"/>
      <c r="O228" s="399"/>
      <c r="P228" s="398"/>
      <c r="Q228" s="400">
        <f>SUM(Q212:Q227)</f>
        <v>896669.80799999996</v>
      </c>
      <c r="R228" s="400"/>
      <c r="S228" s="399">
        <f>SUM(S212:S226)</f>
        <v>1</v>
      </c>
      <c r="T228" s="753">
        <f>SUM(T212:T227)</f>
        <v>3586679.2319999998</v>
      </c>
      <c r="U228" s="754">
        <f t="shared" ref="U228:AB228" si="65">SUM(U212:U226)</f>
        <v>0</v>
      </c>
      <c r="V228" s="652">
        <f t="shared" si="65"/>
        <v>2312430.3119999999</v>
      </c>
      <c r="W228" s="652">
        <f t="shared" si="65"/>
        <v>674248.92000000016</v>
      </c>
      <c r="X228" s="652">
        <f t="shared" si="65"/>
        <v>0</v>
      </c>
      <c r="Y228" s="652"/>
      <c r="Z228" s="654">
        <f t="shared" si="65"/>
        <v>600000</v>
      </c>
      <c r="AA228" s="653">
        <f t="shared" si="65"/>
        <v>1769145.7119999998</v>
      </c>
      <c r="AB228" s="654">
        <f t="shared" si="65"/>
        <v>1217533.52</v>
      </c>
      <c r="AC228" s="755"/>
      <c r="AD228" s="756">
        <f>SUM(AD212:AD227)</f>
        <v>1804811.2799999998</v>
      </c>
      <c r="AE228" s="757">
        <f>SUM(AE212:AE227)</f>
        <v>565635.55200000003</v>
      </c>
      <c r="AF228" s="757">
        <f t="shared" ref="AF228:AH228" si="66">SUM(AF212:AF227)</f>
        <v>490232.40000000008</v>
      </c>
      <c r="AG228" s="757">
        <f t="shared" si="66"/>
        <v>0</v>
      </c>
      <c r="AH228" s="758">
        <f t="shared" si="66"/>
        <v>126000</v>
      </c>
    </row>
    <row r="229" spans="1:35" x14ac:dyDescent="0.3">
      <c r="A229" s="410" t="s">
        <v>532</v>
      </c>
      <c r="B229" s="411"/>
      <c r="C229" s="411"/>
      <c r="D229" s="411"/>
      <c r="E229" s="411"/>
      <c r="F229" s="412"/>
      <c r="G229" s="411"/>
      <c r="H229" s="411"/>
      <c r="I229" s="411">
        <f>I216+I212</f>
        <v>170</v>
      </c>
      <c r="J229" s="411">
        <f>J218+I216+J214</f>
        <v>195</v>
      </c>
      <c r="K229" s="411">
        <f>K220+I216+K213</f>
        <v>170</v>
      </c>
      <c r="L229" s="411"/>
      <c r="M229" s="411">
        <f>SUM(I229:L229)</f>
        <v>535</v>
      </c>
      <c r="N229" s="413"/>
      <c r="O229" s="414"/>
      <c r="P229" s="413"/>
      <c r="Q229" s="413"/>
      <c r="R229" s="413"/>
      <c r="S229" s="414"/>
      <c r="T229" s="416"/>
      <c r="U229" s="598">
        <f>U228/T228</f>
        <v>0</v>
      </c>
      <c r="V229" s="418">
        <f>V228/T228</f>
        <v>0.64472738218927517</v>
      </c>
      <c r="W229" s="418">
        <f>W228/T228</f>
        <v>0.18798695851706435</v>
      </c>
      <c r="X229" s="418">
        <f>X228/T228</f>
        <v>0</v>
      </c>
      <c r="Y229" s="418"/>
      <c r="Z229" s="419">
        <f>Z228/T228</f>
        <v>0.16728565929366054</v>
      </c>
      <c r="AA229" s="420">
        <f>AA228/T228</f>
        <v>0.49325451136412074</v>
      </c>
      <c r="AB229" s="419">
        <f>AB228/T228</f>
        <v>0.33945982934221869</v>
      </c>
      <c r="AC229" s="759">
        <f>AA230+AB230</f>
        <v>395</v>
      </c>
      <c r="AD229" s="760"/>
      <c r="AE229" s="550"/>
      <c r="AF229" s="550"/>
      <c r="AG229" s="550"/>
      <c r="AH229" s="424"/>
    </row>
    <row r="230" spans="1:35" x14ac:dyDescent="0.3">
      <c r="A230" s="243" t="s">
        <v>533</v>
      </c>
      <c r="B230" s="193"/>
      <c r="C230" s="193"/>
      <c r="D230" s="193"/>
      <c r="E230" s="193"/>
      <c r="F230" s="244"/>
      <c r="G230" s="193"/>
      <c r="H230" s="193"/>
      <c r="I230" s="2182">
        <f>I229/M229</f>
        <v>0.31775700934579437</v>
      </c>
      <c r="J230" s="2182">
        <f>J229/M229</f>
        <v>0.3644859813084112</v>
      </c>
      <c r="K230" s="2182">
        <f>K229/M229</f>
        <v>0.31775700934579437</v>
      </c>
      <c r="L230" s="245"/>
      <c r="M230" s="193"/>
      <c r="N230" s="246"/>
      <c r="O230" s="196"/>
      <c r="P230" s="246"/>
      <c r="Q230" s="194">
        <f>U228/4</f>
        <v>0</v>
      </c>
      <c r="R230" s="288"/>
      <c r="S230" s="247"/>
      <c r="Z230" s="248"/>
      <c r="AA230" s="357">
        <f>I212+I216+J218</f>
        <v>270</v>
      </c>
      <c r="AB230" s="761">
        <f>K213+J214+K220</f>
        <v>125</v>
      </c>
      <c r="AC230" s="4" t="s">
        <v>534</v>
      </c>
      <c r="AD230" s="1"/>
      <c r="AE230" s="1"/>
      <c r="AF230" s="1"/>
      <c r="AG230" s="1"/>
      <c r="AH230" s="1"/>
    </row>
    <row r="231" spans="1:35" x14ac:dyDescent="0.3">
      <c r="A231" s="251" t="s">
        <v>11</v>
      </c>
      <c r="B231" s="252"/>
      <c r="C231" s="252"/>
      <c r="D231" s="252"/>
      <c r="E231" s="252"/>
      <c r="F231" s="253"/>
      <c r="G231" s="252"/>
      <c r="H231" s="252"/>
      <c r="I231" s="254"/>
      <c r="J231" s="254"/>
      <c r="K231" s="254"/>
      <c r="L231" s="254"/>
      <c r="M231" s="252"/>
      <c r="N231" s="255"/>
      <c r="O231" s="256"/>
      <c r="P231" s="255"/>
      <c r="Q231" s="257">
        <f>V228/4</f>
        <v>578107.57799999998</v>
      </c>
      <c r="R231" s="290"/>
      <c r="S231" s="262">
        <f>Q231/Q235</f>
        <v>0.64472738218927517</v>
      </c>
      <c r="T231" s="551">
        <f>Q228/M228</f>
        <v>2270.0501468354428</v>
      </c>
      <c r="U231" s="426" t="s">
        <v>535</v>
      </c>
      <c r="AA231" s="195">
        <f>AA230/M228</f>
        <v>0.68354430379746833</v>
      </c>
      <c r="AB231" s="195">
        <f>AB230/M228</f>
        <v>0.31645569620253167</v>
      </c>
    </row>
    <row r="232" spans="1:35" x14ac:dyDescent="0.3">
      <c r="A232" s="251" t="s">
        <v>536</v>
      </c>
      <c r="B232" s="252"/>
      <c r="C232" s="252"/>
      <c r="D232" s="252"/>
      <c r="E232" s="252"/>
      <c r="F232" s="253"/>
      <c r="G232" s="252"/>
      <c r="H232" s="252"/>
      <c r="I232" s="254"/>
      <c r="J232" s="254"/>
      <c r="K232" s="254"/>
      <c r="L232" s="254"/>
      <c r="M232" s="252"/>
      <c r="N232" s="255"/>
      <c r="O232" s="256"/>
      <c r="P232" s="255"/>
      <c r="Q232" s="257">
        <f>W228/4</f>
        <v>168562.23000000004</v>
      </c>
      <c r="R232" s="290"/>
      <c r="S232" s="262">
        <f>Q232/Q235</f>
        <v>0.18798695851706435</v>
      </c>
      <c r="V232" s="263"/>
      <c r="X232" s="99"/>
      <c r="Y232" s="99"/>
      <c r="AA232" s="2265" t="s">
        <v>537</v>
      </c>
      <c r="AB232" s="2265"/>
    </row>
    <row r="233" spans="1:35" x14ac:dyDescent="0.3">
      <c r="A233" s="251" t="s">
        <v>529</v>
      </c>
      <c r="B233" s="252"/>
      <c r="C233" s="252"/>
      <c r="D233" s="252"/>
      <c r="E233" s="252"/>
      <c r="F233" s="253"/>
      <c r="G233" s="252"/>
      <c r="H233" s="252"/>
      <c r="I233" s="254"/>
      <c r="J233" s="254"/>
      <c r="K233" s="254"/>
      <c r="L233" s="254"/>
      <c r="M233" s="252"/>
      <c r="N233" s="255"/>
      <c r="O233" s="256"/>
      <c r="P233" s="255"/>
      <c r="Q233" s="257">
        <f>Z228/4</f>
        <v>150000</v>
      </c>
      <c r="R233" s="290"/>
      <c r="S233" s="262">
        <f>Q233/Q235</f>
        <v>0.16728565929366054</v>
      </c>
      <c r="V233" s="263"/>
    </row>
    <row r="234" spans="1:35" x14ac:dyDescent="0.3">
      <c r="A234" s="251" t="s">
        <v>528</v>
      </c>
      <c r="B234" s="252"/>
      <c r="C234" s="252"/>
      <c r="D234" s="252"/>
      <c r="E234" s="252"/>
      <c r="F234" s="253"/>
      <c r="G234" s="252"/>
      <c r="H234" s="252"/>
      <c r="I234" s="254"/>
      <c r="J234" s="254"/>
      <c r="K234" s="254"/>
      <c r="L234" s="254"/>
      <c r="M234" s="252"/>
      <c r="N234" s="255"/>
      <c r="O234" s="256"/>
      <c r="P234" s="255"/>
      <c r="Q234" s="257">
        <f>X228/4</f>
        <v>0</v>
      </c>
      <c r="R234" s="290"/>
      <c r="S234" s="262"/>
    </row>
    <row r="235" spans="1:35" x14ac:dyDescent="0.3">
      <c r="A235" s="251"/>
      <c r="B235" s="252"/>
      <c r="C235" s="252"/>
      <c r="D235" s="252"/>
      <c r="E235" s="252"/>
      <c r="F235" s="253"/>
      <c r="G235" s="252"/>
      <c r="H235" s="252"/>
      <c r="I235" s="254"/>
      <c r="J235" s="254"/>
      <c r="K235" s="254"/>
      <c r="L235" s="254"/>
      <c r="M235" s="252"/>
      <c r="N235" s="255"/>
      <c r="O235" s="256"/>
      <c r="P235" s="255"/>
      <c r="Q235" s="264">
        <f>SUM(Q230:Q234)</f>
        <v>896669.80799999996</v>
      </c>
      <c r="R235" s="490"/>
      <c r="S235" s="262">
        <f>SUM(S230:S234)</f>
        <v>1</v>
      </c>
      <c r="T235" s="600"/>
    </row>
    <row r="236" spans="1:35" x14ac:dyDescent="0.3">
      <c r="AB236" s="448">
        <f>SUM(AD237:AH237)</f>
        <v>20159546.682700001</v>
      </c>
      <c r="AC236" s="554"/>
      <c r="AD236" s="762" t="s">
        <v>0</v>
      </c>
      <c r="AE236" s="762" t="s">
        <v>1</v>
      </c>
      <c r="AF236" s="762" t="s">
        <v>757</v>
      </c>
      <c r="AG236" s="762" t="s">
        <v>3</v>
      </c>
      <c r="AH236" s="762" t="s">
        <v>110</v>
      </c>
      <c r="AI236" s="554"/>
    </row>
    <row r="237" spans="1:35" ht="18" x14ac:dyDescent="0.35">
      <c r="A237" s="430" t="s">
        <v>569</v>
      </c>
      <c r="B237" s="431"/>
      <c r="C237" s="431"/>
      <c r="D237" s="432"/>
      <c r="E237" s="432"/>
      <c r="F237" s="433"/>
      <c r="G237" s="432"/>
      <c r="H237" s="432"/>
      <c r="I237" s="434"/>
      <c r="J237" s="434"/>
      <c r="K237" s="434"/>
      <c r="L237" s="434"/>
      <c r="M237" s="431"/>
      <c r="N237" s="435"/>
      <c r="O237" s="436"/>
      <c r="P237" s="435"/>
      <c r="Q237" s="435"/>
      <c r="R237" s="436"/>
      <c r="S237" s="763"/>
      <c r="T237" s="437">
        <f>T228+T190+T147+T102+T58</f>
        <v>25579546.682700001</v>
      </c>
      <c r="AB237" s="554" t="s">
        <v>601</v>
      </c>
      <c r="AC237" s="554"/>
      <c r="AD237" s="710">
        <f>AD228+AD190+AD147+AD102+AD58</f>
        <v>12686830.9267</v>
      </c>
      <c r="AE237" s="711">
        <f t="shared" ref="AE237:AH237" si="67">AE228+AE190+AE147+AE102+AE58</f>
        <v>2971385.2560000001</v>
      </c>
      <c r="AF237" s="711">
        <f t="shared" si="67"/>
        <v>2867873.5</v>
      </c>
      <c r="AG237" s="711">
        <f t="shared" si="67"/>
        <v>877457</v>
      </c>
      <c r="AH237" s="712">
        <f t="shared" si="67"/>
        <v>756000</v>
      </c>
      <c r="AI237" s="554"/>
    </row>
    <row r="238" spans="1:35" x14ac:dyDescent="0.3">
      <c r="R238" s="3" t="s">
        <v>571</v>
      </c>
      <c r="S238" s="98" t="s">
        <v>571</v>
      </c>
      <c r="T238" s="764">
        <f>D19-T237</f>
        <v>-105554.3077000007</v>
      </c>
    </row>
    <row r="239" spans="1:35" x14ac:dyDescent="0.3">
      <c r="Q239" s="116"/>
      <c r="R239" s="3"/>
      <c r="S239" s="9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87"/>
  <sheetViews>
    <sheetView topLeftCell="A40" workbookViewId="0">
      <selection activeCell="H54" sqref="H54:H59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17" t="s">
        <v>451</v>
      </c>
      <c r="H1" s="17" t="s">
        <v>1166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386</v>
      </c>
      <c r="C2" t="s">
        <v>389</v>
      </c>
      <c r="D2" t="s">
        <v>390</v>
      </c>
      <c r="E2" s="1" t="s">
        <v>111</v>
      </c>
      <c r="F2" s="1" t="s">
        <v>112</v>
      </c>
      <c r="G2" s="2186">
        <v>1</v>
      </c>
      <c r="H2" s="2186">
        <f>VLOOKUP(G2,Pesos!A:B,2,0)</f>
        <v>0.9</v>
      </c>
      <c r="I2" s="1" t="s">
        <v>305</v>
      </c>
      <c r="J2" s="1"/>
      <c r="K2" s="1">
        <v>130</v>
      </c>
      <c r="L2" s="1">
        <v>200</v>
      </c>
      <c r="M2" s="1">
        <v>150</v>
      </c>
      <c r="N2" s="1" t="s">
        <v>22</v>
      </c>
      <c r="O2" s="1">
        <v>150</v>
      </c>
      <c r="P2" s="1">
        <v>150</v>
      </c>
      <c r="Q2" s="1"/>
      <c r="R2" s="1"/>
      <c r="S2" s="1">
        <v>2</v>
      </c>
      <c r="T2" s="9">
        <v>3429.22</v>
      </c>
      <c r="U2" s="29">
        <v>0.48</v>
      </c>
      <c r="V2" s="25">
        <f>T2*(1-U2)</f>
        <v>1783.1943999999999</v>
      </c>
      <c r="W2" s="25">
        <f>V2*S2*M2</f>
        <v>534958.31999999995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386</v>
      </c>
      <c r="C3" t="s">
        <v>389</v>
      </c>
      <c r="D3" t="s">
        <v>390</v>
      </c>
      <c r="E3" s="1" t="s">
        <v>113</v>
      </c>
      <c r="F3" s="1" t="s">
        <v>112</v>
      </c>
      <c r="G3" s="2186">
        <v>1</v>
      </c>
      <c r="H3" s="2186">
        <f>VLOOKUP(G3,Pesos!A:B,2,0)</f>
        <v>0.9</v>
      </c>
      <c r="J3" s="1" t="s">
        <v>305</v>
      </c>
      <c r="K3" s="1">
        <v>70</v>
      </c>
      <c r="L3" s="1">
        <v>150</v>
      </c>
      <c r="M3" s="1">
        <v>100</v>
      </c>
      <c r="N3" s="1" t="s">
        <v>22</v>
      </c>
      <c r="O3" s="1">
        <v>100</v>
      </c>
      <c r="Q3" s="1">
        <v>100</v>
      </c>
      <c r="S3" s="1">
        <v>2</v>
      </c>
      <c r="T3" s="5">
        <v>6980.9</v>
      </c>
      <c r="U3" s="24">
        <v>0.35</v>
      </c>
      <c r="V3" s="26">
        <f>T3*(1-U3)</f>
        <v>4537.585</v>
      </c>
      <c r="W3" s="26">
        <f>V3*S3*M3</f>
        <v>907517</v>
      </c>
      <c r="X3" s="6"/>
      <c r="Y3" s="22"/>
      <c r="Z3" s="1"/>
    </row>
    <row r="4" spans="1:32" x14ac:dyDescent="0.3">
      <c r="A4" t="s">
        <v>327</v>
      </c>
      <c r="B4" t="s">
        <v>386</v>
      </c>
      <c r="C4" t="s">
        <v>389</v>
      </c>
      <c r="D4" t="s">
        <v>390</v>
      </c>
      <c r="E4" s="1" t="s">
        <v>113</v>
      </c>
      <c r="F4" s="1" t="s">
        <v>114</v>
      </c>
      <c r="G4" s="2186">
        <v>5</v>
      </c>
      <c r="H4" s="2186">
        <f>VLOOKUP(G4,Pesos!A:B,2,0)</f>
        <v>0.5</v>
      </c>
      <c r="J4" s="1" t="s">
        <v>305</v>
      </c>
      <c r="K4" s="1">
        <v>25</v>
      </c>
      <c r="L4" s="1">
        <v>25</v>
      </c>
      <c r="M4" s="1">
        <v>1</v>
      </c>
      <c r="N4" s="1" t="s">
        <v>22</v>
      </c>
      <c r="P4" s="1">
        <v>25</v>
      </c>
      <c r="S4" s="1">
        <v>1</v>
      </c>
      <c r="T4" s="5">
        <v>80709</v>
      </c>
      <c r="U4" s="24">
        <v>0.43</v>
      </c>
      <c r="V4" s="26">
        <f t="shared" ref="V4" si="0">T4*(1-U4)</f>
        <v>46004.130000000005</v>
      </c>
      <c r="W4" s="26">
        <f>V4*S4*M4</f>
        <v>46004.130000000005</v>
      </c>
      <c r="X4" s="6"/>
      <c r="Y4" s="22"/>
      <c r="Z4" s="1"/>
    </row>
    <row r="5" spans="1:32" x14ac:dyDescent="0.3">
      <c r="A5" t="s">
        <v>327</v>
      </c>
      <c r="B5" t="s">
        <v>386</v>
      </c>
      <c r="C5" t="s">
        <v>389</v>
      </c>
      <c r="D5" t="s">
        <v>390</v>
      </c>
      <c r="E5" s="1" t="s">
        <v>111</v>
      </c>
      <c r="F5" s="1" t="s">
        <v>114</v>
      </c>
      <c r="G5" s="2186">
        <v>5</v>
      </c>
      <c r="H5" s="2186">
        <f>VLOOKUP(G5,Pesos!A:B,2,0)</f>
        <v>0.5</v>
      </c>
      <c r="J5" s="1" t="s">
        <v>305</v>
      </c>
      <c r="K5" s="1">
        <v>49</v>
      </c>
      <c r="L5" s="2" t="s">
        <v>115</v>
      </c>
      <c r="M5" s="1">
        <v>1</v>
      </c>
      <c r="N5" s="1" t="s">
        <v>22</v>
      </c>
      <c r="P5" s="1">
        <v>49</v>
      </c>
      <c r="S5" s="1">
        <v>1</v>
      </c>
      <c r="T5" s="5">
        <v>67237.13</v>
      </c>
      <c r="U5" s="24">
        <v>0.43</v>
      </c>
      <c r="V5" s="26">
        <f>T5*(1-U5)</f>
        <v>38325.164100000009</v>
      </c>
      <c r="W5" s="26">
        <f>V5*S5*M5</f>
        <v>38325.164100000009</v>
      </c>
      <c r="X5" s="18"/>
      <c r="Y5" s="22"/>
      <c r="Z5" s="1"/>
    </row>
    <row r="6" spans="1:32" x14ac:dyDescent="0.3">
      <c r="A6" t="s">
        <v>327</v>
      </c>
      <c r="B6" t="s">
        <v>386</v>
      </c>
      <c r="C6" t="s">
        <v>389</v>
      </c>
      <c r="D6" t="s">
        <v>390</v>
      </c>
      <c r="E6" s="1" t="s">
        <v>111</v>
      </c>
      <c r="F6" s="1" t="s">
        <v>116</v>
      </c>
      <c r="G6" s="2186">
        <v>3</v>
      </c>
      <c r="H6" s="2186">
        <f>VLOOKUP(G6,Pesos!A:B,2,0)</f>
        <v>0.7</v>
      </c>
      <c r="I6" s="1" t="s">
        <v>305</v>
      </c>
      <c r="K6" s="1">
        <v>1</v>
      </c>
      <c r="L6" s="2" t="s">
        <v>333</v>
      </c>
      <c r="M6" s="1">
        <v>1</v>
      </c>
      <c r="N6" s="1" t="s">
        <v>117</v>
      </c>
      <c r="O6" s="1">
        <v>1</v>
      </c>
      <c r="S6" s="1">
        <v>1</v>
      </c>
      <c r="T6" s="9">
        <v>368518</v>
      </c>
      <c r="U6" s="29">
        <v>0.43</v>
      </c>
      <c r="V6" s="26">
        <f>T6*(1-U6)</f>
        <v>210055.26</v>
      </c>
      <c r="W6" s="26">
        <f>V6*S6*M6</f>
        <v>210055.26</v>
      </c>
      <c r="X6" s="6"/>
      <c r="Y6" s="22"/>
      <c r="Z6" s="1"/>
    </row>
    <row r="7" spans="1:32" x14ac:dyDescent="0.3">
      <c r="A7" t="s">
        <v>327</v>
      </c>
      <c r="B7" t="s">
        <v>386</v>
      </c>
      <c r="C7" t="s">
        <v>389</v>
      </c>
      <c r="D7" t="s">
        <v>390</v>
      </c>
      <c r="E7" s="1" t="s">
        <v>20</v>
      </c>
      <c r="F7" s="1" t="s">
        <v>118</v>
      </c>
      <c r="G7" s="2186">
        <v>4</v>
      </c>
      <c r="H7" s="2186">
        <f>VLOOKUP(G7,Pesos!A:B,2,0)</f>
        <v>0.6</v>
      </c>
      <c r="I7" s="1" t="s">
        <v>305</v>
      </c>
      <c r="K7" s="1">
        <v>100</v>
      </c>
      <c r="L7" s="2" t="s">
        <v>84</v>
      </c>
      <c r="M7" s="1">
        <v>1</v>
      </c>
      <c r="N7" s="1" t="s">
        <v>22</v>
      </c>
      <c r="P7" s="1">
        <v>100</v>
      </c>
      <c r="Q7" s="1">
        <v>100</v>
      </c>
      <c r="S7" s="1">
        <v>2</v>
      </c>
      <c r="T7" s="9">
        <v>350022</v>
      </c>
      <c r="U7" s="31">
        <v>0.59599999999999997</v>
      </c>
      <c r="V7" s="26">
        <f t="shared" ref="V7:V9" si="1">T7*(1-U7)</f>
        <v>141408.88800000001</v>
      </c>
      <c r="W7" s="26">
        <f t="shared" ref="W7:W9" si="2">V7*S7*M7</f>
        <v>282817.77600000001</v>
      </c>
      <c r="X7" s="6"/>
      <c r="Y7" s="22"/>
      <c r="Z7" s="1"/>
    </row>
    <row r="8" spans="1:32" x14ac:dyDescent="0.3">
      <c r="A8" t="s">
        <v>327</v>
      </c>
      <c r="B8" t="s">
        <v>386</v>
      </c>
      <c r="C8" t="s">
        <v>389</v>
      </c>
      <c r="D8" t="s">
        <v>390</v>
      </c>
      <c r="E8" s="1" t="s">
        <v>20</v>
      </c>
      <c r="F8" s="1" t="s">
        <v>118</v>
      </c>
      <c r="G8" s="2186">
        <v>4</v>
      </c>
      <c r="H8" s="2186">
        <f>VLOOKUP(G8,Pesos!A:B,2,0)</f>
        <v>0.6</v>
      </c>
      <c r="J8" s="1" t="s">
        <v>305</v>
      </c>
      <c r="K8" s="1">
        <v>50</v>
      </c>
      <c r="L8" s="2" t="s">
        <v>303</v>
      </c>
      <c r="M8" s="1">
        <v>1</v>
      </c>
      <c r="N8" s="1" t="s">
        <v>22</v>
      </c>
      <c r="Q8" s="1">
        <v>50</v>
      </c>
      <c r="S8" s="1">
        <v>1</v>
      </c>
      <c r="T8" s="9">
        <v>350658</v>
      </c>
      <c r="U8" s="31">
        <v>0.59599999999999997</v>
      </c>
      <c r="V8" s="26">
        <f t="shared" si="1"/>
        <v>141665.83199999999</v>
      </c>
      <c r="W8" s="26">
        <f t="shared" si="2"/>
        <v>141665.83199999999</v>
      </c>
      <c r="X8" s="6"/>
      <c r="Y8" s="22"/>
      <c r="Z8" s="1"/>
    </row>
    <row r="9" spans="1:32" x14ac:dyDescent="0.3">
      <c r="A9" t="s">
        <v>327</v>
      </c>
      <c r="B9" t="s">
        <v>386</v>
      </c>
      <c r="C9" t="s">
        <v>389</v>
      </c>
      <c r="D9" t="s">
        <v>390</v>
      </c>
      <c r="E9" s="1" t="s">
        <v>119</v>
      </c>
      <c r="F9" s="1" t="s">
        <v>121</v>
      </c>
      <c r="G9" s="2186">
        <v>2</v>
      </c>
      <c r="H9" s="2186">
        <f>VLOOKUP(G9,Pesos!A:B,2,0)</f>
        <v>0.8</v>
      </c>
      <c r="I9" s="1" t="s">
        <v>305</v>
      </c>
      <c r="K9" s="1">
        <v>2</v>
      </c>
      <c r="L9" s="2" t="s">
        <v>346</v>
      </c>
      <c r="M9" s="1">
        <v>3</v>
      </c>
      <c r="N9" s="1" t="s">
        <v>24</v>
      </c>
      <c r="O9" s="1">
        <v>3</v>
      </c>
      <c r="S9" s="1">
        <v>1</v>
      </c>
      <c r="T9" s="9">
        <v>250000</v>
      </c>
      <c r="U9" s="29">
        <v>0.48</v>
      </c>
      <c r="V9" s="26">
        <f t="shared" si="1"/>
        <v>130000</v>
      </c>
      <c r="W9" s="26">
        <f t="shared" si="2"/>
        <v>390000</v>
      </c>
      <c r="X9" s="6"/>
      <c r="Y9" s="22"/>
      <c r="Z9" s="1"/>
    </row>
    <row r="10" spans="1:32" x14ac:dyDescent="0.3">
      <c r="A10" t="s">
        <v>327</v>
      </c>
      <c r="B10" t="s">
        <v>386</v>
      </c>
      <c r="C10" t="s">
        <v>389</v>
      </c>
      <c r="D10" t="s">
        <v>390</v>
      </c>
      <c r="E10" s="1" t="s">
        <v>122</v>
      </c>
      <c r="F10" s="1" t="s">
        <v>123</v>
      </c>
      <c r="G10" s="2186">
        <v>7</v>
      </c>
      <c r="H10" s="2186">
        <f>VLOOKUP(G10,Pesos!A:B,2,0)</f>
        <v>0.3</v>
      </c>
      <c r="J10" s="1" t="s">
        <v>305</v>
      </c>
      <c r="K10" s="1">
        <v>70</v>
      </c>
      <c r="L10" s="2" t="s">
        <v>124</v>
      </c>
      <c r="M10" s="1">
        <v>1</v>
      </c>
      <c r="N10" s="1" t="s">
        <v>22</v>
      </c>
      <c r="O10" s="1">
        <v>70</v>
      </c>
      <c r="S10" s="1">
        <v>1</v>
      </c>
      <c r="T10" s="9">
        <v>264920</v>
      </c>
      <c r="U10" s="29">
        <v>0.65</v>
      </c>
      <c r="V10" s="26">
        <f t="shared" ref="V10" si="3">T10*(1-U10)</f>
        <v>92722</v>
      </c>
      <c r="W10" s="26">
        <f t="shared" ref="W10" si="4">V10*S10*M10</f>
        <v>92722</v>
      </c>
      <c r="X10" s="6"/>
      <c r="Y10" s="22"/>
      <c r="Z10" s="1"/>
    </row>
    <row r="11" spans="1:32" x14ac:dyDescent="0.3">
      <c r="A11" t="s">
        <v>327</v>
      </c>
      <c r="B11" t="s">
        <v>386</v>
      </c>
      <c r="C11" t="s">
        <v>389</v>
      </c>
      <c r="D11" t="s">
        <v>390</v>
      </c>
      <c r="E11" s="1" t="s">
        <v>122</v>
      </c>
      <c r="F11" s="1" t="s">
        <v>125</v>
      </c>
      <c r="G11" s="2186">
        <v>9</v>
      </c>
      <c r="H11" s="2186">
        <f>VLOOKUP(G11,Pesos!A:B,2,0)</f>
        <v>0.1</v>
      </c>
      <c r="J11" s="1" t="s">
        <v>305</v>
      </c>
      <c r="K11" s="1">
        <v>28</v>
      </c>
      <c r="L11" s="2" t="s">
        <v>126</v>
      </c>
      <c r="M11" s="1">
        <v>1</v>
      </c>
      <c r="N11" s="1" t="s">
        <v>22</v>
      </c>
      <c r="Q11" s="1">
        <v>28</v>
      </c>
      <c r="R11" s="1">
        <v>28</v>
      </c>
      <c r="S11" s="1">
        <v>2</v>
      </c>
      <c r="T11" s="9">
        <v>38500</v>
      </c>
      <c r="U11" s="29">
        <v>0.65</v>
      </c>
      <c r="V11" s="26">
        <f t="shared" ref="V11:V17" si="5">T11*(1-U11)</f>
        <v>13475</v>
      </c>
      <c r="W11" s="26">
        <f t="shared" ref="W11:W17" si="6">V11*S11*M11</f>
        <v>26950</v>
      </c>
      <c r="X11" s="6"/>
      <c r="Y11" s="22"/>
      <c r="Z11" s="1"/>
    </row>
    <row r="12" spans="1:32" x14ac:dyDescent="0.3">
      <c r="A12" t="s">
        <v>327</v>
      </c>
      <c r="B12" t="s">
        <v>386</v>
      </c>
      <c r="C12" t="s">
        <v>389</v>
      </c>
      <c r="D12" t="s">
        <v>390</v>
      </c>
      <c r="E12" s="1" t="s">
        <v>122</v>
      </c>
      <c r="F12" s="1" t="s">
        <v>127</v>
      </c>
      <c r="G12" s="2186">
        <v>8</v>
      </c>
      <c r="H12" s="2186">
        <f>VLOOKUP(G12,Pesos!A:B,2,0)</f>
        <v>0.2</v>
      </c>
      <c r="J12" s="1" t="s">
        <v>305</v>
      </c>
      <c r="K12" s="1">
        <v>40</v>
      </c>
      <c r="L12" s="2" t="s">
        <v>128</v>
      </c>
      <c r="M12" s="1">
        <v>1</v>
      </c>
      <c r="N12" s="1" t="s">
        <v>22</v>
      </c>
      <c r="P12" s="1">
        <v>40</v>
      </c>
      <c r="S12" s="1">
        <v>1</v>
      </c>
      <c r="T12" s="9">
        <v>216000</v>
      </c>
      <c r="U12" s="29">
        <v>0.65</v>
      </c>
      <c r="V12" s="26">
        <f t="shared" si="5"/>
        <v>75600</v>
      </c>
      <c r="W12" s="26">
        <f t="shared" si="6"/>
        <v>75600</v>
      </c>
      <c r="X12" s="6"/>
      <c r="Y12" s="22"/>
      <c r="Z12" s="1"/>
    </row>
    <row r="13" spans="1:32" x14ac:dyDescent="0.3">
      <c r="A13" t="s">
        <v>327</v>
      </c>
      <c r="B13" t="s">
        <v>386</v>
      </c>
      <c r="C13" t="s">
        <v>389</v>
      </c>
      <c r="D13" t="s">
        <v>390</v>
      </c>
      <c r="E13" s="1" t="s">
        <v>110</v>
      </c>
      <c r="F13" s="1" t="s">
        <v>129</v>
      </c>
      <c r="G13" s="2186">
        <v>6</v>
      </c>
      <c r="H13" s="2186">
        <f>VLOOKUP(G13,Pesos!A:B,2,0)</f>
        <v>0.4</v>
      </c>
      <c r="J13" s="1" t="s">
        <v>305</v>
      </c>
      <c r="K13" s="1">
        <v>70</v>
      </c>
      <c r="L13" s="2" t="s">
        <v>391</v>
      </c>
      <c r="M13" s="1">
        <v>100</v>
      </c>
      <c r="N13" s="1" t="s">
        <v>22</v>
      </c>
      <c r="Q13" s="1">
        <v>100</v>
      </c>
      <c r="R13" s="1">
        <v>100</v>
      </c>
      <c r="S13" s="1">
        <v>2</v>
      </c>
      <c r="T13" s="9">
        <v>2520</v>
      </c>
      <c r="U13" s="29">
        <v>0.75</v>
      </c>
      <c r="V13" s="26">
        <f t="shared" si="5"/>
        <v>630</v>
      </c>
      <c r="W13" s="26">
        <f t="shared" si="6"/>
        <v>126000</v>
      </c>
      <c r="X13" s="6"/>
      <c r="Y13" s="22"/>
      <c r="Z13" s="1"/>
    </row>
    <row r="14" spans="1:32" x14ac:dyDescent="0.3">
      <c r="G14" s="2186"/>
      <c r="H14" s="2186"/>
      <c r="L14" s="2"/>
      <c r="M14" s="1"/>
      <c r="T14" s="5"/>
      <c r="U14" s="24"/>
      <c r="V14" s="26"/>
      <c r="W14" s="26"/>
      <c r="X14" s="6"/>
      <c r="Y14" s="22"/>
      <c r="Z14" s="1"/>
    </row>
    <row r="15" spans="1:32" x14ac:dyDescent="0.3">
      <c r="A15" t="s">
        <v>340</v>
      </c>
      <c r="B15" t="s">
        <v>386</v>
      </c>
      <c r="C15" t="s">
        <v>389</v>
      </c>
      <c r="D15" t="s">
        <v>390</v>
      </c>
      <c r="E15" s="1" t="s">
        <v>111</v>
      </c>
      <c r="F15" s="1" t="s">
        <v>112</v>
      </c>
      <c r="G15" s="2186">
        <v>1</v>
      </c>
      <c r="H15" s="2186">
        <f>VLOOKUP(G15,Pesos!A:B,2,0)</f>
        <v>0.9</v>
      </c>
      <c r="I15" s="1" t="s">
        <v>305</v>
      </c>
      <c r="K15" s="1">
        <v>130</v>
      </c>
      <c r="L15" s="1">
        <v>200</v>
      </c>
      <c r="M15" s="1">
        <v>150</v>
      </c>
      <c r="N15" s="1" t="s">
        <v>22</v>
      </c>
      <c r="O15" s="1">
        <v>150</v>
      </c>
      <c r="P15" s="1">
        <v>150</v>
      </c>
      <c r="S15" s="1">
        <v>2</v>
      </c>
      <c r="T15" s="9">
        <v>3429.22</v>
      </c>
      <c r="U15" s="29">
        <v>0.48</v>
      </c>
      <c r="V15" s="26">
        <f t="shared" si="5"/>
        <v>1783.1943999999999</v>
      </c>
      <c r="W15" s="26">
        <f t="shared" si="6"/>
        <v>534958.31999999995</v>
      </c>
      <c r="X15" s="6"/>
      <c r="Y15" s="22"/>
      <c r="Z15" s="1"/>
    </row>
    <row r="16" spans="1:32" x14ac:dyDescent="0.3">
      <c r="A16" t="s">
        <v>340</v>
      </c>
      <c r="B16" t="s">
        <v>386</v>
      </c>
      <c r="C16" t="s">
        <v>389</v>
      </c>
      <c r="D16" t="s">
        <v>390</v>
      </c>
      <c r="E16" s="1" t="s">
        <v>113</v>
      </c>
      <c r="F16" s="1" t="s">
        <v>112</v>
      </c>
      <c r="G16" s="2186">
        <v>1</v>
      </c>
      <c r="H16" s="2186">
        <f>VLOOKUP(G16,Pesos!A:B,2,0)</f>
        <v>0.9</v>
      </c>
      <c r="J16" s="1" t="s">
        <v>305</v>
      </c>
      <c r="K16" s="1">
        <v>70</v>
      </c>
      <c r="L16" s="1">
        <v>150</v>
      </c>
      <c r="M16" s="1">
        <v>100</v>
      </c>
      <c r="N16" s="1" t="s">
        <v>22</v>
      </c>
      <c r="O16" s="1">
        <v>100</v>
      </c>
      <c r="Q16" s="1">
        <v>100</v>
      </c>
      <c r="S16" s="1">
        <v>2</v>
      </c>
      <c r="T16" s="5">
        <v>6980.9</v>
      </c>
      <c r="U16" s="24">
        <v>0.35</v>
      </c>
      <c r="V16" s="26">
        <f t="shared" si="5"/>
        <v>4537.585</v>
      </c>
      <c r="W16" s="26">
        <f t="shared" si="6"/>
        <v>907517</v>
      </c>
      <c r="X16" s="6"/>
      <c r="Y16" s="22"/>
      <c r="Z16" s="1"/>
    </row>
    <row r="17" spans="1:30" x14ac:dyDescent="0.3">
      <c r="A17" t="s">
        <v>340</v>
      </c>
      <c r="B17" t="s">
        <v>386</v>
      </c>
      <c r="C17" t="s">
        <v>389</v>
      </c>
      <c r="D17" t="s">
        <v>390</v>
      </c>
      <c r="E17" s="1" t="s">
        <v>113</v>
      </c>
      <c r="F17" s="1" t="s">
        <v>114</v>
      </c>
      <c r="G17" s="2186">
        <v>2</v>
      </c>
      <c r="H17" s="2186">
        <f>VLOOKUP(G17,Pesos!A:B,2,0)</f>
        <v>0.8</v>
      </c>
      <c r="J17" s="1" t="s">
        <v>305</v>
      </c>
      <c r="K17" s="1">
        <v>25</v>
      </c>
      <c r="L17" s="1">
        <v>25</v>
      </c>
      <c r="M17" s="1">
        <v>1</v>
      </c>
      <c r="N17" s="1" t="s">
        <v>22</v>
      </c>
      <c r="P17" s="1">
        <v>25</v>
      </c>
      <c r="S17" s="1">
        <v>1</v>
      </c>
      <c r="T17" s="5">
        <v>80709</v>
      </c>
      <c r="U17" s="24">
        <v>0.43</v>
      </c>
      <c r="V17" s="26">
        <f t="shared" si="5"/>
        <v>46004.130000000005</v>
      </c>
      <c r="W17" s="26">
        <f t="shared" si="6"/>
        <v>46004.130000000005</v>
      </c>
      <c r="X17" s="6"/>
      <c r="Y17" s="22"/>
      <c r="Z17" s="1"/>
    </row>
    <row r="18" spans="1:30" x14ac:dyDescent="0.3">
      <c r="A18" t="s">
        <v>340</v>
      </c>
      <c r="B18" t="s">
        <v>386</v>
      </c>
      <c r="C18" t="s">
        <v>389</v>
      </c>
      <c r="D18" t="s">
        <v>390</v>
      </c>
      <c r="E18" s="1" t="s">
        <v>111</v>
      </c>
      <c r="F18" s="1" t="s">
        <v>114</v>
      </c>
      <c r="G18" s="2186">
        <v>2</v>
      </c>
      <c r="H18" s="2186">
        <f>VLOOKUP(G18,Pesos!A:B,2,0)</f>
        <v>0.8</v>
      </c>
      <c r="J18" s="1" t="s">
        <v>305</v>
      </c>
      <c r="K18" s="1">
        <v>49</v>
      </c>
      <c r="L18" s="1">
        <v>49</v>
      </c>
      <c r="M18" s="1">
        <v>1</v>
      </c>
      <c r="N18" s="1" t="s">
        <v>22</v>
      </c>
      <c r="P18" s="1">
        <v>49</v>
      </c>
      <c r="S18" s="1">
        <v>1</v>
      </c>
      <c r="T18" s="5">
        <v>67237.13</v>
      </c>
      <c r="U18" s="24">
        <v>0.43</v>
      </c>
      <c r="V18" s="26">
        <f t="shared" ref="V18:V28" si="7">T18*(1-U18)</f>
        <v>38325.164100000009</v>
      </c>
      <c r="W18" s="26">
        <f t="shared" ref="W18:W28" si="8">V18*S18*M18</f>
        <v>38325.164100000009</v>
      </c>
      <c r="X18" s="6"/>
      <c r="Y18" s="22"/>
      <c r="Z18" s="1"/>
    </row>
    <row r="19" spans="1:30" x14ac:dyDescent="0.3">
      <c r="A19" t="s">
        <v>340</v>
      </c>
      <c r="B19" t="s">
        <v>386</v>
      </c>
      <c r="C19" t="s">
        <v>389</v>
      </c>
      <c r="D19" t="s">
        <v>390</v>
      </c>
      <c r="E19" s="1" t="s">
        <v>111</v>
      </c>
      <c r="F19" s="1" t="s">
        <v>114</v>
      </c>
      <c r="G19" s="2186">
        <v>2</v>
      </c>
      <c r="H19" s="2186">
        <f>VLOOKUP(G19,Pesos!A:B,2,0)</f>
        <v>0.8</v>
      </c>
      <c r="J19" s="1" t="s">
        <v>305</v>
      </c>
      <c r="K19" s="1">
        <v>1</v>
      </c>
      <c r="L19" s="1">
        <v>1</v>
      </c>
      <c r="M19" s="1">
        <v>1</v>
      </c>
      <c r="N19" s="1" t="s">
        <v>22</v>
      </c>
      <c r="O19" s="1">
        <v>24</v>
      </c>
      <c r="S19" s="1">
        <v>1</v>
      </c>
      <c r="T19" s="9">
        <v>80709.05</v>
      </c>
      <c r="U19" s="24">
        <v>0.43</v>
      </c>
      <c r="V19" s="26">
        <f t="shared" si="7"/>
        <v>46004.158500000005</v>
      </c>
      <c r="W19" s="26">
        <f t="shared" si="8"/>
        <v>46004.158500000005</v>
      </c>
      <c r="X19" s="6"/>
      <c r="Y19" s="22"/>
      <c r="Z19" s="1"/>
    </row>
    <row r="20" spans="1:30" x14ac:dyDescent="0.3">
      <c r="A20" t="s">
        <v>340</v>
      </c>
      <c r="B20" t="s">
        <v>386</v>
      </c>
      <c r="C20" t="s">
        <v>389</v>
      </c>
      <c r="D20" t="s">
        <v>390</v>
      </c>
      <c r="E20" s="1" t="s">
        <v>111</v>
      </c>
      <c r="F20" s="1" t="s">
        <v>114</v>
      </c>
      <c r="G20" s="2186">
        <v>2</v>
      </c>
      <c r="H20" s="2186">
        <f>VLOOKUP(G20,Pesos!A:B,2,0)</f>
        <v>0.8</v>
      </c>
      <c r="J20" s="1" t="s">
        <v>305</v>
      </c>
      <c r="K20" s="1">
        <v>1</v>
      </c>
      <c r="L20" s="1">
        <v>1</v>
      </c>
      <c r="M20" s="1">
        <v>1</v>
      </c>
      <c r="N20" s="1" t="s">
        <v>22</v>
      </c>
      <c r="Q20" s="1">
        <v>80</v>
      </c>
      <c r="S20" s="1">
        <v>1</v>
      </c>
      <c r="T20" s="9">
        <v>180774.55</v>
      </c>
      <c r="U20" s="29">
        <v>0.43</v>
      </c>
      <c r="V20" s="26">
        <f t="shared" si="7"/>
        <v>103041.49350000001</v>
      </c>
      <c r="W20" s="26">
        <f t="shared" si="8"/>
        <v>103041.49350000001</v>
      </c>
      <c r="X20" s="6"/>
      <c r="Y20" s="22"/>
      <c r="Z20" s="1"/>
    </row>
    <row r="21" spans="1:30" x14ac:dyDescent="0.3">
      <c r="A21" t="s">
        <v>340</v>
      </c>
      <c r="B21" t="s">
        <v>386</v>
      </c>
      <c r="C21" t="s">
        <v>389</v>
      </c>
      <c r="D21" t="s">
        <v>390</v>
      </c>
      <c r="E21" s="1" t="s">
        <v>130</v>
      </c>
      <c r="F21" s="1" t="s">
        <v>131</v>
      </c>
      <c r="G21" s="2186">
        <v>5</v>
      </c>
      <c r="H21" s="2186">
        <f>VLOOKUP(G21,Pesos!A:B,2,0)</f>
        <v>0.5</v>
      </c>
      <c r="I21" s="1" t="s">
        <v>305</v>
      </c>
      <c r="K21" s="1">
        <v>90</v>
      </c>
      <c r="L21" s="1">
        <v>200</v>
      </c>
      <c r="M21" s="1">
        <v>90</v>
      </c>
      <c r="N21" s="1" t="s">
        <v>24</v>
      </c>
      <c r="O21" s="1">
        <v>90</v>
      </c>
      <c r="S21" s="1">
        <v>1</v>
      </c>
      <c r="T21" s="9">
        <v>10299</v>
      </c>
      <c r="U21" s="29">
        <v>0.83</v>
      </c>
      <c r="V21" s="26">
        <f t="shared" si="7"/>
        <v>1750.8300000000004</v>
      </c>
      <c r="W21" s="26">
        <f t="shared" si="8"/>
        <v>157574.70000000004</v>
      </c>
      <c r="X21" s="6"/>
      <c r="Y21" s="22"/>
      <c r="Z21" s="1"/>
    </row>
    <row r="22" spans="1:30" x14ac:dyDescent="0.3">
      <c r="A22" t="s">
        <v>340</v>
      </c>
      <c r="B22" t="s">
        <v>386</v>
      </c>
      <c r="C22" t="s">
        <v>389</v>
      </c>
      <c r="D22" t="s">
        <v>390</v>
      </c>
      <c r="E22" s="1" t="s">
        <v>132</v>
      </c>
      <c r="F22" s="1" t="s">
        <v>120</v>
      </c>
      <c r="G22" s="2186">
        <v>6</v>
      </c>
      <c r="H22" s="2186">
        <f>VLOOKUP(G22,Pesos!A:B,2,0)</f>
        <v>0.4</v>
      </c>
      <c r="I22" s="1" t="s">
        <v>305</v>
      </c>
      <c r="K22" s="1">
        <v>2</v>
      </c>
      <c r="L22" s="1">
        <v>4</v>
      </c>
      <c r="M22" s="1">
        <v>2</v>
      </c>
      <c r="N22" s="1" t="s">
        <v>24</v>
      </c>
      <c r="O22" s="1">
        <v>2</v>
      </c>
      <c r="S22" s="1">
        <v>1</v>
      </c>
      <c r="T22" s="9">
        <v>250000</v>
      </c>
      <c r="U22" s="29">
        <v>0.48</v>
      </c>
      <c r="V22" s="26">
        <f t="shared" si="7"/>
        <v>130000</v>
      </c>
      <c r="W22" s="26">
        <f t="shared" si="8"/>
        <v>260000</v>
      </c>
      <c r="X22" s="6"/>
      <c r="Y22" s="22"/>
      <c r="Z22" s="1"/>
    </row>
    <row r="23" spans="1:30" x14ac:dyDescent="0.3">
      <c r="A23" t="s">
        <v>340</v>
      </c>
      <c r="B23" t="s">
        <v>386</v>
      </c>
      <c r="C23" t="s">
        <v>389</v>
      </c>
      <c r="D23" t="s">
        <v>390</v>
      </c>
      <c r="E23" s="1" t="s">
        <v>20</v>
      </c>
      <c r="F23" s="1" t="s">
        <v>118</v>
      </c>
      <c r="G23" s="2186">
        <v>3</v>
      </c>
      <c r="H23" s="2186">
        <f>VLOOKUP(G23,Pesos!A:B,2,0)</f>
        <v>0.7</v>
      </c>
      <c r="I23" s="1" t="s">
        <v>305</v>
      </c>
      <c r="K23" s="1">
        <v>100</v>
      </c>
      <c r="L23" s="1">
        <v>200</v>
      </c>
      <c r="M23" s="1">
        <v>1</v>
      </c>
      <c r="N23" s="1" t="s">
        <v>22</v>
      </c>
      <c r="P23" s="1">
        <v>100</v>
      </c>
      <c r="Q23" s="1">
        <v>100</v>
      </c>
      <c r="S23" s="1">
        <v>2</v>
      </c>
      <c r="T23" s="9">
        <v>350022</v>
      </c>
      <c r="U23" s="31">
        <v>0.59599999999999997</v>
      </c>
      <c r="V23" s="26">
        <f t="shared" si="7"/>
        <v>141408.88800000001</v>
      </c>
      <c r="W23" s="26">
        <f t="shared" si="8"/>
        <v>282817.77600000001</v>
      </c>
      <c r="X23" s="6"/>
      <c r="Y23" s="22"/>
      <c r="Z23" s="1"/>
    </row>
    <row r="24" spans="1:30" x14ac:dyDescent="0.3">
      <c r="A24" t="s">
        <v>340</v>
      </c>
      <c r="B24" t="s">
        <v>386</v>
      </c>
      <c r="C24" t="s">
        <v>389</v>
      </c>
      <c r="D24" t="s">
        <v>390</v>
      </c>
      <c r="E24" s="1" t="s">
        <v>20</v>
      </c>
      <c r="F24" s="1" t="s">
        <v>118</v>
      </c>
      <c r="G24" s="2186">
        <v>3</v>
      </c>
      <c r="H24" s="2186">
        <f>VLOOKUP(G24,Pesos!A:B,2,0)</f>
        <v>0.7</v>
      </c>
      <c r="J24" s="1" t="s">
        <v>305</v>
      </c>
      <c r="K24" s="1">
        <v>50</v>
      </c>
      <c r="L24" s="1">
        <v>100</v>
      </c>
      <c r="M24" s="1">
        <v>1</v>
      </c>
      <c r="N24" s="1" t="s">
        <v>22</v>
      </c>
      <c r="Q24" s="1">
        <v>50</v>
      </c>
      <c r="S24" s="1">
        <v>1</v>
      </c>
      <c r="T24" s="9">
        <v>350658</v>
      </c>
      <c r="U24" s="31">
        <v>0.59599999999999997</v>
      </c>
      <c r="V24" s="26">
        <f t="shared" si="7"/>
        <v>141665.83199999999</v>
      </c>
      <c r="W24" s="26">
        <f t="shared" si="8"/>
        <v>141665.83199999999</v>
      </c>
      <c r="X24" s="6"/>
      <c r="Y24" s="22"/>
      <c r="Z24" s="1"/>
    </row>
    <row r="25" spans="1:30" x14ac:dyDescent="0.3">
      <c r="A25" t="s">
        <v>340</v>
      </c>
      <c r="B25" t="s">
        <v>386</v>
      </c>
      <c r="C25" t="s">
        <v>389</v>
      </c>
      <c r="D25" t="s">
        <v>390</v>
      </c>
      <c r="E25" s="1" t="s">
        <v>122</v>
      </c>
      <c r="F25" s="1" t="s">
        <v>123</v>
      </c>
      <c r="G25" s="2186">
        <v>7</v>
      </c>
      <c r="H25" s="2186">
        <f>VLOOKUP(G25,Pesos!A:B,2,0)</f>
        <v>0.3</v>
      </c>
      <c r="J25" s="1" t="s">
        <v>305</v>
      </c>
      <c r="K25" s="1">
        <v>70</v>
      </c>
      <c r="L25" s="1">
        <v>70</v>
      </c>
      <c r="M25" s="1">
        <v>1</v>
      </c>
      <c r="N25" s="1" t="s">
        <v>22</v>
      </c>
      <c r="O25" s="1">
        <v>70</v>
      </c>
      <c r="S25" s="1">
        <v>1</v>
      </c>
      <c r="T25" s="9">
        <v>264920</v>
      </c>
      <c r="U25" s="29">
        <v>0.65</v>
      </c>
      <c r="V25" s="26">
        <f t="shared" si="7"/>
        <v>92722</v>
      </c>
      <c r="W25" s="26">
        <f t="shared" si="8"/>
        <v>92722</v>
      </c>
      <c r="X25" s="6"/>
      <c r="Y25" s="22"/>
      <c r="Z25" s="1"/>
    </row>
    <row r="26" spans="1:30" x14ac:dyDescent="0.3">
      <c r="A26" t="s">
        <v>340</v>
      </c>
      <c r="B26" t="s">
        <v>386</v>
      </c>
      <c r="C26" t="s">
        <v>389</v>
      </c>
      <c r="D26" t="s">
        <v>390</v>
      </c>
      <c r="E26" s="1" t="s">
        <v>122</v>
      </c>
      <c r="F26" s="1" t="s">
        <v>125</v>
      </c>
      <c r="G26" s="2186">
        <v>9</v>
      </c>
      <c r="H26" s="2186">
        <f>VLOOKUP(G26,Pesos!A:B,2,0)</f>
        <v>0.1</v>
      </c>
      <c r="J26" s="1" t="s">
        <v>305</v>
      </c>
      <c r="K26" s="1">
        <v>28</v>
      </c>
      <c r="L26" s="1">
        <v>28</v>
      </c>
      <c r="M26" s="1">
        <v>1</v>
      </c>
      <c r="N26" s="1" t="s">
        <v>22</v>
      </c>
      <c r="Q26" s="1">
        <v>28</v>
      </c>
      <c r="R26" s="1">
        <v>28</v>
      </c>
      <c r="S26" s="1">
        <v>2</v>
      </c>
      <c r="T26" s="9">
        <v>38500</v>
      </c>
      <c r="U26" s="29">
        <v>0.65</v>
      </c>
      <c r="V26" s="26">
        <f t="shared" si="7"/>
        <v>13475</v>
      </c>
      <c r="W26" s="26">
        <f t="shared" si="8"/>
        <v>26950</v>
      </c>
      <c r="X26" s="6"/>
      <c r="Y26" s="22"/>
      <c r="Z26" s="1"/>
    </row>
    <row r="27" spans="1:30" x14ac:dyDescent="0.3">
      <c r="A27" t="s">
        <v>340</v>
      </c>
      <c r="B27" t="s">
        <v>386</v>
      </c>
      <c r="C27" t="s">
        <v>389</v>
      </c>
      <c r="D27" t="s">
        <v>390</v>
      </c>
      <c r="E27" s="1" t="s">
        <v>122</v>
      </c>
      <c r="F27" s="1" t="s">
        <v>127</v>
      </c>
      <c r="G27" s="2186">
        <v>8</v>
      </c>
      <c r="H27" s="2186">
        <f>VLOOKUP(G27,Pesos!A:B,2,0)</f>
        <v>0.2</v>
      </c>
      <c r="J27" s="1" t="s">
        <v>305</v>
      </c>
      <c r="K27" s="1">
        <v>40</v>
      </c>
      <c r="L27" s="1">
        <v>40</v>
      </c>
      <c r="M27" s="1">
        <v>1</v>
      </c>
      <c r="N27" s="1" t="s">
        <v>22</v>
      </c>
      <c r="P27" s="1">
        <v>40</v>
      </c>
      <c r="S27" s="1">
        <v>1</v>
      </c>
      <c r="T27" s="9">
        <v>216000</v>
      </c>
      <c r="U27" s="29">
        <v>0.65</v>
      </c>
      <c r="V27" s="26">
        <f t="shared" si="7"/>
        <v>75600</v>
      </c>
      <c r="W27" s="26">
        <f t="shared" si="8"/>
        <v>75600</v>
      </c>
      <c r="X27" s="6"/>
      <c r="Y27" s="22"/>
      <c r="Z27" s="1"/>
    </row>
    <row r="28" spans="1:30" x14ac:dyDescent="0.3">
      <c r="A28" t="s">
        <v>340</v>
      </c>
      <c r="B28" t="s">
        <v>386</v>
      </c>
      <c r="C28" t="s">
        <v>389</v>
      </c>
      <c r="D28" t="s">
        <v>390</v>
      </c>
      <c r="E28" s="1" t="s">
        <v>110</v>
      </c>
      <c r="F28" s="1" t="s">
        <v>129</v>
      </c>
      <c r="G28" s="2186">
        <v>4</v>
      </c>
      <c r="H28" s="2186">
        <f>VLOOKUP(G28,Pesos!A:B,2,0)</f>
        <v>0.6</v>
      </c>
      <c r="J28" s="1" t="s">
        <v>305</v>
      </c>
      <c r="K28" s="1">
        <v>70</v>
      </c>
      <c r="L28" s="1">
        <v>150</v>
      </c>
      <c r="M28" s="1">
        <v>100</v>
      </c>
      <c r="N28" s="1" t="s">
        <v>22</v>
      </c>
      <c r="Q28" s="1">
        <v>100</v>
      </c>
      <c r="R28" s="1">
        <v>100</v>
      </c>
      <c r="S28" s="1">
        <v>2</v>
      </c>
      <c r="T28" s="9">
        <v>2520</v>
      </c>
      <c r="U28" s="29">
        <v>0.75</v>
      </c>
      <c r="V28" s="26">
        <f t="shared" si="7"/>
        <v>630</v>
      </c>
      <c r="W28" s="26">
        <f t="shared" si="8"/>
        <v>126000</v>
      </c>
      <c r="X28" s="6"/>
      <c r="Y28" s="22"/>
      <c r="Z28" s="1"/>
    </row>
    <row r="29" spans="1:30" x14ac:dyDescent="0.3">
      <c r="G29" s="2186"/>
      <c r="H29" s="2186"/>
      <c r="L29" s="2"/>
      <c r="M29" s="1"/>
      <c r="T29" s="9"/>
      <c r="U29" s="29"/>
      <c r="V29" s="26"/>
      <c r="W29" s="26"/>
      <c r="X29" s="6"/>
      <c r="Y29" s="22"/>
      <c r="Z29" s="1"/>
    </row>
    <row r="30" spans="1:30" x14ac:dyDescent="0.3">
      <c r="A30" t="s">
        <v>342</v>
      </c>
      <c r="B30" t="s">
        <v>386</v>
      </c>
      <c r="C30" t="s">
        <v>389</v>
      </c>
      <c r="D30" t="s">
        <v>390</v>
      </c>
      <c r="E30" s="1" t="s">
        <v>111</v>
      </c>
      <c r="F30" s="1" t="s">
        <v>112</v>
      </c>
      <c r="G30" s="2186">
        <v>1</v>
      </c>
      <c r="H30" s="2186">
        <f>VLOOKUP(G30,Pesos!A:B,2,0)</f>
        <v>0.9</v>
      </c>
      <c r="I30" s="1" t="s">
        <v>305</v>
      </c>
      <c r="K30" s="1">
        <v>100</v>
      </c>
      <c r="L30" s="1">
        <v>150</v>
      </c>
      <c r="M30" s="1">
        <v>120</v>
      </c>
      <c r="N30" s="1" t="s">
        <v>22</v>
      </c>
      <c r="O30" s="1">
        <v>120</v>
      </c>
      <c r="P30" s="1">
        <v>120</v>
      </c>
      <c r="S30" s="1">
        <v>2</v>
      </c>
      <c r="T30" s="9">
        <v>3429.22</v>
      </c>
      <c r="U30" s="29">
        <v>0.48</v>
      </c>
      <c r="V30" s="25">
        <f>T30*(1-U30)</f>
        <v>1783.1943999999999</v>
      </c>
      <c r="W30" s="25">
        <f>V30*S30*M30</f>
        <v>427966.65599999996</v>
      </c>
      <c r="X30" s="18"/>
    </row>
    <row r="31" spans="1:30" x14ac:dyDescent="0.3">
      <c r="A31" t="s">
        <v>342</v>
      </c>
      <c r="B31" t="s">
        <v>386</v>
      </c>
      <c r="C31" t="s">
        <v>389</v>
      </c>
      <c r="D31" t="s">
        <v>390</v>
      </c>
      <c r="E31" s="1" t="s">
        <v>113</v>
      </c>
      <c r="F31" s="1" t="s">
        <v>112</v>
      </c>
      <c r="G31" s="2186">
        <v>1</v>
      </c>
      <c r="H31" s="2186">
        <f>VLOOKUP(G31,Pesos!A:B,2,0)</f>
        <v>0.9</v>
      </c>
      <c r="I31" s="8"/>
      <c r="J31" s="1" t="s">
        <v>305</v>
      </c>
      <c r="K31" s="1">
        <v>50</v>
      </c>
      <c r="L31" s="1">
        <v>110</v>
      </c>
      <c r="M31" s="1">
        <v>80</v>
      </c>
      <c r="N31" s="1" t="s">
        <v>22</v>
      </c>
      <c r="O31" s="1">
        <v>80</v>
      </c>
      <c r="Q31" s="1">
        <v>80</v>
      </c>
      <c r="S31" s="1">
        <v>2</v>
      </c>
      <c r="T31" s="5">
        <v>6980.9</v>
      </c>
      <c r="U31" s="24">
        <v>0.35</v>
      </c>
      <c r="V31" s="26">
        <f>T31*(1-U31)</f>
        <v>4537.585</v>
      </c>
      <c r="W31" s="26">
        <f>V31*S31*M31</f>
        <v>726013.6</v>
      </c>
      <c r="X31" s="6"/>
    </row>
    <row r="32" spans="1:30" x14ac:dyDescent="0.3">
      <c r="A32" t="s">
        <v>342</v>
      </c>
      <c r="B32" t="s">
        <v>386</v>
      </c>
      <c r="C32" t="s">
        <v>389</v>
      </c>
      <c r="D32" t="s">
        <v>390</v>
      </c>
      <c r="E32" s="1" t="s">
        <v>113</v>
      </c>
      <c r="F32" s="1" t="s">
        <v>114</v>
      </c>
      <c r="G32" s="2186">
        <v>5</v>
      </c>
      <c r="H32" s="2186">
        <f>VLOOKUP(G32,Pesos!A:B,2,0)</f>
        <v>0.5</v>
      </c>
      <c r="I32" s="1"/>
      <c r="J32" s="1" t="s">
        <v>305</v>
      </c>
      <c r="K32" s="1">
        <v>25</v>
      </c>
      <c r="L32" s="2" t="s">
        <v>83</v>
      </c>
      <c r="M32" s="1">
        <v>1</v>
      </c>
      <c r="N32" s="1" t="s">
        <v>22</v>
      </c>
      <c r="O32" s="1"/>
      <c r="P32" s="1">
        <v>25</v>
      </c>
      <c r="Q32" s="1"/>
      <c r="R32" s="1"/>
      <c r="S32" s="1">
        <v>1</v>
      </c>
      <c r="T32" s="5">
        <v>80709</v>
      </c>
      <c r="U32" s="24">
        <v>0.43</v>
      </c>
      <c r="V32" s="26">
        <f t="shared" ref="V32:V33" si="9">T32*(1-U32)</f>
        <v>46004.130000000005</v>
      </c>
      <c r="W32" s="26">
        <f t="shared" ref="W32:W43" si="10">V32*S32*M32</f>
        <v>46004.130000000005</v>
      </c>
      <c r="X32" s="6"/>
      <c r="AB32" s="1"/>
      <c r="AD32" s="1"/>
    </row>
    <row r="33" spans="1:30" x14ac:dyDescent="0.3">
      <c r="A33" t="s">
        <v>342</v>
      </c>
      <c r="B33" t="s">
        <v>386</v>
      </c>
      <c r="C33" t="s">
        <v>389</v>
      </c>
      <c r="D33" t="s">
        <v>390</v>
      </c>
      <c r="E33" s="1" t="s">
        <v>111</v>
      </c>
      <c r="F33" s="1" t="s">
        <v>114</v>
      </c>
      <c r="G33" s="2186">
        <v>5</v>
      </c>
      <c r="H33" s="2186">
        <f>VLOOKUP(G33,Pesos!A:B,2,0)</f>
        <v>0.5</v>
      </c>
      <c r="I33" s="1"/>
      <c r="J33" s="1" t="s">
        <v>305</v>
      </c>
      <c r="K33" s="1">
        <v>49</v>
      </c>
      <c r="L33" s="2" t="s">
        <v>115</v>
      </c>
      <c r="M33" s="1">
        <v>1</v>
      </c>
      <c r="N33" s="1" t="s">
        <v>22</v>
      </c>
      <c r="O33" s="1"/>
      <c r="P33" s="1">
        <v>49</v>
      </c>
      <c r="Q33" s="1"/>
      <c r="R33" s="1"/>
      <c r="S33" s="1">
        <v>1</v>
      </c>
      <c r="T33" s="5">
        <v>67237.13</v>
      </c>
      <c r="U33" s="24">
        <v>0.43</v>
      </c>
      <c r="V33" s="26">
        <f t="shared" si="9"/>
        <v>38325.164100000009</v>
      </c>
      <c r="W33" s="26">
        <f t="shared" si="10"/>
        <v>38325.164100000009</v>
      </c>
      <c r="X33" s="6"/>
      <c r="AB33" s="1"/>
      <c r="AD33" s="1"/>
    </row>
    <row r="34" spans="1:30" x14ac:dyDescent="0.3">
      <c r="A34" t="s">
        <v>342</v>
      </c>
      <c r="B34" t="s">
        <v>386</v>
      </c>
      <c r="C34" t="s">
        <v>389</v>
      </c>
      <c r="D34" t="s">
        <v>390</v>
      </c>
      <c r="E34" s="1" t="s">
        <v>111</v>
      </c>
      <c r="F34" s="1" t="s">
        <v>116</v>
      </c>
      <c r="G34" s="2186">
        <v>2</v>
      </c>
      <c r="H34" s="2186">
        <f>VLOOKUP(G34,Pesos!A:B,2,0)</f>
        <v>0.8</v>
      </c>
      <c r="I34" s="1" t="s">
        <v>305</v>
      </c>
      <c r="J34" s="1"/>
      <c r="K34" s="1">
        <v>1</v>
      </c>
      <c r="L34" s="2" t="s">
        <v>332</v>
      </c>
      <c r="M34" s="1">
        <v>1</v>
      </c>
      <c r="N34" s="1" t="s">
        <v>117</v>
      </c>
      <c r="O34" s="1">
        <v>1</v>
      </c>
      <c r="P34" s="1"/>
      <c r="Q34" s="1"/>
      <c r="R34" s="1"/>
      <c r="S34" s="1">
        <v>1</v>
      </c>
      <c r="T34" s="9">
        <v>368518</v>
      </c>
      <c r="U34" s="29">
        <v>0.43</v>
      </c>
      <c r="V34" s="26">
        <f>T34*(1-U34)</f>
        <v>210055.26</v>
      </c>
      <c r="W34" s="26">
        <f t="shared" si="10"/>
        <v>210055.26</v>
      </c>
      <c r="X34" s="6"/>
      <c r="AB34" s="1"/>
      <c r="AD34" s="1"/>
    </row>
    <row r="35" spans="1:30" x14ac:dyDescent="0.3">
      <c r="A35" t="s">
        <v>342</v>
      </c>
      <c r="B35" t="s">
        <v>386</v>
      </c>
      <c r="C35" t="s">
        <v>389</v>
      </c>
      <c r="D35" t="s">
        <v>390</v>
      </c>
      <c r="E35" s="1" t="s">
        <v>20</v>
      </c>
      <c r="F35" s="1" t="s">
        <v>118</v>
      </c>
      <c r="G35" s="2186">
        <v>4</v>
      </c>
      <c r="H35" s="2186">
        <f>VLOOKUP(G35,Pesos!A:B,2,0)</f>
        <v>0.6</v>
      </c>
      <c r="I35" s="1" t="s">
        <v>305</v>
      </c>
      <c r="J35" s="1"/>
      <c r="K35" s="1">
        <v>80</v>
      </c>
      <c r="L35" s="2" t="s">
        <v>95</v>
      </c>
      <c r="M35" s="1">
        <v>1</v>
      </c>
      <c r="N35" s="1" t="s">
        <v>22</v>
      </c>
      <c r="O35" s="1"/>
      <c r="P35" s="1">
        <v>100</v>
      </c>
      <c r="Q35" s="1"/>
      <c r="R35" s="1"/>
      <c r="S35" s="1">
        <v>1</v>
      </c>
      <c r="T35" s="9">
        <v>350022</v>
      </c>
      <c r="U35" s="31">
        <v>0.59599999999999997</v>
      </c>
      <c r="V35" s="26">
        <f>T35*(1-U35)</f>
        <v>141408.88800000001</v>
      </c>
      <c r="W35" s="26">
        <f t="shared" si="10"/>
        <v>141408.88800000001</v>
      </c>
      <c r="X35" s="6"/>
      <c r="AB35" s="1"/>
      <c r="AD35" s="1"/>
    </row>
    <row r="36" spans="1:30" x14ac:dyDescent="0.3">
      <c r="A36" t="s">
        <v>342</v>
      </c>
      <c r="B36" t="s">
        <v>386</v>
      </c>
      <c r="C36" t="s">
        <v>389</v>
      </c>
      <c r="D36" t="s">
        <v>390</v>
      </c>
      <c r="E36" s="1" t="s">
        <v>20</v>
      </c>
      <c r="F36" s="1" t="s">
        <v>118</v>
      </c>
      <c r="G36" s="2186">
        <v>4</v>
      </c>
      <c r="H36" s="2186">
        <f>VLOOKUP(G36,Pesos!A:B,2,0)</f>
        <v>0.6</v>
      </c>
      <c r="I36" s="1"/>
      <c r="J36" s="1" t="s">
        <v>305</v>
      </c>
      <c r="K36" s="1">
        <v>50</v>
      </c>
      <c r="L36" s="1">
        <v>100</v>
      </c>
      <c r="M36" s="1">
        <v>1</v>
      </c>
      <c r="N36" s="1" t="s">
        <v>22</v>
      </c>
      <c r="O36" s="1"/>
      <c r="P36" s="1"/>
      <c r="Q36" s="1">
        <v>50</v>
      </c>
      <c r="R36" s="1"/>
      <c r="S36" s="1">
        <v>1</v>
      </c>
      <c r="T36" s="9">
        <v>350658</v>
      </c>
      <c r="U36" s="31">
        <v>0.59599999999999997</v>
      </c>
      <c r="V36" s="26">
        <f t="shared" ref="V36:V43" si="11">T36*(1-U36)</f>
        <v>141665.83199999999</v>
      </c>
      <c r="W36" s="26">
        <f t="shared" si="10"/>
        <v>141665.83199999999</v>
      </c>
      <c r="X36" s="6"/>
      <c r="AB36" s="1"/>
      <c r="AD36" s="1"/>
    </row>
    <row r="37" spans="1:30" x14ac:dyDescent="0.3">
      <c r="A37" t="s">
        <v>342</v>
      </c>
      <c r="B37" t="s">
        <v>386</v>
      </c>
      <c r="C37" t="s">
        <v>389</v>
      </c>
      <c r="D37" t="s">
        <v>390</v>
      </c>
      <c r="E37" s="1" t="s">
        <v>132</v>
      </c>
      <c r="F37" s="1" t="s">
        <v>120</v>
      </c>
      <c r="G37" s="2186">
        <v>3</v>
      </c>
      <c r="H37" s="2186">
        <f>VLOOKUP(G37,Pesos!A:B,2,0)</f>
        <v>0.7</v>
      </c>
      <c r="I37" s="1" t="s">
        <v>305</v>
      </c>
      <c r="J37" s="1"/>
      <c r="K37" s="1">
        <v>2</v>
      </c>
      <c r="L37" s="1">
        <v>3</v>
      </c>
      <c r="M37" s="1">
        <v>2</v>
      </c>
      <c r="N37" s="1" t="s">
        <v>24</v>
      </c>
      <c r="O37" s="1">
        <v>2</v>
      </c>
      <c r="P37" s="1"/>
      <c r="Q37" s="1"/>
      <c r="R37" s="1"/>
      <c r="S37" s="1">
        <v>1</v>
      </c>
      <c r="T37" s="9">
        <v>250000</v>
      </c>
      <c r="U37" s="29">
        <v>0.48</v>
      </c>
      <c r="V37" s="26">
        <f t="shared" ref="V37" si="12">T37*(1-U37)</f>
        <v>130000</v>
      </c>
      <c r="W37" s="26">
        <f t="shared" ref="W37" si="13">V37*S37*M37</f>
        <v>260000</v>
      </c>
      <c r="X37" s="6"/>
      <c r="AB37" s="1"/>
      <c r="AD37" s="1"/>
    </row>
    <row r="38" spans="1:30" x14ac:dyDescent="0.3">
      <c r="A38" t="s">
        <v>342</v>
      </c>
      <c r="B38" t="s">
        <v>386</v>
      </c>
      <c r="C38" t="s">
        <v>389</v>
      </c>
      <c r="D38" t="s">
        <v>390</v>
      </c>
      <c r="E38" s="1" t="s">
        <v>122</v>
      </c>
      <c r="F38" s="1" t="s">
        <v>123</v>
      </c>
      <c r="G38" s="2186">
        <v>7</v>
      </c>
      <c r="H38" s="2186">
        <f>VLOOKUP(G38,Pesos!A:B,2,0)</f>
        <v>0.3</v>
      </c>
      <c r="I38" s="1"/>
      <c r="J38" s="1" t="s">
        <v>305</v>
      </c>
      <c r="K38" s="1">
        <v>70</v>
      </c>
      <c r="L38" s="1">
        <v>70</v>
      </c>
      <c r="M38" s="1">
        <v>1</v>
      </c>
      <c r="N38" s="1" t="s">
        <v>22</v>
      </c>
      <c r="O38" s="1">
        <v>70</v>
      </c>
      <c r="P38" s="1"/>
      <c r="Q38" s="1"/>
      <c r="R38" s="18"/>
      <c r="S38" s="1">
        <v>1</v>
      </c>
      <c r="T38" s="9">
        <v>264920</v>
      </c>
      <c r="U38" s="29">
        <v>0.65</v>
      </c>
      <c r="V38" s="26">
        <f t="shared" si="11"/>
        <v>92722</v>
      </c>
      <c r="W38" s="26">
        <f t="shared" si="10"/>
        <v>92722</v>
      </c>
      <c r="X38" s="6"/>
      <c r="AB38" s="1"/>
      <c r="AD38" s="1"/>
    </row>
    <row r="39" spans="1:30" x14ac:dyDescent="0.3">
      <c r="A39" t="s">
        <v>342</v>
      </c>
      <c r="B39" t="s">
        <v>386</v>
      </c>
      <c r="C39" t="s">
        <v>389</v>
      </c>
      <c r="D39" t="s">
        <v>390</v>
      </c>
      <c r="E39" s="1" t="s">
        <v>110</v>
      </c>
      <c r="F39" s="1" t="s">
        <v>133</v>
      </c>
      <c r="G39" s="2186">
        <v>6</v>
      </c>
      <c r="H39" s="2186">
        <f>VLOOKUP(G39,Pesos!A:B,2,0)</f>
        <v>0.4</v>
      </c>
      <c r="I39" s="1"/>
      <c r="J39" s="1" t="s">
        <v>305</v>
      </c>
      <c r="K39" s="1">
        <v>50</v>
      </c>
      <c r="L39" s="1">
        <v>130</v>
      </c>
      <c r="M39" s="1">
        <v>100</v>
      </c>
      <c r="N39" s="1" t="s">
        <v>22</v>
      </c>
      <c r="O39" s="1"/>
      <c r="P39" s="1"/>
      <c r="Q39" s="1">
        <v>100</v>
      </c>
      <c r="R39" s="6"/>
      <c r="S39" s="1">
        <v>1</v>
      </c>
      <c r="T39" s="9">
        <v>2520</v>
      </c>
      <c r="U39" s="29">
        <v>0.75</v>
      </c>
      <c r="V39" s="26">
        <f t="shared" si="11"/>
        <v>630</v>
      </c>
      <c r="W39" s="26">
        <f t="shared" si="10"/>
        <v>63000</v>
      </c>
      <c r="X39" s="6"/>
      <c r="AB39" s="1"/>
      <c r="AD39" s="1"/>
    </row>
    <row r="40" spans="1:30" x14ac:dyDescent="0.3">
      <c r="E40" s="1"/>
      <c r="F40" s="1"/>
      <c r="G40" s="2186"/>
      <c r="H40" s="2186"/>
      <c r="I40" s="1"/>
      <c r="J40" s="1"/>
      <c r="K40" s="1"/>
      <c r="L40" s="1"/>
      <c r="M40" s="1"/>
      <c r="N40" s="1"/>
      <c r="O40" s="1"/>
      <c r="P40" s="1"/>
      <c r="Q40" s="1"/>
      <c r="R40" s="6"/>
      <c r="S40" s="1"/>
      <c r="T40" s="5"/>
      <c r="U40" s="24"/>
      <c r="V40" s="26"/>
      <c r="W40" s="26"/>
      <c r="X40" s="6"/>
      <c r="AB40" s="1"/>
      <c r="AD40" s="1"/>
    </row>
    <row r="41" spans="1:30" x14ac:dyDescent="0.3">
      <c r="A41" t="s">
        <v>343</v>
      </c>
      <c r="B41" t="s">
        <v>386</v>
      </c>
      <c r="C41" t="s">
        <v>389</v>
      </c>
      <c r="D41" t="s">
        <v>390</v>
      </c>
      <c r="E41" s="1" t="s">
        <v>111</v>
      </c>
      <c r="F41" s="1" t="s">
        <v>112</v>
      </c>
      <c r="G41" s="2186">
        <v>1</v>
      </c>
      <c r="H41" s="2186">
        <f>VLOOKUP(G41,Pesos!A:B,2,0)</f>
        <v>0.9</v>
      </c>
      <c r="I41" s="1" t="s">
        <v>305</v>
      </c>
      <c r="J41" s="1"/>
      <c r="K41" s="1">
        <v>100</v>
      </c>
      <c r="L41" s="1">
        <v>150</v>
      </c>
      <c r="M41" s="1">
        <v>120</v>
      </c>
      <c r="N41" s="1" t="s">
        <v>22</v>
      </c>
      <c r="O41" s="1">
        <v>120</v>
      </c>
      <c r="P41" s="1">
        <v>120</v>
      </c>
      <c r="Q41" s="1"/>
      <c r="R41" s="18"/>
      <c r="S41" s="1">
        <v>2</v>
      </c>
      <c r="T41" s="9">
        <v>3429.22</v>
      </c>
      <c r="U41" s="29">
        <v>0.48</v>
      </c>
      <c r="V41" s="26">
        <f t="shared" si="11"/>
        <v>1783.1943999999999</v>
      </c>
      <c r="W41" s="26">
        <f t="shared" si="10"/>
        <v>427966.65599999996</v>
      </c>
      <c r="X41" s="6"/>
      <c r="AB41" s="1"/>
      <c r="AD41" s="1"/>
    </row>
    <row r="42" spans="1:30" x14ac:dyDescent="0.3">
      <c r="A42" t="s">
        <v>343</v>
      </c>
      <c r="B42" t="s">
        <v>386</v>
      </c>
      <c r="C42" t="s">
        <v>389</v>
      </c>
      <c r="D42" t="s">
        <v>390</v>
      </c>
      <c r="E42" s="1" t="s">
        <v>113</v>
      </c>
      <c r="F42" s="1" t="s">
        <v>112</v>
      </c>
      <c r="G42" s="2186">
        <v>1</v>
      </c>
      <c r="H42" s="2186">
        <f>VLOOKUP(G42,Pesos!A:B,2,0)</f>
        <v>0.9</v>
      </c>
      <c r="I42" s="1"/>
      <c r="J42" s="1" t="s">
        <v>305</v>
      </c>
      <c r="K42" s="1">
        <v>50</v>
      </c>
      <c r="L42" s="1">
        <v>110</v>
      </c>
      <c r="M42" s="1">
        <v>80</v>
      </c>
      <c r="N42" s="1" t="s">
        <v>22</v>
      </c>
      <c r="O42" s="1">
        <v>80</v>
      </c>
      <c r="P42" s="1"/>
      <c r="Q42" s="1">
        <v>80</v>
      </c>
      <c r="R42" s="18"/>
      <c r="S42" s="1">
        <v>2</v>
      </c>
      <c r="T42" s="5">
        <v>6980.9</v>
      </c>
      <c r="U42" s="24">
        <v>0.35</v>
      </c>
      <c r="V42" s="26">
        <f t="shared" si="11"/>
        <v>4537.585</v>
      </c>
      <c r="W42" s="26">
        <f t="shared" si="10"/>
        <v>726013.6</v>
      </c>
      <c r="X42" s="6"/>
      <c r="AB42" s="1"/>
      <c r="AD42" s="1"/>
    </row>
    <row r="43" spans="1:30" x14ac:dyDescent="0.3">
      <c r="A43" t="s">
        <v>343</v>
      </c>
      <c r="B43" t="s">
        <v>386</v>
      </c>
      <c r="C43" t="s">
        <v>389</v>
      </c>
      <c r="D43" t="s">
        <v>390</v>
      </c>
      <c r="E43" s="1" t="s">
        <v>113</v>
      </c>
      <c r="F43" s="1" t="s">
        <v>114</v>
      </c>
      <c r="G43" s="2186">
        <v>2</v>
      </c>
      <c r="H43" s="2186">
        <f>VLOOKUP(G43,Pesos!A:B,2,0)</f>
        <v>0.8</v>
      </c>
      <c r="I43" s="1"/>
      <c r="J43" s="1" t="s">
        <v>305</v>
      </c>
      <c r="K43" s="2" t="s">
        <v>83</v>
      </c>
      <c r="L43" s="1">
        <v>25</v>
      </c>
      <c r="M43" s="1">
        <v>1</v>
      </c>
      <c r="N43" s="1" t="s">
        <v>22</v>
      </c>
      <c r="O43" s="1"/>
      <c r="P43" s="1">
        <v>25</v>
      </c>
      <c r="Q43" s="1"/>
      <c r="R43" s="1"/>
      <c r="S43" s="1">
        <v>1</v>
      </c>
      <c r="T43" s="5">
        <v>80709</v>
      </c>
      <c r="U43" s="24">
        <v>0.43</v>
      </c>
      <c r="V43" s="26">
        <f t="shared" si="11"/>
        <v>46004.130000000005</v>
      </c>
      <c r="W43" s="26">
        <f t="shared" si="10"/>
        <v>46004.130000000005</v>
      </c>
      <c r="AB43" s="1"/>
      <c r="AD43" s="1"/>
    </row>
    <row r="44" spans="1:30" x14ac:dyDescent="0.3">
      <c r="A44" t="s">
        <v>343</v>
      </c>
      <c r="B44" t="s">
        <v>386</v>
      </c>
      <c r="C44" t="s">
        <v>389</v>
      </c>
      <c r="D44" t="s">
        <v>390</v>
      </c>
      <c r="E44" s="1" t="s">
        <v>111</v>
      </c>
      <c r="F44" s="1" t="s">
        <v>114</v>
      </c>
      <c r="G44" s="2186">
        <v>2</v>
      </c>
      <c r="H44" s="2186">
        <f>VLOOKUP(G44,Pesos!A:B,2,0)</f>
        <v>0.8</v>
      </c>
      <c r="I44" s="1"/>
      <c r="J44" s="1" t="s">
        <v>305</v>
      </c>
      <c r="K44" s="2" t="s">
        <v>115</v>
      </c>
      <c r="L44" s="1">
        <v>49</v>
      </c>
      <c r="M44" s="1">
        <v>1</v>
      </c>
      <c r="N44" s="1" t="s">
        <v>22</v>
      </c>
      <c r="O44" s="1"/>
      <c r="P44" s="1">
        <v>49</v>
      </c>
      <c r="Q44" s="1"/>
      <c r="R44" s="1"/>
      <c r="S44" s="1">
        <v>1</v>
      </c>
      <c r="T44" s="5">
        <v>67237.13</v>
      </c>
      <c r="U44" s="24">
        <v>0.43</v>
      </c>
      <c r="V44" s="26">
        <f t="shared" ref="V44:V52" si="14">T44*(1-U44)</f>
        <v>38325.164100000009</v>
      </c>
      <c r="W44" s="26">
        <f t="shared" ref="W44:W52" si="15">V44*S44*M44</f>
        <v>38325.164100000009</v>
      </c>
      <c r="AB44" s="1"/>
      <c r="AD44" s="1"/>
    </row>
    <row r="45" spans="1:30" x14ac:dyDescent="0.3">
      <c r="A45" t="s">
        <v>343</v>
      </c>
      <c r="B45" t="s">
        <v>386</v>
      </c>
      <c r="C45" t="s">
        <v>389</v>
      </c>
      <c r="D45" t="s">
        <v>390</v>
      </c>
      <c r="E45" s="1" t="s">
        <v>111</v>
      </c>
      <c r="F45" s="1" t="s">
        <v>114</v>
      </c>
      <c r="G45" s="2186">
        <v>2</v>
      </c>
      <c r="H45" s="2186">
        <f>VLOOKUP(G45,Pesos!A:B,2,0)</f>
        <v>0.8</v>
      </c>
      <c r="I45" s="1"/>
      <c r="J45" s="1" t="s">
        <v>305</v>
      </c>
      <c r="K45" s="2" t="s">
        <v>80</v>
      </c>
      <c r="L45" s="1">
        <v>24</v>
      </c>
      <c r="M45" s="1">
        <v>1</v>
      </c>
      <c r="N45" s="1" t="s">
        <v>22</v>
      </c>
      <c r="O45" s="1">
        <v>24</v>
      </c>
      <c r="P45" s="1"/>
      <c r="Q45" s="1"/>
      <c r="R45" s="1"/>
      <c r="S45" s="1">
        <v>1</v>
      </c>
      <c r="T45" s="9">
        <v>80709.05</v>
      </c>
      <c r="U45" s="24">
        <v>0.43</v>
      </c>
      <c r="V45" s="26">
        <f t="shared" si="14"/>
        <v>46004.158500000005</v>
      </c>
      <c r="W45" s="26">
        <f t="shared" si="15"/>
        <v>46004.158500000005</v>
      </c>
      <c r="AB45" s="1"/>
      <c r="AD45" s="1"/>
    </row>
    <row r="46" spans="1:30" x14ac:dyDescent="0.3">
      <c r="A46" t="s">
        <v>343</v>
      </c>
      <c r="B46" t="s">
        <v>386</v>
      </c>
      <c r="C46" t="s">
        <v>389</v>
      </c>
      <c r="D46" t="s">
        <v>390</v>
      </c>
      <c r="E46" s="1" t="s">
        <v>111</v>
      </c>
      <c r="F46" s="1" t="s">
        <v>114</v>
      </c>
      <c r="G46" s="2186">
        <v>2</v>
      </c>
      <c r="H46" s="2186">
        <f>VLOOKUP(G46,Pesos!A:B,2,0)</f>
        <v>0.8</v>
      </c>
      <c r="I46" s="1"/>
      <c r="J46" s="1" t="s">
        <v>305</v>
      </c>
      <c r="K46" s="2" t="s">
        <v>134</v>
      </c>
      <c r="L46" s="1">
        <v>80</v>
      </c>
      <c r="M46" s="1">
        <v>1</v>
      </c>
      <c r="N46" s="1" t="s">
        <v>22</v>
      </c>
      <c r="O46" s="1"/>
      <c r="P46" s="1"/>
      <c r="Q46" s="1">
        <v>80</v>
      </c>
      <c r="R46" s="1"/>
      <c r="S46" s="1">
        <v>1</v>
      </c>
      <c r="T46" s="9">
        <v>180774.55</v>
      </c>
      <c r="U46" s="29">
        <v>0.43</v>
      </c>
      <c r="V46" s="26">
        <f t="shared" si="14"/>
        <v>103041.49350000001</v>
      </c>
      <c r="W46" s="26">
        <f t="shared" si="15"/>
        <v>103041.49350000001</v>
      </c>
      <c r="AB46" s="1"/>
      <c r="AD46" s="1"/>
    </row>
    <row r="47" spans="1:30" x14ac:dyDescent="0.3">
      <c r="A47" t="s">
        <v>343</v>
      </c>
      <c r="B47" t="s">
        <v>386</v>
      </c>
      <c r="C47" t="s">
        <v>389</v>
      </c>
      <c r="D47" t="s">
        <v>390</v>
      </c>
      <c r="E47" s="1" t="s">
        <v>130</v>
      </c>
      <c r="F47" s="1" t="s">
        <v>131</v>
      </c>
      <c r="G47" s="2186">
        <v>5</v>
      </c>
      <c r="H47" s="2186">
        <f>VLOOKUP(G47,Pesos!A:B,2,0)</f>
        <v>0.5</v>
      </c>
      <c r="I47" s="1" t="s">
        <v>305</v>
      </c>
      <c r="J47" s="1"/>
      <c r="K47" s="2" t="s">
        <v>124</v>
      </c>
      <c r="L47" s="1">
        <v>150</v>
      </c>
      <c r="M47" s="1">
        <v>80</v>
      </c>
      <c r="N47" s="1" t="s">
        <v>24</v>
      </c>
      <c r="O47" s="1">
        <v>80</v>
      </c>
      <c r="P47" s="1"/>
      <c r="Q47" s="1"/>
      <c r="R47" s="1"/>
      <c r="S47" s="1">
        <v>1</v>
      </c>
      <c r="T47" s="9">
        <v>10299</v>
      </c>
      <c r="U47" s="29">
        <v>0.83</v>
      </c>
      <c r="V47" s="26">
        <f t="shared" si="14"/>
        <v>1750.8300000000004</v>
      </c>
      <c r="W47" s="26">
        <f t="shared" si="15"/>
        <v>140066.40000000002</v>
      </c>
      <c r="X47" s="6"/>
      <c r="AB47" s="1"/>
      <c r="AD47" s="1"/>
    </row>
    <row r="48" spans="1:30" x14ac:dyDescent="0.3">
      <c r="A48" t="s">
        <v>343</v>
      </c>
      <c r="B48" t="s">
        <v>386</v>
      </c>
      <c r="C48" t="s">
        <v>389</v>
      </c>
      <c r="D48" t="s">
        <v>390</v>
      </c>
      <c r="E48" s="1" t="s">
        <v>132</v>
      </c>
      <c r="F48" s="1" t="s">
        <v>120</v>
      </c>
      <c r="G48" s="2186">
        <v>4</v>
      </c>
      <c r="H48" s="2186">
        <f>VLOOKUP(G48,Pesos!A:B,2,0)</f>
        <v>0.6</v>
      </c>
      <c r="I48" s="1" t="s">
        <v>305</v>
      </c>
      <c r="J48" s="1"/>
      <c r="K48" s="1">
        <v>2</v>
      </c>
      <c r="L48" s="1">
        <v>3</v>
      </c>
      <c r="M48" s="1">
        <v>2</v>
      </c>
      <c r="N48" s="1" t="s">
        <v>24</v>
      </c>
      <c r="O48" s="1">
        <v>2</v>
      </c>
      <c r="P48" s="1"/>
      <c r="Q48" s="1"/>
      <c r="R48" s="1"/>
      <c r="S48" s="1">
        <v>1</v>
      </c>
      <c r="T48" s="9">
        <v>250000</v>
      </c>
      <c r="U48" s="29">
        <v>0.48</v>
      </c>
      <c r="V48" s="26">
        <f t="shared" si="14"/>
        <v>130000</v>
      </c>
      <c r="W48" s="26">
        <f t="shared" si="15"/>
        <v>260000</v>
      </c>
      <c r="AB48" s="1"/>
      <c r="AD48" s="1"/>
    </row>
    <row r="49" spans="1:30" x14ac:dyDescent="0.3">
      <c r="A49" t="s">
        <v>343</v>
      </c>
      <c r="B49" t="s">
        <v>386</v>
      </c>
      <c r="C49" t="s">
        <v>389</v>
      </c>
      <c r="D49" t="s">
        <v>390</v>
      </c>
      <c r="E49" s="1" t="s">
        <v>20</v>
      </c>
      <c r="F49" s="1" t="s">
        <v>118</v>
      </c>
      <c r="G49" s="2186">
        <v>3</v>
      </c>
      <c r="H49" s="2186">
        <f>VLOOKUP(G49,Pesos!A:B,2,0)</f>
        <v>0.7</v>
      </c>
      <c r="I49" s="1" t="s">
        <v>305</v>
      </c>
      <c r="J49" s="1"/>
      <c r="K49" s="1">
        <v>80</v>
      </c>
      <c r="L49" s="1">
        <v>160</v>
      </c>
      <c r="M49" s="1">
        <v>1</v>
      </c>
      <c r="N49" s="1" t="s">
        <v>22</v>
      </c>
      <c r="O49" s="1"/>
      <c r="P49" s="1">
        <v>100</v>
      </c>
      <c r="Q49" s="1"/>
      <c r="R49" s="1"/>
      <c r="S49" s="1">
        <v>1</v>
      </c>
      <c r="T49" s="9">
        <v>350022</v>
      </c>
      <c r="U49" s="31">
        <v>0.59599999999999997</v>
      </c>
      <c r="V49" s="26">
        <f t="shared" si="14"/>
        <v>141408.88800000001</v>
      </c>
      <c r="W49" s="26">
        <f t="shared" si="15"/>
        <v>141408.88800000001</v>
      </c>
      <c r="AB49" s="1"/>
      <c r="AD49" s="1"/>
    </row>
    <row r="50" spans="1:30" x14ac:dyDescent="0.3">
      <c r="A50" t="s">
        <v>343</v>
      </c>
      <c r="B50" t="s">
        <v>386</v>
      </c>
      <c r="C50" t="s">
        <v>389</v>
      </c>
      <c r="D50" t="s">
        <v>390</v>
      </c>
      <c r="E50" s="1" t="s">
        <v>20</v>
      </c>
      <c r="F50" s="1" t="s">
        <v>118</v>
      </c>
      <c r="G50" s="2186">
        <v>3</v>
      </c>
      <c r="H50" s="2186">
        <f>VLOOKUP(G50,Pesos!A:B,2,0)</f>
        <v>0.7</v>
      </c>
      <c r="I50" s="1"/>
      <c r="J50" s="1" t="s">
        <v>305</v>
      </c>
      <c r="K50" s="1">
        <v>50</v>
      </c>
      <c r="L50" s="1">
        <v>100</v>
      </c>
      <c r="M50" s="1">
        <v>1</v>
      </c>
      <c r="N50" s="1" t="s">
        <v>22</v>
      </c>
      <c r="O50" s="1"/>
      <c r="P50" s="1"/>
      <c r="Q50" s="1">
        <v>58</v>
      </c>
      <c r="R50" s="1"/>
      <c r="S50" s="1">
        <v>1</v>
      </c>
      <c r="T50" s="9">
        <v>350658</v>
      </c>
      <c r="U50" s="31">
        <v>0.59599999999999997</v>
      </c>
      <c r="V50" s="26">
        <f t="shared" si="14"/>
        <v>141665.83199999999</v>
      </c>
      <c r="W50" s="26">
        <f t="shared" si="15"/>
        <v>141665.83199999999</v>
      </c>
      <c r="AB50" s="1"/>
      <c r="AD50" s="1"/>
    </row>
    <row r="51" spans="1:30" x14ac:dyDescent="0.3">
      <c r="A51" t="s">
        <v>343</v>
      </c>
      <c r="B51" t="s">
        <v>386</v>
      </c>
      <c r="C51" t="s">
        <v>389</v>
      </c>
      <c r="D51" t="s">
        <v>390</v>
      </c>
      <c r="E51" s="1" t="s">
        <v>122</v>
      </c>
      <c r="F51" s="1" t="s">
        <v>125</v>
      </c>
      <c r="G51" s="2186">
        <v>7</v>
      </c>
      <c r="H51" s="2186">
        <f>VLOOKUP(G51,Pesos!A:B,2,0)</f>
        <v>0.3</v>
      </c>
      <c r="I51" s="1"/>
      <c r="J51" s="1" t="s">
        <v>305</v>
      </c>
      <c r="K51" s="1">
        <v>28</v>
      </c>
      <c r="L51" s="1">
        <v>28</v>
      </c>
      <c r="M51" s="1">
        <v>1</v>
      </c>
      <c r="N51" s="1" t="s">
        <v>22</v>
      </c>
      <c r="O51" s="1"/>
      <c r="P51" s="1">
        <v>28</v>
      </c>
      <c r="Q51" s="1"/>
      <c r="R51" s="1"/>
      <c r="S51" s="1">
        <v>1</v>
      </c>
      <c r="T51" s="9">
        <v>38500</v>
      </c>
      <c r="U51" s="29">
        <v>0.65</v>
      </c>
      <c r="V51" s="26">
        <f t="shared" si="14"/>
        <v>13475</v>
      </c>
      <c r="W51" s="26">
        <f t="shared" si="15"/>
        <v>13475</v>
      </c>
      <c r="AB51" s="1"/>
      <c r="AD51" s="1"/>
    </row>
    <row r="52" spans="1:30" x14ac:dyDescent="0.3">
      <c r="A52" t="s">
        <v>343</v>
      </c>
      <c r="B52" t="s">
        <v>386</v>
      </c>
      <c r="C52" t="s">
        <v>389</v>
      </c>
      <c r="D52" t="s">
        <v>390</v>
      </c>
      <c r="E52" s="1" t="s">
        <v>110</v>
      </c>
      <c r="F52" s="1" t="s">
        <v>129</v>
      </c>
      <c r="G52" s="2186">
        <v>6</v>
      </c>
      <c r="H52" s="2186">
        <f>VLOOKUP(G52,Pesos!A:B,2,0)</f>
        <v>0.4</v>
      </c>
      <c r="J52" s="1" t="s">
        <v>305</v>
      </c>
      <c r="K52" s="1">
        <v>50</v>
      </c>
      <c r="L52" s="1">
        <v>130</v>
      </c>
      <c r="M52" s="1">
        <v>100</v>
      </c>
      <c r="N52" s="1" t="s">
        <v>22</v>
      </c>
      <c r="P52" s="1">
        <v>100</v>
      </c>
      <c r="S52" s="1">
        <v>1</v>
      </c>
      <c r="T52" s="9">
        <v>2520</v>
      </c>
      <c r="U52" s="29">
        <v>0.75</v>
      </c>
      <c r="V52" s="26">
        <f t="shared" si="14"/>
        <v>630</v>
      </c>
      <c r="W52" s="26">
        <f t="shared" si="15"/>
        <v>63000</v>
      </c>
    </row>
    <row r="53" spans="1:30" x14ac:dyDescent="0.3">
      <c r="E53" s="1"/>
      <c r="F53" s="1"/>
      <c r="G53" s="2186"/>
      <c r="H53" s="218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5"/>
      <c r="U53" s="24"/>
      <c r="V53" s="26"/>
      <c r="W53" s="26"/>
      <c r="AB53" s="1"/>
      <c r="AD53" s="1"/>
    </row>
    <row r="54" spans="1:30" x14ac:dyDescent="0.3">
      <c r="A54" t="s">
        <v>326</v>
      </c>
      <c r="B54" t="s">
        <v>386</v>
      </c>
      <c r="C54" t="s">
        <v>389</v>
      </c>
      <c r="D54" t="s">
        <v>390</v>
      </c>
      <c r="E54" s="1" t="s">
        <v>111</v>
      </c>
      <c r="F54" s="1" t="s">
        <v>112</v>
      </c>
      <c r="G54" s="2186">
        <v>1</v>
      </c>
      <c r="H54" s="2186">
        <f>VLOOKUP(G54,Pesos!A:B,2,0)</f>
        <v>0.9</v>
      </c>
      <c r="I54" s="1" t="s">
        <v>305</v>
      </c>
      <c r="J54" s="1"/>
      <c r="K54" s="1">
        <v>70</v>
      </c>
      <c r="L54" s="1">
        <v>130</v>
      </c>
      <c r="M54" s="1">
        <v>100</v>
      </c>
      <c r="N54" s="1" t="s">
        <v>22</v>
      </c>
      <c r="O54" s="1">
        <v>100</v>
      </c>
      <c r="P54" s="1"/>
      <c r="Q54" s="1"/>
      <c r="R54" s="1"/>
      <c r="S54" s="1">
        <v>1</v>
      </c>
      <c r="T54" s="9">
        <v>3429.22</v>
      </c>
      <c r="U54" s="29">
        <v>0.48</v>
      </c>
      <c r="V54" s="26">
        <f t="shared" ref="V54:V59" si="16">T54*(1-U54)</f>
        <v>1783.1943999999999</v>
      </c>
      <c r="W54" s="26">
        <f t="shared" ref="W54:W59" si="17">V54*S54*M54</f>
        <v>178319.43999999997</v>
      </c>
      <c r="AB54" s="1"/>
      <c r="AD54" s="1"/>
    </row>
    <row r="55" spans="1:30" x14ac:dyDescent="0.3">
      <c r="A55" t="s">
        <v>326</v>
      </c>
      <c r="B55" t="s">
        <v>386</v>
      </c>
      <c r="C55" t="s">
        <v>389</v>
      </c>
      <c r="D55" t="s">
        <v>390</v>
      </c>
      <c r="E55" s="1" t="s">
        <v>113</v>
      </c>
      <c r="F55" s="1" t="s">
        <v>112</v>
      </c>
      <c r="G55" s="2186">
        <v>1</v>
      </c>
      <c r="H55" s="2186">
        <f>VLOOKUP(G55,Pesos!A:B,2,0)</f>
        <v>0.9</v>
      </c>
      <c r="I55" s="1"/>
      <c r="J55" s="1" t="s">
        <v>305</v>
      </c>
      <c r="K55" s="1">
        <v>50</v>
      </c>
      <c r="L55" s="1">
        <v>80</v>
      </c>
      <c r="M55" s="1">
        <v>50</v>
      </c>
      <c r="N55" s="1" t="s">
        <v>22</v>
      </c>
      <c r="O55" s="1"/>
      <c r="P55" s="1"/>
      <c r="Q55" s="1">
        <v>50</v>
      </c>
      <c r="R55" s="1"/>
      <c r="S55" s="1">
        <v>1</v>
      </c>
      <c r="T55" s="5">
        <v>6980.9</v>
      </c>
      <c r="U55" s="24">
        <v>0.35</v>
      </c>
      <c r="V55" s="26">
        <f t="shared" si="16"/>
        <v>4537.585</v>
      </c>
      <c r="W55" s="26">
        <f t="shared" si="17"/>
        <v>226879.25</v>
      </c>
      <c r="AB55" s="1"/>
      <c r="AD55" s="1"/>
    </row>
    <row r="56" spans="1:30" x14ac:dyDescent="0.3">
      <c r="A56" t="s">
        <v>326</v>
      </c>
      <c r="B56" t="s">
        <v>386</v>
      </c>
      <c r="C56" t="s">
        <v>389</v>
      </c>
      <c r="D56" t="s">
        <v>390</v>
      </c>
      <c r="E56" s="1" t="s">
        <v>113</v>
      </c>
      <c r="F56" s="1" t="s">
        <v>114</v>
      </c>
      <c r="G56" s="2186">
        <v>2</v>
      </c>
      <c r="H56" s="2186">
        <f>VLOOKUP(G56,Pesos!A:B,2,0)</f>
        <v>0.8</v>
      </c>
      <c r="I56" s="1"/>
      <c r="J56" s="1" t="s">
        <v>305</v>
      </c>
      <c r="K56" s="1">
        <v>25</v>
      </c>
      <c r="L56" s="1">
        <v>25</v>
      </c>
      <c r="M56" s="1">
        <v>1</v>
      </c>
      <c r="N56" s="1" t="s">
        <v>22</v>
      </c>
      <c r="O56" s="1"/>
      <c r="P56" s="1">
        <v>25</v>
      </c>
      <c r="Q56" s="1"/>
      <c r="R56" s="1"/>
      <c r="S56" s="1">
        <v>1</v>
      </c>
      <c r="T56" s="5">
        <v>80709</v>
      </c>
      <c r="U56" s="24">
        <v>0.43</v>
      </c>
      <c r="V56" s="26">
        <f t="shared" si="16"/>
        <v>46004.130000000005</v>
      </c>
      <c r="W56" s="26">
        <f t="shared" si="17"/>
        <v>46004.130000000005</v>
      </c>
      <c r="AB56" s="1"/>
      <c r="AD56" s="1"/>
    </row>
    <row r="57" spans="1:30" x14ac:dyDescent="0.3">
      <c r="A57" t="s">
        <v>326</v>
      </c>
      <c r="B57" t="s">
        <v>386</v>
      </c>
      <c r="C57" t="s">
        <v>389</v>
      </c>
      <c r="D57" t="s">
        <v>390</v>
      </c>
      <c r="E57" s="1" t="s">
        <v>130</v>
      </c>
      <c r="F57" s="1" t="s">
        <v>131</v>
      </c>
      <c r="G57" s="2186">
        <v>5</v>
      </c>
      <c r="H57" s="2186">
        <f>VLOOKUP(G57,Pesos!A:B,2,0)</f>
        <v>0.5</v>
      </c>
      <c r="I57" s="1" t="s">
        <v>305</v>
      </c>
      <c r="J57" s="1"/>
      <c r="K57" s="1">
        <v>50</v>
      </c>
      <c r="L57" s="1">
        <v>100</v>
      </c>
      <c r="M57" s="1">
        <v>70</v>
      </c>
      <c r="N57" s="1" t="s">
        <v>24</v>
      </c>
      <c r="O57" s="1">
        <v>70</v>
      </c>
      <c r="P57" s="1"/>
      <c r="Q57" s="1"/>
      <c r="R57" s="1"/>
      <c r="S57" s="1">
        <v>1</v>
      </c>
      <c r="T57" s="9">
        <v>10299</v>
      </c>
      <c r="U57" s="29">
        <v>0.83</v>
      </c>
      <c r="V57" s="26">
        <f t="shared" si="16"/>
        <v>1750.8300000000004</v>
      </c>
      <c r="W57" s="26">
        <f t="shared" si="17"/>
        <v>122558.10000000002</v>
      </c>
      <c r="AB57" s="1"/>
      <c r="AD57" s="1"/>
    </row>
    <row r="58" spans="1:30" x14ac:dyDescent="0.3">
      <c r="A58" t="s">
        <v>326</v>
      </c>
      <c r="B58" t="s">
        <v>386</v>
      </c>
      <c r="C58" t="s">
        <v>389</v>
      </c>
      <c r="D58" t="s">
        <v>390</v>
      </c>
      <c r="E58" s="1" t="s">
        <v>20</v>
      </c>
      <c r="F58" s="1" t="s">
        <v>118</v>
      </c>
      <c r="G58" s="2186">
        <v>3</v>
      </c>
      <c r="H58" s="2186">
        <f>VLOOKUP(G58,Pesos!A:B,2,0)</f>
        <v>0.7</v>
      </c>
      <c r="I58" s="1" t="s">
        <v>305</v>
      </c>
      <c r="J58" s="1"/>
      <c r="K58" s="1">
        <v>60</v>
      </c>
      <c r="L58" s="1">
        <v>130</v>
      </c>
      <c r="M58" s="1">
        <v>1</v>
      </c>
      <c r="N58" s="1" t="s">
        <v>22</v>
      </c>
      <c r="O58" s="1"/>
      <c r="P58" s="1">
        <v>100</v>
      </c>
      <c r="Q58" s="1"/>
      <c r="R58" s="1"/>
      <c r="S58" s="1">
        <v>1</v>
      </c>
      <c r="T58" s="9">
        <v>350022</v>
      </c>
      <c r="U58" s="31">
        <v>0.59599999999999997</v>
      </c>
      <c r="V58" s="26">
        <f t="shared" si="16"/>
        <v>141408.88800000001</v>
      </c>
      <c r="W58" s="26">
        <f t="shared" si="17"/>
        <v>141408.88800000001</v>
      </c>
      <c r="AB58" s="1"/>
      <c r="AD58" s="1"/>
    </row>
    <row r="59" spans="1:30" x14ac:dyDescent="0.3">
      <c r="A59" t="s">
        <v>326</v>
      </c>
      <c r="B59" t="s">
        <v>386</v>
      </c>
      <c r="C59" t="s">
        <v>389</v>
      </c>
      <c r="D59" t="s">
        <v>390</v>
      </c>
      <c r="E59" s="1" t="s">
        <v>110</v>
      </c>
      <c r="F59" s="1" t="s">
        <v>129</v>
      </c>
      <c r="G59" s="2186">
        <v>4</v>
      </c>
      <c r="H59" s="2186">
        <f>VLOOKUP(G59,Pesos!A:B,2,0)</f>
        <v>0.6</v>
      </c>
      <c r="I59" s="1"/>
      <c r="J59" s="1" t="s">
        <v>305</v>
      </c>
      <c r="K59" s="1">
        <v>50</v>
      </c>
      <c r="L59" s="1">
        <v>100</v>
      </c>
      <c r="M59" s="1">
        <v>50</v>
      </c>
      <c r="N59" s="1" t="s">
        <v>22</v>
      </c>
      <c r="O59" s="1"/>
      <c r="P59" s="1"/>
      <c r="Q59" s="1">
        <v>50</v>
      </c>
      <c r="R59" s="1"/>
      <c r="S59" s="1">
        <v>1</v>
      </c>
      <c r="T59" s="9">
        <v>2520</v>
      </c>
      <c r="U59" s="29">
        <v>0.75</v>
      </c>
      <c r="V59" s="26">
        <f t="shared" si="16"/>
        <v>630</v>
      </c>
      <c r="W59" s="26">
        <f t="shared" si="17"/>
        <v>31500</v>
      </c>
      <c r="AB59" s="1"/>
      <c r="AD59" s="1"/>
    </row>
    <row r="60" spans="1:30" x14ac:dyDescent="0.3"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5"/>
      <c r="U60" s="24"/>
      <c r="V60" s="26"/>
      <c r="W60" s="26"/>
      <c r="AB60" s="1"/>
      <c r="AD60" s="1"/>
    </row>
    <row r="61" spans="1:30" x14ac:dyDescent="0.3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"/>
      <c r="U61" s="29"/>
      <c r="V61" s="26"/>
      <c r="W61" s="26"/>
      <c r="AB61" s="1"/>
      <c r="AD61" s="1"/>
    </row>
    <row r="62" spans="1:30" x14ac:dyDescent="0.3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"/>
      <c r="U62" s="29"/>
      <c r="V62" s="26"/>
      <c r="W62" s="26"/>
      <c r="AB62" s="1"/>
      <c r="AD62" s="1"/>
    </row>
    <row r="66" spans="1:7" x14ac:dyDescent="0.3">
      <c r="A66" s="47"/>
      <c r="D66" s="43" t="s">
        <v>1158</v>
      </c>
      <c r="E66" s="43" t="s">
        <v>1159</v>
      </c>
      <c r="F66" s="43" t="s">
        <v>1160</v>
      </c>
      <c r="G66" s="43"/>
    </row>
    <row r="67" spans="1:7" x14ac:dyDescent="0.3">
      <c r="A67" s="47" t="s">
        <v>1161</v>
      </c>
      <c r="B67" s="2174"/>
      <c r="C67" s="2174"/>
      <c r="D67" s="2181">
        <f>E67*(1-10%)</f>
        <v>2850.842933576826</v>
      </c>
      <c r="E67" s="427">
        <f>'SAO PAULO'!T61</f>
        <v>3167.6032595298066</v>
      </c>
      <c r="F67" s="427">
        <f>E67*(1+15%)</f>
        <v>3642.7437484592774</v>
      </c>
      <c r="G67" s="427"/>
    </row>
    <row r="68" spans="1:7" x14ac:dyDescent="0.3">
      <c r="A68" s="47" t="s">
        <v>1162</v>
      </c>
      <c r="B68" s="2174"/>
      <c r="C68" s="2174"/>
      <c r="D68" s="2181">
        <f>E68*(1-25%)</f>
        <v>2023.3661115259738</v>
      </c>
      <c r="E68" s="427">
        <f>'SAO PAULO'!T105</f>
        <v>2697.8214820346316</v>
      </c>
      <c r="F68" s="427">
        <f>E68*(1+5%)</f>
        <v>2832.7125561363632</v>
      </c>
      <c r="G68" s="427"/>
    </row>
    <row r="69" spans="1:7" x14ac:dyDescent="0.3">
      <c r="A69" s="47" t="s">
        <v>550</v>
      </c>
      <c r="B69" s="2174"/>
      <c r="C69" s="2174"/>
      <c r="D69" s="2181">
        <f>E69*(1-15%)</f>
        <v>2686.6438023435653</v>
      </c>
      <c r="E69" s="427">
        <f>'SAO PAULO'!T150</f>
        <v>3160.7574145218418</v>
      </c>
      <c r="F69" s="427">
        <f>E69*(1+15%)</f>
        <v>3634.8710267001179</v>
      </c>
      <c r="G69" s="427"/>
    </row>
    <row r="70" spans="1:7" x14ac:dyDescent="0.3">
      <c r="A70" s="47" t="s">
        <v>679</v>
      </c>
      <c r="B70" s="2174"/>
      <c r="C70" s="2174"/>
      <c r="D70" s="2181">
        <f>E70*(1-25%)</f>
        <v>2140.4354920842216</v>
      </c>
      <c r="E70" s="427">
        <f>'SAO PAULO'!T193</f>
        <v>2853.9139894456284</v>
      </c>
      <c r="F70" s="427">
        <f>E70*(1+5%)</f>
        <v>2996.6096889179098</v>
      </c>
      <c r="G70" s="427"/>
    </row>
    <row r="71" spans="1:7" x14ac:dyDescent="0.3">
      <c r="A71" s="47" t="s">
        <v>568</v>
      </c>
      <c r="B71" s="2174"/>
      <c r="C71" s="2174"/>
      <c r="D71" s="2181">
        <f>E71*(1-25%)</f>
        <v>1702.537610126582</v>
      </c>
      <c r="E71" s="427">
        <f>'SAO PAULO'!T231</f>
        <v>2270.0501468354428</v>
      </c>
      <c r="F71" s="427">
        <f>E71*(1+5%)</f>
        <v>2383.5526541772151</v>
      </c>
      <c r="G71" s="427"/>
    </row>
    <row r="72" spans="1:7" x14ac:dyDescent="0.3">
      <c r="A72" s="47"/>
      <c r="B72" s="47"/>
      <c r="C72" s="47"/>
      <c r="D72" s="48"/>
    </row>
    <row r="73" spans="1:7" x14ac:dyDescent="0.3">
      <c r="A73" s="47"/>
      <c r="B73" s="46"/>
      <c r="C73" s="46"/>
      <c r="D73" s="2314" t="s">
        <v>1163</v>
      </c>
      <c r="E73" s="2315"/>
      <c r="F73" s="2315"/>
      <c r="G73" s="2316"/>
    </row>
    <row r="74" spans="1:7" x14ac:dyDescent="0.3">
      <c r="A74" s="47" t="s">
        <v>1161</v>
      </c>
      <c r="B74" s="2175"/>
      <c r="C74" s="2175"/>
      <c r="D74" s="304">
        <v>0.26952141057934509</v>
      </c>
      <c r="E74" s="3">
        <v>0.3056255247691016</v>
      </c>
      <c r="F74" s="3">
        <v>0.31738035264483627</v>
      </c>
      <c r="G74" s="3">
        <v>0.10747271200671704</v>
      </c>
    </row>
    <row r="75" spans="1:7" x14ac:dyDescent="0.3">
      <c r="A75" s="47" t="s">
        <v>1162</v>
      </c>
      <c r="B75" s="2175"/>
      <c r="C75" s="2175"/>
      <c r="D75" s="2175">
        <v>0.31457431457431456</v>
      </c>
      <c r="E75" s="304">
        <v>0.26262626262626265</v>
      </c>
      <c r="F75" s="304">
        <v>0.33044733044733043</v>
      </c>
      <c r="G75" s="304">
        <v>9.2352092352092352E-2</v>
      </c>
    </row>
    <row r="76" spans="1:7" x14ac:dyDescent="0.3">
      <c r="A76" s="47" t="s">
        <v>550</v>
      </c>
      <c r="B76" s="2175"/>
      <c r="C76" s="2175"/>
      <c r="D76" s="2175">
        <v>0.32231404958677684</v>
      </c>
      <c r="E76" s="304">
        <v>0.34710743801652894</v>
      </c>
      <c r="F76" s="304">
        <v>0.33057851239669422</v>
      </c>
      <c r="G76" s="304"/>
    </row>
    <row r="77" spans="1:7" x14ac:dyDescent="0.3">
      <c r="A77" s="47" t="s">
        <v>679</v>
      </c>
      <c r="B77" s="2175"/>
      <c r="C77" s="2175"/>
      <c r="D77" s="2175">
        <v>0.32622601279317698</v>
      </c>
      <c r="E77" s="304">
        <v>0.44989339019189767</v>
      </c>
      <c r="F77" s="304">
        <v>0.22388059701492538</v>
      </c>
      <c r="G77" s="304"/>
    </row>
    <row r="78" spans="1:7" x14ac:dyDescent="0.3">
      <c r="A78" s="47" t="s">
        <v>568</v>
      </c>
      <c r="B78" s="47"/>
      <c r="C78" s="47"/>
      <c r="D78" s="2175">
        <v>0.43037974683544306</v>
      </c>
      <c r="E78" s="3">
        <v>0.31645569620253167</v>
      </c>
      <c r="F78" s="304">
        <v>0.25316455696202533</v>
      </c>
    </row>
    <row r="79" spans="1:7" x14ac:dyDescent="0.3">
      <c r="A79" s="47"/>
      <c r="B79" s="47"/>
      <c r="C79" s="47"/>
      <c r="D79" s="48"/>
    </row>
    <row r="80" spans="1:7" x14ac:dyDescent="0.3">
      <c r="A80" s="47"/>
      <c r="B80" s="47"/>
      <c r="C80" s="47"/>
      <c r="D80" s="48"/>
    </row>
    <row r="81" spans="1:7" x14ac:dyDescent="0.3">
      <c r="A81" s="47"/>
      <c r="B81" s="47"/>
      <c r="C81" s="47"/>
      <c r="D81" s="48"/>
    </row>
    <row r="82" spans="1:7" x14ac:dyDescent="0.3">
      <c r="A82" s="47"/>
      <c r="B82" s="46"/>
      <c r="C82" s="46"/>
      <c r="D82" s="2314" t="s">
        <v>1164</v>
      </c>
      <c r="E82" s="2315"/>
      <c r="F82" s="2315"/>
      <c r="G82" s="2316"/>
    </row>
    <row r="83" spans="1:7" x14ac:dyDescent="0.3">
      <c r="A83" s="47" t="s">
        <v>1161</v>
      </c>
      <c r="B83" s="2175"/>
      <c r="C83" s="2175"/>
      <c r="D83" s="2175">
        <v>0.26952141057934509</v>
      </c>
      <c r="E83" s="2175">
        <v>0.3056255247691016</v>
      </c>
      <c r="F83" s="2175">
        <v>0.31738035264483627</v>
      </c>
      <c r="G83" s="2175">
        <v>0.10747271200671704</v>
      </c>
    </row>
    <row r="84" spans="1:7" x14ac:dyDescent="0.3">
      <c r="A84" s="47" t="s">
        <v>1162</v>
      </c>
      <c r="B84" s="6"/>
      <c r="C84" s="6"/>
      <c r="D84" s="6">
        <v>0.26233453670276774</v>
      </c>
      <c r="E84" s="2175">
        <v>0.27436823104693142</v>
      </c>
      <c r="F84" s="2175">
        <v>0.33092659446450062</v>
      </c>
      <c r="G84" s="2175">
        <v>0.13237063778580024</v>
      </c>
    </row>
    <row r="85" spans="1:7" x14ac:dyDescent="0.3">
      <c r="A85" s="47" t="s">
        <v>550</v>
      </c>
      <c r="B85" s="2175"/>
      <c r="C85" s="2175"/>
      <c r="D85" s="2175">
        <v>0.33997509339975096</v>
      </c>
      <c r="E85" s="2175">
        <v>0.36986301369863012</v>
      </c>
      <c r="F85" s="2175">
        <v>0.29016189290161892</v>
      </c>
      <c r="G85" s="2175"/>
    </row>
    <row r="86" spans="1:7" x14ac:dyDescent="0.3">
      <c r="A86" s="47" t="s">
        <v>679</v>
      </c>
      <c r="B86" s="2175"/>
      <c r="C86" s="2175"/>
      <c r="D86" s="6">
        <v>0.27767695099818512</v>
      </c>
      <c r="E86" s="2175">
        <v>0.4573502722323049</v>
      </c>
      <c r="F86" s="2175">
        <v>0.26497277676950998</v>
      </c>
      <c r="G86" s="2175"/>
    </row>
    <row r="87" spans="1:7" x14ac:dyDescent="0.3">
      <c r="A87" s="47" t="s">
        <v>568</v>
      </c>
      <c r="B87" s="47"/>
      <c r="C87" s="47"/>
      <c r="D87" s="6">
        <v>0.31775700934579437</v>
      </c>
      <c r="E87" s="2175">
        <v>0.3644859813084112</v>
      </c>
      <c r="F87" s="2175">
        <v>0.31775700934579437</v>
      </c>
      <c r="G87" s="217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199"/>
  <sheetViews>
    <sheetView workbookViewId="0"/>
  </sheetViews>
  <sheetFormatPr defaultRowHeight="14.4" x14ac:dyDescent="0.3"/>
  <sheetData>
    <row r="1" spans="1:16" ht="21" x14ac:dyDescent="0.4">
      <c r="A1" s="92" t="s">
        <v>764</v>
      </c>
    </row>
    <row r="2" spans="1:16" x14ac:dyDescent="0.3">
      <c r="A2" t="s">
        <v>452</v>
      </c>
    </row>
    <row r="5" spans="1:16" x14ac:dyDescent="0.3">
      <c r="B5" s="95"/>
    </row>
    <row r="6" spans="1:16" x14ac:dyDescent="0.3">
      <c r="B6" s="765"/>
      <c r="C6" s="661"/>
    </row>
    <row r="7" spans="1:16" x14ac:dyDescent="0.3">
      <c r="A7" s="100" t="s">
        <v>765</v>
      </c>
      <c r="B7" s="101">
        <v>3309519.1500000004</v>
      </c>
      <c r="C7" s="661"/>
    </row>
    <row r="8" spans="1:16" x14ac:dyDescent="0.3">
      <c r="A8" s="100" t="s">
        <v>766</v>
      </c>
      <c r="B8" s="766">
        <v>5794527.2999999998</v>
      </c>
    </row>
    <row r="10" spans="1:16" x14ac:dyDescent="0.3">
      <c r="A10" s="103" t="s">
        <v>767</v>
      </c>
      <c r="B10" s="104">
        <v>4481236.8</v>
      </c>
      <c r="C10" s="662"/>
    </row>
    <row r="11" spans="1:16" x14ac:dyDescent="0.3">
      <c r="A11" s="100" t="s">
        <v>768</v>
      </c>
      <c r="B11" s="767">
        <v>9335910</v>
      </c>
    </row>
    <row r="12" spans="1:16" x14ac:dyDescent="0.3">
      <c r="D12" s="713"/>
      <c r="E12" s="768"/>
    </row>
    <row r="14" spans="1:16" x14ac:dyDescent="0.3">
      <c r="A14" s="4" t="s">
        <v>457</v>
      </c>
    </row>
    <row r="15" spans="1:16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  <c r="I15" s="2"/>
      <c r="J15" s="1"/>
      <c r="K15" s="1"/>
      <c r="P15" s="1"/>
    </row>
    <row r="16" spans="1:16" x14ac:dyDescent="0.3">
      <c r="A16" s="107" t="s">
        <v>576</v>
      </c>
      <c r="B16" s="108" t="s">
        <v>463</v>
      </c>
      <c r="C16" s="109">
        <v>0.36</v>
      </c>
      <c r="D16" s="110">
        <v>1613245.2479999999</v>
      </c>
      <c r="E16" s="110">
        <v>537748.41599999997</v>
      </c>
    </row>
    <row r="17" spans="1:34" x14ac:dyDescent="0.3">
      <c r="A17" s="107" t="s">
        <v>464</v>
      </c>
      <c r="B17" s="108" t="s">
        <v>688</v>
      </c>
      <c r="C17" s="109">
        <v>0.4</v>
      </c>
      <c r="D17" s="110">
        <v>1792494.72</v>
      </c>
      <c r="E17" s="110">
        <v>448123.68</v>
      </c>
    </row>
    <row r="18" spans="1:34" x14ac:dyDescent="0.3">
      <c r="A18" s="107" t="s">
        <v>466</v>
      </c>
      <c r="B18" s="108">
        <v>4</v>
      </c>
      <c r="C18" s="109">
        <v>0.24</v>
      </c>
      <c r="D18" s="110">
        <v>1075496.8319999999</v>
      </c>
      <c r="E18" s="110">
        <v>268874.20799999998</v>
      </c>
      <c r="R18" s="93"/>
    </row>
    <row r="19" spans="1:34" x14ac:dyDescent="0.3">
      <c r="B19" s="1" t="s">
        <v>467</v>
      </c>
      <c r="C19" s="3">
        <v>1</v>
      </c>
      <c r="D19" s="112"/>
      <c r="R19" s="93"/>
    </row>
    <row r="22" spans="1:34" x14ac:dyDescent="0.3">
      <c r="A22" s="100" t="s">
        <v>769</v>
      </c>
      <c r="B22" s="769">
        <v>2315560</v>
      </c>
      <c r="G22" s="1" t="s">
        <v>470</v>
      </c>
      <c r="H22" s="1"/>
      <c r="I22" s="2" t="s">
        <v>758</v>
      </c>
      <c r="J22" s="2"/>
      <c r="K22" s="2"/>
      <c r="M22" s="1" t="s">
        <v>472</v>
      </c>
      <c r="N22" s="1"/>
      <c r="O22" s="1"/>
      <c r="P22" s="304">
        <v>0.59</v>
      </c>
      <c r="Q22" s="304"/>
    </row>
    <row r="23" spans="1:34" x14ac:dyDescent="0.3">
      <c r="A23" s="714" t="s">
        <v>579</v>
      </c>
      <c r="B23" s="770">
        <v>1197347</v>
      </c>
      <c r="G23" s="1" t="s">
        <v>473</v>
      </c>
      <c r="H23" s="1"/>
      <c r="I23" s="2" t="s">
        <v>770</v>
      </c>
      <c r="J23" s="2"/>
      <c r="K23" s="2"/>
      <c r="M23" s="1" t="s">
        <v>473</v>
      </c>
      <c r="N23" s="1"/>
      <c r="O23" s="1"/>
      <c r="P23" s="1">
        <v>101</v>
      </c>
      <c r="Q23" s="1"/>
    </row>
    <row r="24" spans="1:34" x14ac:dyDescent="0.3">
      <c r="E24" s="94"/>
      <c r="G24" s="1" t="s">
        <v>475</v>
      </c>
      <c r="H24" s="1"/>
      <c r="I24" s="2" t="s">
        <v>771</v>
      </c>
      <c r="J24" s="2"/>
      <c r="K24" s="2"/>
      <c r="M24" s="1" t="s">
        <v>475</v>
      </c>
      <c r="N24" s="1"/>
      <c r="O24" s="1"/>
      <c r="P24" s="95">
        <v>5985</v>
      </c>
      <c r="Q24" s="95"/>
    </row>
    <row r="25" spans="1:34" x14ac:dyDescent="0.3">
      <c r="E25" s="94"/>
      <c r="G25" s="1" t="s">
        <v>477</v>
      </c>
      <c r="H25" s="1"/>
      <c r="I25" s="2" t="s">
        <v>772</v>
      </c>
      <c r="J25" s="2"/>
      <c r="K25" s="2"/>
      <c r="M25" s="1" t="s">
        <v>477</v>
      </c>
      <c r="N25" s="1"/>
      <c r="O25" s="1"/>
      <c r="P25" s="95">
        <v>38869182</v>
      </c>
      <c r="Q25" s="95"/>
    </row>
    <row r="26" spans="1:34" x14ac:dyDescent="0.3">
      <c r="E26" s="94"/>
      <c r="I26" s="94"/>
      <c r="M26" s="95"/>
    </row>
    <row r="27" spans="1:34" x14ac:dyDescent="0.3">
      <c r="E27" s="94"/>
      <c r="I27" s="94"/>
      <c r="M27" s="95"/>
    </row>
    <row r="28" spans="1:34" ht="18" x14ac:dyDescent="0.35">
      <c r="A28" s="118" t="s">
        <v>479</v>
      </c>
      <c r="P28" s="115"/>
    </row>
    <row r="30" spans="1:34" x14ac:dyDescent="0.3">
      <c r="A30" s="2446" t="s">
        <v>480</v>
      </c>
      <c r="B30" s="2447"/>
      <c r="C30" s="2447"/>
      <c r="D30" s="2447"/>
      <c r="E30" s="2447"/>
      <c r="F30" s="2447"/>
      <c r="G30" s="2447"/>
      <c r="H30" s="2447"/>
      <c r="I30" s="2447"/>
      <c r="J30" s="2447"/>
      <c r="K30" s="2447"/>
      <c r="L30" s="2447"/>
      <c r="M30" s="2447"/>
      <c r="N30" s="2447"/>
      <c r="O30" s="2447"/>
      <c r="P30" s="2447"/>
      <c r="Q30" s="2447"/>
      <c r="R30" s="2448"/>
      <c r="S30" s="2338" t="s">
        <v>584</v>
      </c>
      <c r="T30" s="2339"/>
      <c r="U30" s="2339"/>
      <c r="V30" s="2339"/>
      <c r="W30" s="2339"/>
      <c r="X30" s="2339"/>
      <c r="Y30" s="2339"/>
      <c r="Z30" s="2339"/>
      <c r="AA30" s="2339"/>
      <c r="AB30" s="2339"/>
      <c r="AC30" s="2339"/>
      <c r="AD30" s="2339"/>
      <c r="AE30" s="2339"/>
      <c r="AF30" s="2339"/>
      <c r="AG30" s="2339"/>
      <c r="AH30" s="2340"/>
    </row>
    <row r="31" spans="1:34" ht="18" x14ac:dyDescent="0.35">
      <c r="A31" s="2284" t="s">
        <v>482</v>
      </c>
      <c r="B31" s="2286" t="s">
        <v>483</v>
      </c>
      <c r="C31" s="2286" t="s">
        <v>484</v>
      </c>
      <c r="D31" s="2286" t="s">
        <v>485</v>
      </c>
      <c r="E31" s="2286" t="s">
        <v>486</v>
      </c>
      <c r="F31" s="2288" t="s">
        <v>487</v>
      </c>
      <c r="G31" s="2286" t="s">
        <v>488</v>
      </c>
      <c r="H31" s="2286" t="s">
        <v>489</v>
      </c>
      <c r="I31" s="2266" t="s">
        <v>490</v>
      </c>
      <c r="J31" s="2266"/>
      <c r="K31" s="2266"/>
      <c r="L31" s="2266"/>
      <c r="M31" s="265" t="s">
        <v>491</v>
      </c>
      <c r="N31" s="266" t="s">
        <v>492</v>
      </c>
      <c r="O31" s="267" t="s">
        <v>493</v>
      </c>
      <c r="P31" s="266" t="s">
        <v>492</v>
      </c>
      <c r="Q31" s="266" t="s">
        <v>494</v>
      </c>
      <c r="R31" s="2267" t="s">
        <v>495</v>
      </c>
      <c r="S31" s="692" t="s">
        <v>496</v>
      </c>
      <c r="T31" s="2424" t="s">
        <v>497</v>
      </c>
      <c r="U31" s="2425"/>
      <c r="V31" s="2425"/>
      <c r="W31" s="2425"/>
      <c r="X31" s="2425"/>
      <c r="Y31" s="2418" t="s">
        <v>498</v>
      </c>
      <c r="Z31" s="2419"/>
      <c r="AA31" s="2418" t="s">
        <v>499</v>
      </c>
      <c r="AB31" s="2422"/>
      <c r="AC31" s="2422"/>
      <c r="AD31" s="2422"/>
      <c r="AE31" s="2422"/>
      <c r="AF31" s="2422"/>
      <c r="AG31" s="2422"/>
      <c r="AH31" s="2419"/>
    </row>
    <row r="32" spans="1:34" ht="18" x14ac:dyDescent="0.35">
      <c r="A32" s="2285"/>
      <c r="B32" s="2287"/>
      <c r="C32" s="2287"/>
      <c r="D32" s="2287"/>
      <c r="E32" s="2287"/>
      <c r="F32" s="2289"/>
      <c r="G32" s="2287"/>
      <c r="H32" s="2287"/>
      <c r="I32" s="269" t="s">
        <v>500</v>
      </c>
      <c r="J32" s="269" t="s">
        <v>501</v>
      </c>
      <c r="K32" s="269" t="s">
        <v>502</v>
      </c>
      <c r="L32" s="269" t="s">
        <v>503</v>
      </c>
      <c r="M32" s="270" t="s">
        <v>504</v>
      </c>
      <c r="N32" s="271" t="s">
        <v>505</v>
      </c>
      <c r="O32" s="272" t="s">
        <v>506</v>
      </c>
      <c r="P32" s="271" t="s">
        <v>507</v>
      </c>
      <c r="Q32" s="271" t="s">
        <v>507</v>
      </c>
      <c r="R32" s="2268"/>
      <c r="S32" s="671" t="s">
        <v>508</v>
      </c>
      <c r="T32" s="2427"/>
      <c r="U32" s="2428"/>
      <c r="V32" s="2428"/>
      <c r="W32" s="2428"/>
      <c r="X32" s="2428"/>
      <c r="Y32" s="2420"/>
      <c r="Z32" s="2421"/>
      <c r="AA32" s="2420"/>
      <c r="AB32" s="2423"/>
      <c r="AC32" s="2423"/>
      <c r="AD32" s="2423"/>
      <c r="AE32" s="2423"/>
      <c r="AF32" s="2423"/>
      <c r="AG32" s="2423"/>
      <c r="AH32" s="2421"/>
    </row>
    <row r="33" spans="1:34" ht="15.6" x14ac:dyDescent="0.3">
      <c r="A33" s="2462" t="s">
        <v>509</v>
      </c>
      <c r="B33" s="2463"/>
      <c r="C33" s="2463"/>
      <c r="D33" s="2463"/>
      <c r="E33" s="2463"/>
      <c r="F33" s="2463"/>
      <c r="G33" s="2463"/>
      <c r="H33" s="2463"/>
      <c r="I33" s="2463"/>
      <c r="J33" s="2463"/>
      <c r="K33" s="2463"/>
      <c r="L33" s="2463"/>
      <c r="M33" s="2463"/>
      <c r="N33" s="2463"/>
      <c r="O33" s="2463"/>
      <c r="P33" s="2463"/>
      <c r="Q33" s="2463"/>
      <c r="R33" s="2463"/>
      <c r="S33" s="771"/>
      <c r="T33" s="719" t="s">
        <v>510</v>
      </c>
      <c r="U33" s="717" t="s">
        <v>11</v>
      </c>
      <c r="V33" s="717" t="s">
        <v>511</v>
      </c>
      <c r="W33" s="717" t="s">
        <v>512</v>
      </c>
      <c r="X33" s="718" t="s">
        <v>513</v>
      </c>
      <c r="Y33" s="719" t="s">
        <v>514</v>
      </c>
      <c r="Z33" s="718" t="s">
        <v>515</v>
      </c>
      <c r="AA33" s="719" t="s">
        <v>4</v>
      </c>
      <c r="AB33" s="717" t="s">
        <v>135</v>
      </c>
      <c r="AC33" s="717" t="s">
        <v>136</v>
      </c>
      <c r="AD33" s="717" t="s">
        <v>137</v>
      </c>
      <c r="AE33" s="717" t="s">
        <v>138</v>
      </c>
      <c r="AF33" s="717" t="s">
        <v>5</v>
      </c>
      <c r="AG33" s="717" t="s">
        <v>139</v>
      </c>
      <c r="AH33" s="718" t="s">
        <v>140</v>
      </c>
    </row>
    <row r="34" spans="1:34" x14ac:dyDescent="0.3">
      <c r="A34" s="154"/>
      <c r="B34" s="462"/>
      <c r="C34" s="462"/>
      <c r="D34" s="462"/>
      <c r="E34" s="462"/>
      <c r="F34" s="463"/>
      <c r="G34" s="462"/>
      <c r="H34" s="462"/>
      <c r="I34" s="465"/>
      <c r="J34" s="465"/>
      <c r="K34" s="465"/>
      <c r="L34" s="465"/>
      <c r="M34" s="462"/>
      <c r="N34" s="468"/>
      <c r="O34" s="469"/>
      <c r="P34" s="468"/>
      <c r="Q34" s="468"/>
      <c r="R34" s="501"/>
      <c r="S34" s="149"/>
      <c r="T34" s="280"/>
      <c r="X34" s="152"/>
      <c r="Y34" s="280"/>
      <c r="Z34" s="152"/>
      <c r="AA34" s="280"/>
      <c r="AH34" s="152"/>
    </row>
    <row r="35" spans="1:34" x14ac:dyDescent="0.3">
      <c r="A35" s="157" t="s">
        <v>773</v>
      </c>
      <c r="B35" s="157" t="s">
        <v>141</v>
      </c>
      <c r="C35" s="157" t="s">
        <v>774</v>
      </c>
      <c r="D35" s="157" t="s">
        <v>142</v>
      </c>
      <c r="E35" s="157" t="s">
        <v>518</v>
      </c>
      <c r="F35" s="158" t="s">
        <v>775</v>
      </c>
      <c r="G35" s="157">
        <v>18</v>
      </c>
      <c r="H35" s="157" t="s">
        <v>22</v>
      </c>
      <c r="I35" s="175">
        <v>18</v>
      </c>
      <c r="J35" s="176"/>
      <c r="K35" s="176"/>
      <c r="L35" s="177"/>
      <c r="M35" s="157">
        <v>1</v>
      </c>
      <c r="N35" s="503">
        <v>22440</v>
      </c>
      <c r="O35" s="173">
        <v>0.65</v>
      </c>
      <c r="P35" s="503">
        <f>N35*(1-O35)</f>
        <v>7853.9999999999991</v>
      </c>
      <c r="Q35" s="503">
        <f>P35*M35*G35</f>
        <v>141371.99999999997</v>
      </c>
      <c r="R35" s="167">
        <f>Q35/Q53</f>
        <v>0.26190229709722912</v>
      </c>
      <c r="S35" s="168">
        <f>Q35*2</f>
        <v>282743.99999999994</v>
      </c>
      <c r="T35" s="282"/>
      <c r="U35" s="169">
        <f>S35</f>
        <v>282743.99999999994</v>
      </c>
      <c r="V35" s="169"/>
      <c r="W35" s="169"/>
      <c r="X35" s="171"/>
      <c r="Y35" s="282"/>
      <c r="Z35" s="171">
        <f>S35</f>
        <v>282743.99999999994</v>
      </c>
      <c r="AA35" s="282">
        <f>S35</f>
        <v>282743.99999999994</v>
      </c>
      <c r="AH35" s="152"/>
    </row>
    <row r="36" spans="1:34" x14ac:dyDescent="0.3">
      <c r="A36" s="157" t="s">
        <v>773</v>
      </c>
      <c r="B36" s="157" t="s">
        <v>135</v>
      </c>
      <c r="C36" s="157" t="s">
        <v>776</v>
      </c>
      <c r="D36" s="157" t="s">
        <v>103</v>
      </c>
      <c r="E36" s="157" t="s">
        <v>518</v>
      </c>
      <c r="F36" s="158" t="s">
        <v>523</v>
      </c>
      <c r="G36" s="157">
        <v>1</v>
      </c>
      <c r="H36" s="157" t="s">
        <v>24</v>
      </c>
      <c r="I36" s="175">
        <v>1</v>
      </c>
      <c r="J36" s="176"/>
      <c r="K36" s="179"/>
      <c r="L36" s="180"/>
      <c r="M36" s="157">
        <v>1</v>
      </c>
      <c r="N36" s="503">
        <f>38880*60%</f>
        <v>23328</v>
      </c>
      <c r="O36" s="173">
        <v>0.4</v>
      </c>
      <c r="P36" s="503">
        <f t="shared" ref="P36:P46" si="0">N36*(1-O36)</f>
        <v>13996.8</v>
      </c>
      <c r="Q36" s="503">
        <f>P36*M36*G36</f>
        <v>13996.8</v>
      </c>
      <c r="R36" s="167">
        <f t="shared" ref="R36:R46" si="1">Q36/$Q$53</f>
        <v>2.5930128115967073E-2</v>
      </c>
      <c r="S36" s="168">
        <f t="shared" ref="S36:S46" si="2">Q36*2</f>
        <v>27993.599999999999</v>
      </c>
      <c r="T36" s="282">
        <f t="shared" ref="T36:T41" si="3">S36</f>
        <v>27993.599999999999</v>
      </c>
      <c r="U36" s="169"/>
      <c r="V36" s="169"/>
      <c r="W36" s="169"/>
      <c r="X36" s="171"/>
      <c r="Y36" s="282"/>
      <c r="Z36" s="171">
        <f>S36</f>
        <v>27993.599999999999</v>
      </c>
      <c r="AA36" s="280"/>
      <c r="AB36" s="169">
        <f>S36</f>
        <v>27993.599999999999</v>
      </c>
      <c r="AH36" s="152"/>
    </row>
    <row r="37" spans="1:34" x14ac:dyDescent="0.3">
      <c r="A37" s="157" t="s">
        <v>773</v>
      </c>
      <c r="B37" s="157" t="s">
        <v>135</v>
      </c>
      <c r="C37" s="157" t="s">
        <v>776</v>
      </c>
      <c r="D37" s="157" t="s">
        <v>21</v>
      </c>
      <c r="E37" s="157" t="s">
        <v>518</v>
      </c>
      <c r="F37" s="158" t="s">
        <v>541</v>
      </c>
      <c r="G37" s="157">
        <v>3</v>
      </c>
      <c r="H37" s="157" t="s">
        <v>24</v>
      </c>
      <c r="I37" s="772"/>
      <c r="J37" s="179"/>
      <c r="K37" s="773">
        <v>3</v>
      </c>
      <c r="L37" s="177"/>
      <c r="M37" s="157">
        <v>1</v>
      </c>
      <c r="N37" s="503">
        <f>15552*60%</f>
        <v>9331.1999999999989</v>
      </c>
      <c r="O37" s="173">
        <v>0.4</v>
      </c>
      <c r="P37" s="503">
        <f t="shared" si="0"/>
        <v>5598.7199999999993</v>
      </c>
      <c r="Q37" s="503">
        <f t="shared" ref="Q37:Q44" si="4">P37*M37*G37</f>
        <v>16796.159999999996</v>
      </c>
      <c r="R37" s="167">
        <f t="shared" si="1"/>
        <v>3.1116153739160483E-2</v>
      </c>
      <c r="S37" s="168">
        <f t="shared" si="2"/>
        <v>33592.319999999992</v>
      </c>
      <c r="T37" s="282">
        <f t="shared" si="3"/>
        <v>33592.319999999992</v>
      </c>
      <c r="U37" s="169"/>
      <c r="V37" s="169"/>
      <c r="W37" s="169"/>
      <c r="X37" s="171"/>
      <c r="Y37" s="282"/>
      <c r="Z37" s="171">
        <f>S37</f>
        <v>33592.319999999992</v>
      </c>
      <c r="AA37" s="280"/>
      <c r="AB37" s="169">
        <f>S37</f>
        <v>33592.319999999992</v>
      </c>
      <c r="AH37" s="152"/>
    </row>
    <row r="38" spans="1:34" x14ac:dyDescent="0.3">
      <c r="A38" s="157" t="s">
        <v>773</v>
      </c>
      <c r="B38" s="157" t="s">
        <v>135</v>
      </c>
      <c r="C38" s="157" t="s">
        <v>776</v>
      </c>
      <c r="D38" s="157" t="s">
        <v>103</v>
      </c>
      <c r="E38" s="157" t="s">
        <v>524</v>
      </c>
      <c r="F38" s="158" t="s">
        <v>523</v>
      </c>
      <c r="G38" s="157">
        <v>1</v>
      </c>
      <c r="H38" s="157" t="s">
        <v>24</v>
      </c>
      <c r="I38" s="175">
        <v>1</v>
      </c>
      <c r="J38" s="176"/>
      <c r="K38" s="176"/>
      <c r="L38" s="177"/>
      <c r="M38" s="157">
        <v>1</v>
      </c>
      <c r="N38" s="503">
        <v>75600</v>
      </c>
      <c r="O38" s="173">
        <v>0.4</v>
      </c>
      <c r="P38" s="503">
        <f t="shared" si="0"/>
        <v>45360</v>
      </c>
      <c r="Q38" s="503">
        <f t="shared" si="4"/>
        <v>45360</v>
      </c>
      <c r="R38" s="178">
        <f t="shared" si="1"/>
        <v>8.4032822598041443E-2</v>
      </c>
      <c r="S38" s="168">
        <f t="shared" si="2"/>
        <v>90720</v>
      </c>
      <c r="T38" s="282">
        <f t="shared" si="3"/>
        <v>90720</v>
      </c>
      <c r="U38" s="169"/>
      <c r="V38" s="169"/>
      <c r="W38" s="169"/>
      <c r="X38" s="171"/>
      <c r="Y38" s="282">
        <f>S38</f>
        <v>90720</v>
      </c>
      <c r="Z38" s="171"/>
      <c r="AA38" s="280"/>
      <c r="AB38" s="169">
        <f>S38</f>
        <v>90720</v>
      </c>
      <c r="AH38" s="152"/>
    </row>
    <row r="39" spans="1:34" x14ac:dyDescent="0.3">
      <c r="A39" s="157" t="s">
        <v>773</v>
      </c>
      <c r="B39" s="157" t="s">
        <v>143</v>
      </c>
      <c r="C39" s="157" t="s">
        <v>776</v>
      </c>
      <c r="D39" s="157" t="s">
        <v>26</v>
      </c>
      <c r="E39" s="157" t="s">
        <v>520</v>
      </c>
      <c r="F39" s="158" t="s">
        <v>654</v>
      </c>
      <c r="G39" s="157">
        <v>2</v>
      </c>
      <c r="H39" s="157" t="s">
        <v>24</v>
      </c>
      <c r="I39" s="175">
        <v>2</v>
      </c>
      <c r="J39" s="176"/>
      <c r="K39" s="176"/>
      <c r="L39" s="177"/>
      <c r="M39" s="157">
        <v>1</v>
      </c>
      <c r="N39" s="503">
        <v>15714</v>
      </c>
      <c r="O39" s="173">
        <v>0.6</v>
      </c>
      <c r="P39" s="503">
        <f t="shared" si="0"/>
        <v>6285.6</v>
      </c>
      <c r="Q39" s="503">
        <f t="shared" si="4"/>
        <v>12571.2</v>
      </c>
      <c r="R39" s="178">
        <f t="shared" si="1"/>
        <v>2.328909654860006E-2</v>
      </c>
      <c r="S39" s="168">
        <f t="shared" si="2"/>
        <v>25142.400000000001</v>
      </c>
      <c r="T39" s="282">
        <f t="shared" si="3"/>
        <v>25142.400000000001</v>
      </c>
      <c r="U39" s="169"/>
      <c r="V39" s="169"/>
      <c r="W39" s="169"/>
      <c r="X39" s="171"/>
      <c r="Y39" s="282">
        <f>S39</f>
        <v>25142.400000000001</v>
      </c>
      <c r="Z39" s="171"/>
      <c r="AA39" s="280"/>
      <c r="AC39" s="169">
        <f>S39</f>
        <v>25142.400000000001</v>
      </c>
      <c r="AH39" s="152"/>
    </row>
    <row r="40" spans="1:34" x14ac:dyDescent="0.3">
      <c r="A40" s="157" t="s">
        <v>773</v>
      </c>
      <c r="B40" s="157" t="s">
        <v>143</v>
      </c>
      <c r="C40" s="157" t="s">
        <v>776</v>
      </c>
      <c r="D40" s="157" t="s">
        <v>144</v>
      </c>
      <c r="E40" s="157" t="s">
        <v>520</v>
      </c>
      <c r="F40" s="158" t="s">
        <v>640</v>
      </c>
      <c r="G40" s="157">
        <v>1</v>
      </c>
      <c r="H40" s="157" t="s">
        <v>24</v>
      </c>
      <c r="I40" s="175">
        <v>1</v>
      </c>
      <c r="J40" s="176"/>
      <c r="K40" s="176"/>
      <c r="L40" s="177"/>
      <c r="M40" s="157">
        <v>1</v>
      </c>
      <c r="N40" s="503">
        <v>18570</v>
      </c>
      <c r="O40" s="173">
        <v>0.6</v>
      </c>
      <c r="P40" s="503">
        <f t="shared" si="0"/>
        <v>7428</v>
      </c>
      <c r="Q40" s="503">
        <f t="shared" si="4"/>
        <v>7428</v>
      </c>
      <c r="R40" s="178">
        <f t="shared" si="1"/>
        <v>1.3760930473065518E-2</v>
      </c>
      <c r="S40" s="168">
        <f t="shared" si="2"/>
        <v>14856</v>
      </c>
      <c r="T40" s="282">
        <f t="shared" si="3"/>
        <v>14856</v>
      </c>
      <c r="U40" s="169"/>
      <c r="V40" s="169"/>
      <c r="W40" s="169"/>
      <c r="X40" s="171"/>
      <c r="Y40" s="282">
        <f>S40</f>
        <v>14856</v>
      </c>
      <c r="Z40" s="171"/>
      <c r="AA40" s="280"/>
      <c r="AC40" s="169">
        <f>S40</f>
        <v>14856</v>
      </c>
      <c r="AH40" s="152"/>
    </row>
    <row r="41" spans="1:34" x14ac:dyDescent="0.3">
      <c r="A41" s="157" t="s">
        <v>773</v>
      </c>
      <c r="B41" s="157" t="s">
        <v>143</v>
      </c>
      <c r="C41" s="157" t="s">
        <v>776</v>
      </c>
      <c r="D41" s="157" t="s">
        <v>21</v>
      </c>
      <c r="E41" s="157" t="s">
        <v>518</v>
      </c>
      <c r="F41" s="158" t="s">
        <v>641</v>
      </c>
      <c r="G41" s="157">
        <v>3</v>
      </c>
      <c r="H41" s="157" t="s">
        <v>24</v>
      </c>
      <c r="I41" s="175">
        <v>3</v>
      </c>
      <c r="J41" s="176"/>
      <c r="K41" s="176"/>
      <c r="L41" s="177"/>
      <c r="M41" s="157">
        <v>1</v>
      </c>
      <c r="N41" s="503">
        <f>(28572*60%)/2</f>
        <v>8571.6</v>
      </c>
      <c r="O41" s="173">
        <v>0.6</v>
      </c>
      <c r="P41" s="503">
        <f t="shared" si="0"/>
        <v>3428.6400000000003</v>
      </c>
      <c r="Q41" s="503">
        <f t="shared" si="4"/>
        <v>10285.920000000002</v>
      </c>
      <c r="R41" s="167">
        <f t="shared" si="1"/>
        <v>1.9055442914851117E-2</v>
      </c>
      <c r="S41" s="168">
        <f t="shared" si="2"/>
        <v>20571.840000000004</v>
      </c>
      <c r="T41" s="282">
        <f t="shared" si="3"/>
        <v>20571.840000000004</v>
      </c>
      <c r="U41" s="169"/>
      <c r="V41" s="169"/>
      <c r="W41" s="169"/>
      <c r="X41" s="171"/>
      <c r="Y41" s="282"/>
      <c r="Z41" s="171">
        <f>S41</f>
        <v>20571.840000000004</v>
      </c>
      <c r="AA41" s="280"/>
      <c r="AC41" s="169">
        <f>S41</f>
        <v>20571.840000000004</v>
      </c>
      <c r="AH41" s="152"/>
    </row>
    <row r="42" spans="1:34" x14ac:dyDescent="0.3">
      <c r="A42" s="157" t="s">
        <v>773</v>
      </c>
      <c r="B42" s="157" t="s">
        <v>145</v>
      </c>
      <c r="C42" s="157" t="s">
        <v>777</v>
      </c>
      <c r="D42" s="157" t="s">
        <v>11</v>
      </c>
      <c r="E42" s="157" t="s">
        <v>518</v>
      </c>
      <c r="F42" s="158" t="s">
        <v>778</v>
      </c>
      <c r="G42" s="157">
        <v>1</v>
      </c>
      <c r="H42" s="157" t="s">
        <v>22</v>
      </c>
      <c r="I42" s="175">
        <v>60</v>
      </c>
      <c r="J42" s="179"/>
      <c r="K42" s="285">
        <v>60</v>
      </c>
      <c r="L42" s="180"/>
      <c r="M42" s="157">
        <v>2</v>
      </c>
      <c r="N42" s="503">
        <v>115074</v>
      </c>
      <c r="O42" s="173">
        <v>0.5</v>
      </c>
      <c r="P42" s="503">
        <f t="shared" si="0"/>
        <v>57537</v>
      </c>
      <c r="Q42" s="503">
        <f t="shared" si="4"/>
        <v>115074</v>
      </c>
      <c r="R42" s="167">
        <f t="shared" si="1"/>
        <v>0.21318326780526944</v>
      </c>
      <c r="S42" s="168">
        <f t="shared" si="2"/>
        <v>230148</v>
      </c>
      <c r="T42" s="282"/>
      <c r="U42" s="169">
        <f>S42</f>
        <v>230148</v>
      </c>
      <c r="V42" s="169"/>
      <c r="W42" s="169"/>
      <c r="X42" s="171"/>
      <c r="Y42" s="282"/>
      <c r="Z42" s="171">
        <f>S42</f>
        <v>230148</v>
      </c>
      <c r="AA42" s="280"/>
      <c r="AD42" s="169">
        <f>S42</f>
        <v>230148</v>
      </c>
      <c r="AH42" s="152"/>
    </row>
    <row r="43" spans="1:34" x14ac:dyDescent="0.3">
      <c r="A43" s="157" t="s">
        <v>773</v>
      </c>
      <c r="B43" s="157" t="s">
        <v>145</v>
      </c>
      <c r="C43" s="157" t="s">
        <v>777</v>
      </c>
      <c r="D43" s="157" t="s">
        <v>11</v>
      </c>
      <c r="E43" s="157" t="s">
        <v>697</v>
      </c>
      <c r="F43" s="158" t="s">
        <v>779</v>
      </c>
      <c r="G43" s="157">
        <v>25</v>
      </c>
      <c r="H43" s="157" t="s">
        <v>22</v>
      </c>
      <c r="I43" s="772"/>
      <c r="J43" s="285">
        <v>25</v>
      </c>
      <c r="K43" s="285">
        <v>25</v>
      </c>
      <c r="L43" s="774"/>
      <c r="M43" s="163">
        <v>2</v>
      </c>
      <c r="N43" s="503">
        <v>2117</v>
      </c>
      <c r="O43" s="173">
        <v>0.5</v>
      </c>
      <c r="P43" s="503">
        <f t="shared" si="0"/>
        <v>1058.5</v>
      </c>
      <c r="Q43" s="503">
        <f t="shared" si="4"/>
        <v>52925</v>
      </c>
      <c r="R43" s="178">
        <f t="shared" si="1"/>
        <v>9.8047555908318859E-2</v>
      </c>
      <c r="S43" s="168">
        <f t="shared" si="2"/>
        <v>105850</v>
      </c>
      <c r="T43" s="282"/>
      <c r="U43" s="169">
        <f>S43</f>
        <v>105850</v>
      </c>
      <c r="V43" s="169"/>
      <c r="W43" s="169"/>
      <c r="X43" s="171"/>
      <c r="Y43" s="282">
        <f>S43</f>
        <v>105850</v>
      </c>
      <c r="Z43" s="171"/>
      <c r="AA43" s="280"/>
      <c r="AD43" s="169">
        <f>S43</f>
        <v>105850</v>
      </c>
      <c r="AH43" s="152"/>
    </row>
    <row r="44" spans="1:34" x14ac:dyDescent="0.3">
      <c r="A44" s="157" t="s">
        <v>773</v>
      </c>
      <c r="B44" s="157" t="s">
        <v>146</v>
      </c>
      <c r="C44" s="157" t="s">
        <v>776</v>
      </c>
      <c r="D44" s="157" t="s">
        <v>21</v>
      </c>
      <c r="E44" s="157" t="s">
        <v>518</v>
      </c>
      <c r="F44" s="158" t="s">
        <v>541</v>
      </c>
      <c r="G44" s="157">
        <v>2</v>
      </c>
      <c r="H44" s="157" t="s">
        <v>24</v>
      </c>
      <c r="I44" s="175">
        <v>2</v>
      </c>
      <c r="J44" s="176"/>
      <c r="K44" s="176"/>
      <c r="L44" s="177"/>
      <c r="M44" s="157">
        <v>1</v>
      </c>
      <c r="N44" s="166">
        <v>25500</v>
      </c>
      <c r="O44" s="173">
        <v>0.8</v>
      </c>
      <c r="P44" s="166">
        <f t="shared" si="0"/>
        <v>5099.9999999999991</v>
      </c>
      <c r="Q44" s="166">
        <f t="shared" si="4"/>
        <v>10199.999999999998</v>
      </c>
      <c r="R44" s="167">
        <f t="shared" si="1"/>
        <v>1.8896269631834713E-2</v>
      </c>
      <c r="S44" s="168">
        <f t="shared" si="2"/>
        <v>20399.999999999996</v>
      </c>
      <c r="T44" s="282">
        <f>S44</f>
        <v>20399.999999999996</v>
      </c>
      <c r="U44" s="169"/>
      <c r="V44" s="169"/>
      <c r="W44" s="169"/>
      <c r="X44" s="171"/>
      <c r="Y44" s="282"/>
      <c r="Z44" s="171">
        <f>T44</f>
        <v>20399.999999999996</v>
      </c>
      <c r="AA44" s="280"/>
      <c r="AE44" s="169">
        <f>S44</f>
        <v>20399.999999999996</v>
      </c>
      <c r="AF44" s="169"/>
      <c r="AG44" s="169"/>
      <c r="AH44" s="152"/>
    </row>
    <row r="45" spans="1:34" x14ac:dyDescent="0.3">
      <c r="A45" s="157" t="s">
        <v>773</v>
      </c>
      <c r="B45" s="157" t="s">
        <v>146</v>
      </c>
      <c r="C45" s="157" t="s">
        <v>776</v>
      </c>
      <c r="D45" s="157" t="s">
        <v>103</v>
      </c>
      <c r="E45" s="157" t="s">
        <v>518</v>
      </c>
      <c r="F45" s="158" t="s">
        <v>523</v>
      </c>
      <c r="G45" s="157">
        <v>1</v>
      </c>
      <c r="H45" s="157" t="s">
        <v>24</v>
      </c>
      <c r="I45" s="175">
        <v>1</v>
      </c>
      <c r="J45" s="176"/>
      <c r="K45" s="176"/>
      <c r="L45" s="177"/>
      <c r="M45" s="157">
        <v>1</v>
      </c>
      <c r="N45" s="166">
        <v>104400</v>
      </c>
      <c r="O45" s="173">
        <v>0.8</v>
      </c>
      <c r="P45" s="166">
        <f t="shared" si="0"/>
        <v>20879.999999999996</v>
      </c>
      <c r="Q45" s="166">
        <f>P45*M45*G45</f>
        <v>20879.999999999996</v>
      </c>
      <c r="R45" s="167">
        <f t="shared" si="1"/>
        <v>3.868177548163812E-2</v>
      </c>
      <c r="S45" s="168">
        <f t="shared" si="2"/>
        <v>41759.999999999993</v>
      </c>
      <c r="T45" s="282">
        <f>S45</f>
        <v>41759.999999999993</v>
      </c>
      <c r="X45" s="152"/>
      <c r="Y45" s="280"/>
      <c r="Z45" s="171">
        <f>T45</f>
        <v>41759.999999999993</v>
      </c>
      <c r="AA45" s="280"/>
      <c r="AE45" s="169">
        <f>S45</f>
        <v>41759.999999999993</v>
      </c>
      <c r="AF45" s="169"/>
      <c r="AG45" s="169"/>
      <c r="AH45" s="152"/>
    </row>
    <row r="46" spans="1:34" x14ac:dyDescent="0.3">
      <c r="A46" s="157" t="s">
        <v>773</v>
      </c>
      <c r="B46" s="157" t="s">
        <v>146</v>
      </c>
      <c r="C46" s="157" t="s">
        <v>776</v>
      </c>
      <c r="D46" s="157" t="s">
        <v>26</v>
      </c>
      <c r="E46" s="157" t="s">
        <v>697</v>
      </c>
      <c r="F46" s="158" t="s">
        <v>654</v>
      </c>
      <c r="G46" s="157">
        <v>1</v>
      </c>
      <c r="H46" s="157" t="s">
        <v>24</v>
      </c>
      <c r="I46" s="175">
        <v>1</v>
      </c>
      <c r="J46" s="176"/>
      <c r="K46" s="176"/>
      <c r="L46" s="177"/>
      <c r="M46" s="157">
        <v>1</v>
      </c>
      <c r="N46" s="166">
        <v>14500</v>
      </c>
      <c r="O46" s="173">
        <v>0.8</v>
      </c>
      <c r="P46" s="166">
        <f t="shared" si="0"/>
        <v>2899.9999999999995</v>
      </c>
      <c r="Q46" s="166">
        <f>P46*M46*G46</f>
        <v>2899.9999999999995</v>
      </c>
      <c r="R46" s="178">
        <f t="shared" si="1"/>
        <v>5.3724688168941834E-3</v>
      </c>
      <c r="S46" s="168">
        <f t="shared" si="2"/>
        <v>5799.9999999999991</v>
      </c>
      <c r="T46" s="282">
        <f>S46</f>
        <v>5799.9999999999991</v>
      </c>
      <c r="X46" s="152"/>
      <c r="Y46" s="282">
        <f>S46</f>
        <v>5799.9999999999991</v>
      </c>
      <c r="Z46" s="152"/>
      <c r="AA46" s="280"/>
      <c r="AE46" s="169">
        <f>S46</f>
        <v>5799.9999999999991</v>
      </c>
      <c r="AF46" s="169"/>
      <c r="AG46" s="169"/>
      <c r="AH46" s="152"/>
    </row>
    <row r="47" spans="1:34" x14ac:dyDescent="0.3">
      <c r="A47" s="172"/>
      <c r="B47" s="157"/>
      <c r="C47" s="157"/>
      <c r="D47" s="157"/>
      <c r="E47" s="157"/>
      <c r="F47" s="158"/>
      <c r="G47" s="157"/>
      <c r="H47" s="157"/>
      <c r="M47" s="157"/>
      <c r="N47" s="166"/>
      <c r="O47" s="173"/>
      <c r="P47" s="166"/>
      <c r="Q47" s="166"/>
      <c r="R47" s="393"/>
      <c r="S47" s="149"/>
      <c r="T47" s="280"/>
      <c r="X47" s="152"/>
      <c r="Y47" s="280"/>
      <c r="Z47" s="152"/>
      <c r="AA47" s="280"/>
      <c r="AH47" s="152"/>
    </row>
    <row r="48" spans="1:34" x14ac:dyDescent="0.3">
      <c r="A48" s="172"/>
      <c r="B48" s="157"/>
      <c r="C48" s="157"/>
      <c r="D48" s="157"/>
      <c r="E48" s="157"/>
      <c r="F48" s="158"/>
      <c r="G48" s="157"/>
      <c r="H48" s="157"/>
      <c r="M48" s="157"/>
      <c r="N48" s="166"/>
      <c r="O48" s="173"/>
      <c r="P48" s="166"/>
      <c r="Q48" s="166"/>
      <c r="R48" s="393"/>
      <c r="S48" s="149"/>
      <c r="T48" s="280"/>
      <c r="X48" s="152"/>
      <c r="Y48" s="280"/>
      <c r="Z48" s="152"/>
      <c r="AA48" s="280"/>
      <c r="AH48" s="152"/>
    </row>
    <row r="49" spans="1:34" x14ac:dyDescent="0.3">
      <c r="A49" s="172"/>
      <c r="B49" s="157"/>
      <c r="C49" s="157"/>
      <c r="D49" s="157"/>
      <c r="E49" s="157"/>
      <c r="F49" s="158"/>
      <c r="G49" s="157"/>
      <c r="H49" s="157"/>
      <c r="M49" s="157"/>
      <c r="N49" s="166"/>
      <c r="O49" s="173"/>
      <c r="P49" s="166"/>
      <c r="Q49" s="166"/>
      <c r="R49" s="393"/>
      <c r="S49" s="149"/>
      <c r="T49" s="280"/>
      <c r="X49" s="152"/>
      <c r="Y49" s="280"/>
      <c r="Z49" s="152"/>
      <c r="AA49" s="280"/>
      <c r="AH49" s="152"/>
    </row>
    <row r="50" spans="1:34" x14ac:dyDescent="0.3">
      <c r="A50" s="108" t="s">
        <v>773</v>
      </c>
      <c r="B50" s="108" t="s">
        <v>528</v>
      </c>
      <c r="C50" s="289" t="s">
        <v>780</v>
      </c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90"/>
      <c r="Q50" s="257">
        <v>65000</v>
      </c>
      <c r="R50" s="291">
        <f>Q50/Q53</f>
        <v>0.12041740451659379</v>
      </c>
      <c r="S50" s="168">
        <f t="shared" ref="S50:S51" si="5">Q50*2</f>
        <v>130000</v>
      </c>
      <c r="T50" s="280"/>
      <c r="W50" s="169">
        <f>S50</f>
        <v>130000</v>
      </c>
      <c r="X50" s="152"/>
      <c r="Y50" s="280"/>
      <c r="Z50" s="152"/>
      <c r="AA50" s="280"/>
      <c r="AH50" s="152"/>
    </row>
    <row r="51" spans="1:34" x14ac:dyDescent="0.3">
      <c r="A51" s="108" t="s">
        <v>773</v>
      </c>
      <c r="B51" s="108" t="s">
        <v>529</v>
      </c>
      <c r="C51" s="289"/>
      <c r="D51" s="252"/>
      <c r="E51" s="252"/>
      <c r="F51" s="253"/>
      <c r="G51" s="252"/>
      <c r="H51" s="252"/>
      <c r="I51" s="254"/>
      <c r="J51" s="254"/>
      <c r="K51" s="254"/>
      <c r="L51" s="254"/>
      <c r="M51" s="252"/>
      <c r="N51" s="255"/>
      <c r="O51" s="256"/>
      <c r="P51" s="290"/>
      <c r="Q51" s="257">
        <v>25000</v>
      </c>
      <c r="R51" s="291">
        <f>Q51/Q53</f>
        <v>4.6314386352536069E-2</v>
      </c>
      <c r="S51" s="168">
        <f t="shared" si="5"/>
        <v>50000</v>
      </c>
      <c r="T51" s="280"/>
      <c r="X51" s="171">
        <f>S51</f>
        <v>50000</v>
      </c>
      <c r="Y51" s="280"/>
      <c r="Z51" s="152"/>
      <c r="AA51" s="280"/>
      <c r="AH51" s="152"/>
    </row>
    <row r="52" spans="1:34" x14ac:dyDescent="0.3">
      <c r="I52" s="115">
        <f>I53/$M$53</f>
        <v>0.43216080402010049</v>
      </c>
      <c r="J52" s="115">
        <f t="shared" ref="J52:L52" si="6">J53/$M$53</f>
        <v>0.12562814070351758</v>
      </c>
      <c r="K52" s="115">
        <f t="shared" si="6"/>
        <v>0.44221105527638194</v>
      </c>
      <c r="L52" s="115">
        <f t="shared" si="6"/>
        <v>0</v>
      </c>
      <c r="S52" s="645"/>
      <c r="T52" s="566"/>
      <c r="U52" s="245"/>
      <c r="V52" s="245"/>
      <c r="W52" s="245"/>
      <c r="X52" s="567"/>
      <c r="Y52" s="566"/>
      <c r="Z52" s="567"/>
      <c r="AA52" s="566"/>
      <c r="AB52" s="245"/>
      <c r="AC52" s="245"/>
      <c r="AD52" s="245"/>
      <c r="AE52" s="245"/>
      <c r="AF52" s="245"/>
      <c r="AG52" s="245"/>
      <c r="AH52" s="567"/>
    </row>
    <row r="53" spans="1:34" x14ac:dyDescent="0.3">
      <c r="A53" s="212" t="s">
        <v>531</v>
      </c>
      <c r="B53" s="213"/>
      <c r="C53" s="213"/>
      <c r="D53" s="213"/>
      <c r="E53" s="213"/>
      <c r="F53" s="214"/>
      <c r="G53" s="213"/>
      <c r="H53" s="213"/>
      <c r="I53" s="690">
        <f>I42+I40+I39+I38+I35+I44+I45+I46</f>
        <v>86</v>
      </c>
      <c r="J53" s="690">
        <f>J43</f>
        <v>25</v>
      </c>
      <c r="K53" s="690">
        <f>K43+K42+K37</f>
        <v>88</v>
      </c>
      <c r="L53" s="690">
        <v>0</v>
      </c>
      <c r="M53" s="213">
        <f>SUM(I53:L53)</f>
        <v>199</v>
      </c>
      <c r="N53" s="215"/>
      <c r="O53" s="216"/>
      <c r="P53" s="215"/>
      <c r="Q53" s="217">
        <f>SUM(Q35:Q52)</f>
        <v>539789.07999999996</v>
      </c>
      <c r="R53" s="218">
        <f>SUM(R35:R51)</f>
        <v>0.99999999999999989</v>
      </c>
      <c r="S53" s="610">
        <f>SUM(S35:S52)</f>
        <v>1079578.1599999999</v>
      </c>
      <c r="T53" s="220">
        <f>SUM(T35:T51)</f>
        <v>280836.15999999997</v>
      </c>
      <c r="U53" s="221">
        <f>SUM(U35:U51)</f>
        <v>618742</v>
      </c>
      <c r="V53" s="221">
        <f t="shared" ref="V53" si="7">SUM(V35:V51)</f>
        <v>0</v>
      </c>
      <c r="W53" s="221">
        <f>SUM(W35:W51)</f>
        <v>130000</v>
      </c>
      <c r="X53" s="223">
        <f>SUM(X35:X51)</f>
        <v>50000</v>
      </c>
      <c r="Y53" s="222">
        <f>SUM(Y35:Y51)</f>
        <v>242368.4</v>
      </c>
      <c r="Z53" s="223">
        <f>SUM(Z35:Z51)</f>
        <v>657209.76</v>
      </c>
      <c r="AA53" s="220">
        <f>SUM(AA34:AA52)</f>
        <v>282743.99999999994</v>
      </c>
      <c r="AB53" s="221">
        <f>SUM(AB34:AB52)</f>
        <v>152305.91999999998</v>
      </c>
      <c r="AC53" s="221">
        <f t="shared" ref="AC53:AE53" si="8">SUM(AC34:AC52)</f>
        <v>60570.240000000005</v>
      </c>
      <c r="AD53" s="221">
        <f t="shared" si="8"/>
        <v>335998</v>
      </c>
      <c r="AE53" s="221">
        <f t="shared" si="8"/>
        <v>67959.999999999985</v>
      </c>
      <c r="AF53" s="221"/>
      <c r="AG53" s="221"/>
      <c r="AH53" s="223"/>
    </row>
    <row r="54" spans="1:34" x14ac:dyDescent="0.3">
      <c r="A54" s="228" t="s">
        <v>532</v>
      </c>
      <c r="B54" s="229"/>
      <c r="C54" s="229"/>
      <c r="D54" s="229"/>
      <c r="E54" s="229"/>
      <c r="F54" s="230"/>
      <c r="G54" s="229"/>
      <c r="H54" s="229"/>
      <c r="I54" s="691">
        <f>I42+I40+I39+I38+I35+I36+I44+I45+I46</f>
        <v>87</v>
      </c>
      <c r="J54" s="691">
        <f>I35+I36+I38+I39+I40+I41+J43+I44+I45+I46</f>
        <v>55</v>
      </c>
      <c r="K54" s="691">
        <f>I35+K37+I38+I39+I40+I41+K42+K43+I44+I45+I46</f>
        <v>117</v>
      </c>
      <c r="L54" s="691">
        <f>I35+K37+I38+I39+I40+I41+I44+I45+I46</f>
        <v>32</v>
      </c>
      <c r="M54" s="229">
        <f>SUM(I54:L54)</f>
        <v>291</v>
      </c>
      <c r="N54" s="231"/>
      <c r="O54" s="232"/>
      <c r="P54" s="231"/>
      <c r="Q54" s="231"/>
      <c r="R54" s="233"/>
      <c r="S54" s="234"/>
      <c r="T54" s="235">
        <f>T53/S53</f>
        <v>0.26013508832005272</v>
      </c>
      <c r="U54" s="236">
        <f>U53/S53</f>
        <v>0.57313312081081746</v>
      </c>
      <c r="V54" s="487"/>
      <c r="W54" s="236">
        <f>W53/S53</f>
        <v>0.12041740451659379</v>
      </c>
      <c r="X54" s="297">
        <f>X53/S53</f>
        <v>4.6314386352536069E-2</v>
      </c>
      <c r="Y54" s="298">
        <f>Y53/S53</f>
        <v>0.22450287434492006</v>
      </c>
      <c r="Z54" s="297">
        <f>Z53/S53</f>
        <v>0.60876533478595019</v>
      </c>
      <c r="AA54" s="743"/>
      <c r="AB54" s="487"/>
      <c r="AC54" s="487"/>
      <c r="AD54" s="487"/>
      <c r="AE54" s="487"/>
      <c r="AF54" s="487"/>
      <c r="AG54" s="487"/>
      <c r="AH54" s="242"/>
    </row>
    <row r="55" spans="1:34" x14ac:dyDescent="0.3">
      <c r="A55" s="243" t="s">
        <v>533</v>
      </c>
      <c r="B55" s="193"/>
      <c r="C55" s="193"/>
      <c r="D55" s="193"/>
      <c r="E55" s="193"/>
      <c r="F55" s="244"/>
      <c r="G55" s="193"/>
      <c r="H55" s="193"/>
      <c r="I55" s="2182">
        <f>I54/$M$54</f>
        <v>0.29896907216494845</v>
      </c>
      <c r="J55" s="2182">
        <f t="shared" ref="J55:L55" si="9">J54/$M$54</f>
        <v>0.18900343642611683</v>
      </c>
      <c r="K55" s="2182">
        <f t="shared" si="9"/>
        <v>0.40206185567010311</v>
      </c>
      <c r="L55" s="2182">
        <f t="shared" si="9"/>
        <v>0.10996563573883161</v>
      </c>
      <c r="M55" s="193"/>
      <c r="N55" s="246"/>
      <c r="O55" s="196"/>
      <c r="P55" s="246"/>
      <c r="Q55" s="194">
        <f>T53/2</f>
        <v>140418.07999999999</v>
      </c>
      <c r="R55" s="247">
        <f>Q55/Q53</f>
        <v>0.26013508832005272</v>
      </c>
      <c r="X55" s="248"/>
      <c r="Y55" s="357">
        <f>I38+I39+I40+J43+K43</f>
        <v>54</v>
      </c>
      <c r="Z55" s="358">
        <f>I35+I36+K37+I41+I42+K42+I44+I45</f>
        <v>148</v>
      </c>
    </row>
    <row r="56" spans="1:34" x14ac:dyDescent="0.3">
      <c r="A56" s="251" t="s">
        <v>11</v>
      </c>
      <c r="B56" s="252"/>
      <c r="C56" s="252"/>
      <c r="D56" s="252"/>
      <c r="E56" s="252"/>
      <c r="F56" s="253"/>
      <c r="G56" s="252"/>
      <c r="H56" s="252"/>
      <c r="I56" s="254"/>
      <c r="J56" s="254"/>
      <c r="K56" s="254"/>
      <c r="L56" s="254"/>
      <c r="M56" s="252"/>
      <c r="N56" s="255"/>
      <c r="O56" s="256"/>
      <c r="P56" s="255"/>
      <c r="Q56" s="257">
        <f>U53/2</f>
        <v>309371</v>
      </c>
      <c r="R56" s="262">
        <f>Q56/Q53</f>
        <v>0.57313312081081746</v>
      </c>
      <c r="S56" s="574">
        <f>Q53/M53</f>
        <v>2712.5079396984925</v>
      </c>
      <c r="T56" s="489" t="s">
        <v>535</v>
      </c>
      <c r="Y56" s="195">
        <f>Y55/M53</f>
        <v>0.271356783919598</v>
      </c>
      <c r="Z56" s="247">
        <f>Z55/M53</f>
        <v>0.74371859296482412</v>
      </c>
    </row>
    <row r="57" spans="1:34" x14ac:dyDescent="0.3">
      <c r="A57" s="251" t="s">
        <v>528</v>
      </c>
      <c r="B57" s="252"/>
      <c r="C57" s="252"/>
      <c r="D57" s="252"/>
      <c r="E57" s="252"/>
      <c r="F57" s="253"/>
      <c r="G57" s="252"/>
      <c r="H57" s="252"/>
      <c r="I57" s="254"/>
      <c r="J57" s="254"/>
      <c r="K57" s="254"/>
      <c r="L57" s="254"/>
      <c r="M57" s="252"/>
      <c r="N57" s="255"/>
      <c r="O57" s="256"/>
      <c r="P57" s="255"/>
      <c r="Q57" s="257">
        <f>Q50</f>
        <v>65000</v>
      </c>
      <c r="R57" s="262">
        <f>Q57/Q53</f>
        <v>0.12041740451659379</v>
      </c>
      <c r="Y57" s="2265" t="s">
        <v>537</v>
      </c>
      <c r="Z57" s="2265"/>
    </row>
    <row r="58" spans="1:34" x14ac:dyDescent="0.3">
      <c r="A58" s="251" t="s">
        <v>529</v>
      </c>
      <c r="B58" s="252"/>
      <c r="C58" s="252"/>
      <c r="D58" s="252"/>
      <c r="E58" s="252"/>
      <c r="F58" s="253"/>
      <c r="G58" s="252"/>
      <c r="H58" s="252"/>
      <c r="I58" s="254"/>
      <c r="J58" s="254"/>
      <c r="K58" s="254"/>
      <c r="L58" s="254"/>
      <c r="M58" s="252"/>
      <c r="N58" s="255"/>
      <c r="O58" s="256"/>
      <c r="P58" s="255"/>
      <c r="Q58" s="257">
        <f>Q51</f>
        <v>25000</v>
      </c>
      <c r="R58" s="262">
        <f>Q58/Q53</f>
        <v>4.6314386352536069E-2</v>
      </c>
    </row>
    <row r="59" spans="1:34" x14ac:dyDescent="0.3">
      <c r="A59" s="243"/>
      <c r="B59" s="193"/>
      <c r="C59" s="193"/>
      <c r="D59" s="193"/>
      <c r="E59" s="193"/>
      <c r="F59" s="244"/>
      <c r="G59" s="193"/>
      <c r="H59" s="193"/>
      <c r="I59" s="245"/>
      <c r="J59" s="245"/>
      <c r="K59" s="245"/>
      <c r="L59" s="245"/>
      <c r="M59" s="193"/>
      <c r="N59" s="246"/>
      <c r="O59" s="196"/>
      <c r="P59" s="246"/>
      <c r="Q59" s="194">
        <f>SUM(Q55:Q58)</f>
        <v>539789.07999999996</v>
      </c>
      <c r="R59" s="247">
        <f>SUM(R55:R58)</f>
        <v>1</v>
      </c>
      <c r="S59" s="600"/>
    </row>
    <row r="62" spans="1:34" ht="18" x14ac:dyDescent="0.35">
      <c r="A62" s="118" t="s">
        <v>538</v>
      </c>
    </row>
    <row r="64" spans="1:34" x14ac:dyDescent="0.3">
      <c r="A64" s="2446" t="s">
        <v>480</v>
      </c>
      <c r="B64" s="2447"/>
      <c r="C64" s="2447"/>
      <c r="D64" s="2447"/>
      <c r="E64" s="2447"/>
      <c r="F64" s="2447"/>
      <c r="G64" s="2447"/>
      <c r="H64" s="2447"/>
      <c r="I64" s="2447"/>
      <c r="J64" s="2447"/>
      <c r="K64" s="2447"/>
      <c r="L64" s="2447"/>
      <c r="M64" s="2447"/>
      <c r="N64" s="2447"/>
      <c r="O64" s="2447"/>
      <c r="P64" s="2447"/>
      <c r="Q64" s="2447"/>
      <c r="R64" s="2448"/>
      <c r="S64" s="2338" t="s">
        <v>584</v>
      </c>
      <c r="T64" s="2339"/>
      <c r="U64" s="2339"/>
      <c r="V64" s="2339"/>
      <c r="W64" s="2339"/>
      <c r="X64" s="2339"/>
      <c r="Y64" s="2339"/>
      <c r="Z64" s="2339"/>
      <c r="AA64" s="2339"/>
      <c r="AB64" s="2339"/>
      <c r="AC64" s="2339"/>
      <c r="AD64" s="2339"/>
      <c r="AE64" s="2339"/>
      <c r="AF64" s="2339"/>
      <c r="AG64" s="2339"/>
      <c r="AH64" s="2340"/>
    </row>
    <row r="65" spans="1:34" ht="18" x14ac:dyDescent="0.35">
      <c r="A65" s="2460" t="s">
        <v>482</v>
      </c>
      <c r="B65" s="2457" t="s">
        <v>483</v>
      </c>
      <c r="C65" s="2457" t="s">
        <v>484</v>
      </c>
      <c r="D65" s="2457" t="s">
        <v>555</v>
      </c>
      <c r="E65" s="2457" t="s">
        <v>556</v>
      </c>
      <c r="F65" s="2461" t="s">
        <v>487</v>
      </c>
      <c r="G65" s="2457" t="s">
        <v>557</v>
      </c>
      <c r="H65" s="2457" t="s">
        <v>489</v>
      </c>
      <c r="I65" s="2458" t="s">
        <v>490</v>
      </c>
      <c r="J65" s="2458"/>
      <c r="K65" s="2458"/>
      <c r="L65" s="2458"/>
      <c r="M65" s="775" t="s">
        <v>491</v>
      </c>
      <c r="N65" s="776" t="s">
        <v>781</v>
      </c>
      <c r="O65" s="777" t="s">
        <v>493</v>
      </c>
      <c r="P65" s="776" t="s">
        <v>558</v>
      </c>
      <c r="Q65" s="776" t="s">
        <v>559</v>
      </c>
      <c r="R65" s="2459" t="s">
        <v>495</v>
      </c>
      <c r="S65" s="692" t="s">
        <v>496</v>
      </c>
      <c r="T65" s="2424" t="s">
        <v>497</v>
      </c>
      <c r="U65" s="2425"/>
      <c r="V65" s="2425"/>
      <c r="W65" s="2425"/>
      <c r="X65" s="2425"/>
      <c r="Y65" s="2418" t="s">
        <v>498</v>
      </c>
      <c r="Z65" s="2419"/>
      <c r="AA65" s="2418" t="s">
        <v>499</v>
      </c>
      <c r="AB65" s="2422"/>
      <c r="AC65" s="2422"/>
      <c r="AD65" s="2422"/>
      <c r="AE65" s="2422"/>
      <c r="AF65" s="2422"/>
      <c r="AG65" s="2422"/>
      <c r="AH65" s="2419"/>
    </row>
    <row r="66" spans="1:34" ht="18" x14ac:dyDescent="0.35">
      <c r="A66" s="2439"/>
      <c r="B66" s="2431"/>
      <c r="C66" s="2431"/>
      <c r="D66" s="2431"/>
      <c r="E66" s="2431"/>
      <c r="F66" s="2441"/>
      <c r="G66" s="2431"/>
      <c r="H66" s="2431"/>
      <c r="I66" s="667" t="s">
        <v>500</v>
      </c>
      <c r="J66" s="667" t="s">
        <v>501</v>
      </c>
      <c r="K66" s="667" t="s">
        <v>502</v>
      </c>
      <c r="L66" s="667" t="s">
        <v>503</v>
      </c>
      <c r="M66" s="668" t="s">
        <v>504</v>
      </c>
      <c r="N66" s="669" t="s">
        <v>505</v>
      </c>
      <c r="O66" s="670" t="s">
        <v>506</v>
      </c>
      <c r="P66" s="669" t="s">
        <v>507</v>
      </c>
      <c r="Q66" s="669" t="s">
        <v>560</v>
      </c>
      <c r="R66" s="2434"/>
      <c r="S66" s="671" t="s">
        <v>508</v>
      </c>
      <c r="T66" s="2427"/>
      <c r="U66" s="2428"/>
      <c r="V66" s="2428"/>
      <c r="W66" s="2428"/>
      <c r="X66" s="2428"/>
      <c r="Y66" s="2420"/>
      <c r="Z66" s="2421"/>
      <c r="AA66" s="2420"/>
      <c r="AB66" s="2423"/>
      <c r="AC66" s="2423"/>
      <c r="AD66" s="2423"/>
      <c r="AE66" s="2423"/>
      <c r="AF66" s="2423"/>
      <c r="AG66" s="2423"/>
      <c r="AH66" s="2421"/>
    </row>
    <row r="67" spans="1:34" ht="18" x14ac:dyDescent="0.35">
      <c r="A67" s="2359" t="s">
        <v>540</v>
      </c>
      <c r="B67" s="2360"/>
      <c r="C67" s="2360"/>
      <c r="D67" s="2360"/>
      <c r="E67" s="2360"/>
      <c r="F67" s="2360"/>
      <c r="G67" s="2360"/>
      <c r="H67" s="2360"/>
      <c r="I67" s="2360"/>
      <c r="J67" s="2360"/>
      <c r="K67" s="2360"/>
      <c r="L67" s="2360"/>
      <c r="M67" s="2360"/>
      <c r="N67" s="2360"/>
      <c r="O67" s="2360"/>
      <c r="P67" s="2360"/>
      <c r="Q67" s="2360"/>
      <c r="R67" s="2360"/>
      <c r="S67" s="559"/>
      <c r="T67" s="563" t="s">
        <v>510</v>
      </c>
      <c r="U67" s="561" t="s">
        <v>11</v>
      </c>
      <c r="V67" s="561" t="s">
        <v>511</v>
      </c>
      <c r="W67" s="561" t="s">
        <v>512</v>
      </c>
      <c r="X67" s="562" t="s">
        <v>513</v>
      </c>
      <c r="Y67" s="563" t="s">
        <v>514</v>
      </c>
      <c r="Z67" s="562" t="s">
        <v>515</v>
      </c>
      <c r="AA67" s="563" t="s">
        <v>4</v>
      </c>
      <c r="AB67" s="561" t="s">
        <v>135</v>
      </c>
      <c r="AC67" s="561" t="s">
        <v>136</v>
      </c>
      <c r="AD67" s="561" t="s">
        <v>137</v>
      </c>
      <c r="AE67" s="561" t="s">
        <v>138</v>
      </c>
      <c r="AF67" s="561" t="s">
        <v>5</v>
      </c>
      <c r="AG67" s="561" t="s">
        <v>139</v>
      </c>
      <c r="AH67" s="562" t="s">
        <v>140</v>
      </c>
    </row>
    <row r="68" spans="1:34" x14ac:dyDescent="0.3">
      <c r="A68" s="154"/>
      <c r="B68" s="462"/>
      <c r="C68" s="462"/>
      <c r="D68" s="462"/>
      <c r="E68" s="462"/>
      <c r="F68" s="463"/>
      <c r="G68" s="462"/>
      <c r="H68" s="462"/>
      <c r="I68" s="465"/>
      <c r="J68" s="465"/>
      <c r="K68" s="465"/>
      <c r="L68" s="465"/>
      <c r="M68" s="462"/>
      <c r="N68" s="468"/>
      <c r="O68" s="469"/>
      <c r="P68" s="468"/>
      <c r="Q68" s="468"/>
      <c r="R68" s="532"/>
      <c r="S68" s="149"/>
      <c r="T68" s="280"/>
      <c r="X68" s="152"/>
      <c r="Y68" s="280"/>
      <c r="Z68" s="152"/>
      <c r="AA68" s="280"/>
      <c r="AH68" s="152"/>
    </row>
    <row r="69" spans="1:34" x14ac:dyDescent="0.3">
      <c r="A69" s="157" t="s">
        <v>773</v>
      </c>
      <c r="B69" s="157" t="s">
        <v>141</v>
      </c>
      <c r="C69" s="157" t="s">
        <v>774</v>
      </c>
      <c r="D69" s="157" t="s">
        <v>142</v>
      </c>
      <c r="E69" s="157" t="s">
        <v>518</v>
      </c>
      <c r="F69" s="158" t="s">
        <v>775</v>
      </c>
      <c r="G69" s="157">
        <v>17</v>
      </c>
      <c r="H69" s="157" t="s">
        <v>24</v>
      </c>
      <c r="I69" s="175">
        <v>17</v>
      </c>
      <c r="J69" s="176"/>
      <c r="K69" s="176"/>
      <c r="L69" s="177"/>
      <c r="M69" s="157">
        <v>1</v>
      </c>
      <c r="N69" s="503">
        <v>22440</v>
      </c>
      <c r="O69" s="173">
        <v>0.65</v>
      </c>
      <c r="P69" s="503">
        <f>N69*(1-O69)</f>
        <v>7853.9999999999991</v>
      </c>
      <c r="Q69" s="503">
        <f>P69*M69*G69</f>
        <v>133517.99999999997</v>
      </c>
      <c r="R69" s="393">
        <f t="shared" ref="R69:R78" si="10">Q69/$Q$85</f>
        <v>0.24890209824703702</v>
      </c>
      <c r="S69" s="168">
        <f>Q69</f>
        <v>133517.99999999997</v>
      </c>
      <c r="T69" s="282"/>
      <c r="U69" s="169">
        <f>S69</f>
        <v>133517.99999999997</v>
      </c>
      <c r="V69" s="169"/>
      <c r="W69" s="169"/>
      <c r="X69" s="171"/>
      <c r="Y69" s="282"/>
      <c r="Z69" s="171">
        <f>S69</f>
        <v>133517.99999999997</v>
      </c>
      <c r="AA69" s="282">
        <f>Q69</f>
        <v>133517.99999999997</v>
      </c>
      <c r="AH69" s="152"/>
    </row>
    <row r="70" spans="1:34" x14ac:dyDescent="0.3">
      <c r="A70" s="157" t="s">
        <v>773</v>
      </c>
      <c r="B70" s="157" t="s">
        <v>135</v>
      </c>
      <c r="C70" s="157" t="s">
        <v>776</v>
      </c>
      <c r="D70" s="157" t="s">
        <v>21</v>
      </c>
      <c r="E70" s="157" t="s">
        <v>518</v>
      </c>
      <c r="F70" s="158" t="s">
        <v>541</v>
      </c>
      <c r="G70" s="157">
        <v>2</v>
      </c>
      <c r="H70" s="157" t="s">
        <v>147</v>
      </c>
      <c r="I70" s="772"/>
      <c r="J70" s="179"/>
      <c r="K70" s="773">
        <v>2</v>
      </c>
      <c r="L70" s="177"/>
      <c r="M70" s="157">
        <v>1</v>
      </c>
      <c r="N70" s="503">
        <f>15552*60%</f>
        <v>9331.1999999999989</v>
      </c>
      <c r="O70" s="173">
        <v>0.4</v>
      </c>
      <c r="P70" s="503">
        <f t="shared" ref="P70:P78" si="11">N70*(1-O70)</f>
        <v>5598.7199999999993</v>
      </c>
      <c r="Q70" s="503">
        <f t="shared" ref="Q70:Q75" si="12">P70*M70*G70</f>
        <v>11197.439999999999</v>
      </c>
      <c r="R70" s="393">
        <f t="shared" si="10"/>
        <v>2.0874086722354308E-2</v>
      </c>
      <c r="S70" s="168">
        <f t="shared" ref="S70:S78" si="13">Q70</f>
        <v>11197.439999999999</v>
      </c>
      <c r="T70" s="282">
        <f t="shared" ref="T70:T72" si="14">S70</f>
        <v>11197.439999999999</v>
      </c>
      <c r="U70" s="169"/>
      <c r="V70" s="169"/>
      <c r="W70" s="169"/>
      <c r="X70" s="171"/>
      <c r="Y70" s="282"/>
      <c r="Z70" s="171">
        <f>S70</f>
        <v>11197.439999999999</v>
      </c>
      <c r="AA70" s="280"/>
      <c r="AB70" s="169">
        <f>S70</f>
        <v>11197.439999999999</v>
      </c>
      <c r="AH70" s="152"/>
    </row>
    <row r="71" spans="1:34" x14ac:dyDescent="0.3">
      <c r="A71" s="157" t="s">
        <v>773</v>
      </c>
      <c r="B71" s="157" t="s">
        <v>143</v>
      </c>
      <c r="C71" s="157" t="s">
        <v>776</v>
      </c>
      <c r="D71" s="157" t="s">
        <v>26</v>
      </c>
      <c r="E71" s="157" t="s">
        <v>520</v>
      </c>
      <c r="F71" s="158" t="s">
        <v>654</v>
      </c>
      <c r="G71" s="157">
        <v>3</v>
      </c>
      <c r="H71" s="157" t="s">
        <v>24</v>
      </c>
      <c r="I71" s="175">
        <v>3</v>
      </c>
      <c r="J71" s="176"/>
      <c r="K71" s="176"/>
      <c r="L71" s="177"/>
      <c r="M71" s="157">
        <v>1</v>
      </c>
      <c r="N71" s="503">
        <v>15714</v>
      </c>
      <c r="O71" s="173">
        <v>0.6</v>
      </c>
      <c r="P71" s="503">
        <f t="shared" si="11"/>
        <v>6285.6</v>
      </c>
      <c r="Q71" s="503">
        <f t="shared" si="12"/>
        <v>18856.800000000003</v>
      </c>
      <c r="R71" s="178">
        <f t="shared" si="10"/>
        <v>3.5152541876186952E-2</v>
      </c>
      <c r="S71" s="168">
        <f t="shared" si="13"/>
        <v>18856.800000000003</v>
      </c>
      <c r="T71" s="282">
        <f t="shared" si="14"/>
        <v>18856.800000000003</v>
      </c>
      <c r="U71" s="169"/>
      <c r="V71" s="169"/>
      <c r="W71" s="169"/>
      <c r="X71" s="171"/>
      <c r="Y71" s="282">
        <f>S71</f>
        <v>18856.800000000003</v>
      </c>
      <c r="Z71" s="171"/>
      <c r="AA71" s="280"/>
      <c r="AC71" s="169">
        <f>S71</f>
        <v>18856.800000000003</v>
      </c>
      <c r="AH71" s="152"/>
    </row>
    <row r="72" spans="1:34" x14ac:dyDescent="0.3">
      <c r="A72" s="157" t="s">
        <v>773</v>
      </c>
      <c r="B72" s="157" t="s">
        <v>143</v>
      </c>
      <c r="C72" s="157" t="s">
        <v>776</v>
      </c>
      <c r="D72" s="157" t="s">
        <v>21</v>
      </c>
      <c r="E72" s="157" t="s">
        <v>518</v>
      </c>
      <c r="F72" s="158" t="s">
        <v>541</v>
      </c>
      <c r="G72" s="157">
        <v>2</v>
      </c>
      <c r="H72" s="157" t="s">
        <v>24</v>
      </c>
      <c r="I72" s="175">
        <v>2</v>
      </c>
      <c r="J72" s="176"/>
      <c r="K72" s="176"/>
      <c r="L72" s="177"/>
      <c r="M72" s="157">
        <v>1</v>
      </c>
      <c r="N72" s="503">
        <f>(28572*60%)/2</f>
        <v>8571.6</v>
      </c>
      <c r="O72" s="173">
        <v>0.6</v>
      </c>
      <c r="P72" s="503">
        <f t="shared" si="11"/>
        <v>3428.6400000000003</v>
      </c>
      <c r="Q72" s="503">
        <f t="shared" si="12"/>
        <v>6857.2800000000007</v>
      </c>
      <c r="R72" s="393">
        <f t="shared" si="10"/>
        <v>1.2783230577655767E-2</v>
      </c>
      <c r="S72" s="168">
        <f t="shared" si="13"/>
        <v>6857.2800000000007</v>
      </c>
      <c r="T72" s="282">
        <f t="shared" si="14"/>
        <v>6857.2800000000007</v>
      </c>
      <c r="U72" s="169"/>
      <c r="V72" s="169"/>
      <c r="W72" s="169"/>
      <c r="X72" s="171"/>
      <c r="Y72" s="282"/>
      <c r="Z72" s="171">
        <f>S72</f>
        <v>6857.2800000000007</v>
      </c>
      <c r="AA72" s="280"/>
      <c r="AC72" s="169">
        <f>Q72</f>
        <v>6857.2800000000007</v>
      </c>
      <c r="AH72" s="152"/>
    </row>
    <row r="73" spans="1:34" x14ac:dyDescent="0.3">
      <c r="A73" s="157" t="s">
        <v>773</v>
      </c>
      <c r="B73" s="157" t="s">
        <v>145</v>
      </c>
      <c r="C73" s="157" t="s">
        <v>777</v>
      </c>
      <c r="D73" s="157" t="s">
        <v>11</v>
      </c>
      <c r="E73" s="157" t="s">
        <v>518</v>
      </c>
      <c r="F73" s="158" t="s">
        <v>778</v>
      </c>
      <c r="G73" s="157">
        <v>1</v>
      </c>
      <c r="H73" s="157" t="s">
        <v>22</v>
      </c>
      <c r="I73" s="175">
        <v>60</v>
      </c>
      <c r="J73" s="179"/>
      <c r="K73" s="285">
        <v>60</v>
      </c>
      <c r="L73" s="180"/>
      <c r="M73" s="157">
        <v>2</v>
      </c>
      <c r="N73" s="503">
        <v>115074</v>
      </c>
      <c r="O73" s="173">
        <v>0.5</v>
      </c>
      <c r="P73" s="503">
        <f t="shared" si="11"/>
        <v>57537</v>
      </c>
      <c r="Q73" s="503">
        <f t="shared" si="12"/>
        <v>115074</v>
      </c>
      <c r="R73" s="393">
        <f t="shared" si="10"/>
        <v>0.21451909146092321</v>
      </c>
      <c r="S73" s="168">
        <f t="shared" si="13"/>
        <v>115074</v>
      </c>
      <c r="T73" s="282"/>
      <c r="U73" s="169">
        <f>S73</f>
        <v>115074</v>
      </c>
      <c r="V73" s="169"/>
      <c r="W73" s="169"/>
      <c r="X73" s="171"/>
      <c r="Y73" s="282"/>
      <c r="Z73" s="171">
        <f>S73</f>
        <v>115074</v>
      </c>
      <c r="AA73" s="280"/>
      <c r="AD73" s="169">
        <f>Q73</f>
        <v>115074</v>
      </c>
      <c r="AH73" s="152"/>
    </row>
    <row r="74" spans="1:34" x14ac:dyDescent="0.3">
      <c r="A74" s="157" t="s">
        <v>773</v>
      </c>
      <c r="B74" s="157" t="s">
        <v>145</v>
      </c>
      <c r="C74" s="157" t="s">
        <v>777</v>
      </c>
      <c r="D74" s="157" t="s">
        <v>11</v>
      </c>
      <c r="E74" s="157" t="s">
        <v>697</v>
      </c>
      <c r="F74" s="158" t="s">
        <v>779</v>
      </c>
      <c r="G74" s="157">
        <v>25</v>
      </c>
      <c r="H74" s="157" t="s">
        <v>22</v>
      </c>
      <c r="I74" s="772"/>
      <c r="J74" s="285">
        <v>25</v>
      </c>
      <c r="K74" s="285">
        <v>25</v>
      </c>
      <c r="L74" s="774"/>
      <c r="M74" s="163">
        <v>2</v>
      </c>
      <c r="N74" s="503">
        <v>2117</v>
      </c>
      <c r="O74" s="173">
        <v>0.5</v>
      </c>
      <c r="P74" s="503">
        <f t="shared" si="11"/>
        <v>1058.5</v>
      </c>
      <c r="Q74" s="503">
        <f t="shared" si="12"/>
        <v>52925</v>
      </c>
      <c r="R74" s="178">
        <f t="shared" si="10"/>
        <v>9.866192985009091E-2</v>
      </c>
      <c r="S74" s="168">
        <f t="shared" si="13"/>
        <v>52925</v>
      </c>
      <c r="T74" s="282"/>
      <c r="U74" s="169">
        <f>S74</f>
        <v>52925</v>
      </c>
      <c r="V74" s="169"/>
      <c r="W74" s="169"/>
      <c r="X74" s="171"/>
      <c r="Y74" s="282">
        <f>S74</f>
        <v>52925</v>
      </c>
      <c r="Z74" s="171"/>
      <c r="AA74" s="280"/>
      <c r="AD74" s="169">
        <f>Q74</f>
        <v>52925</v>
      </c>
      <c r="AH74" s="152"/>
    </row>
    <row r="75" spans="1:34" x14ac:dyDescent="0.3">
      <c r="A75" s="157" t="s">
        <v>773</v>
      </c>
      <c r="B75" s="157" t="s">
        <v>146</v>
      </c>
      <c r="C75" s="157" t="s">
        <v>776</v>
      </c>
      <c r="D75" s="157" t="s">
        <v>21</v>
      </c>
      <c r="E75" s="157" t="s">
        <v>518</v>
      </c>
      <c r="F75" s="158" t="s">
        <v>541</v>
      </c>
      <c r="G75" s="157">
        <v>2</v>
      </c>
      <c r="H75" s="157" t="s">
        <v>24</v>
      </c>
      <c r="I75" s="175">
        <v>2</v>
      </c>
      <c r="J75" s="176"/>
      <c r="K75" s="176"/>
      <c r="L75" s="177"/>
      <c r="M75" s="157">
        <v>1</v>
      </c>
      <c r="N75" s="166">
        <v>25500</v>
      </c>
      <c r="O75" s="173">
        <v>0.8</v>
      </c>
      <c r="P75" s="166">
        <f t="shared" si="11"/>
        <v>5099.9999999999991</v>
      </c>
      <c r="Q75" s="166">
        <f t="shared" si="12"/>
        <v>10199.999999999998</v>
      </c>
      <c r="R75" s="393">
        <f t="shared" si="10"/>
        <v>1.9014675190759132E-2</v>
      </c>
      <c r="S75" s="168">
        <f t="shared" si="13"/>
        <v>10199.999999999998</v>
      </c>
      <c r="T75" s="282">
        <f>S75</f>
        <v>10199.999999999998</v>
      </c>
      <c r="U75" s="169"/>
      <c r="V75" s="169"/>
      <c r="W75" s="169"/>
      <c r="X75" s="171"/>
      <c r="Y75" s="282"/>
      <c r="Z75" s="171">
        <f>T75</f>
        <v>10199.999999999998</v>
      </c>
      <c r="AA75" s="280"/>
      <c r="AE75" s="303">
        <f>Q75</f>
        <v>10199.999999999998</v>
      </c>
      <c r="AF75" s="303"/>
      <c r="AG75" s="303"/>
      <c r="AH75" s="152"/>
    </row>
    <row r="76" spans="1:34" x14ac:dyDescent="0.3">
      <c r="A76" s="157" t="s">
        <v>773</v>
      </c>
      <c r="B76" s="157" t="s">
        <v>130</v>
      </c>
      <c r="C76" s="157" t="s">
        <v>782</v>
      </c>
      <c r="D76" s="157" t="s">
        <v>148</v>
      </c>
      <c r="E76" s="157" t="s">
        <v>520</v>
      </c>
      <c r="F76" s="158" t="s">
        <v>783</v>
      </c>
      <c r="G76" s="157">
        <v>13</v>
      </c>
      <c r="H76" s="157" t="s">
        <v>24</v>
      </c>
      <c r="I76" s="175">
        <v>13</v>
      </c>
      <c r="J76" s="176"/>
      <c r="K76" s="176"/>
      <c r="L76" s="177"/>
      <c r="M76" s="157">
        <v>1</v>
      </c>
      <c r="N76" s="166">
        <v>12169</v>
      </c>
      <c r="O76" s="173">
        <v>0.82</v>
      </c>
      <c r="P76" s="166">
        <f t="shared" si="11"/>
        <v>2190.4200000000005</v>
      </c>
      <c r="Q76" s="166">
        <f>P76*M76*G76</f>
        <v>28475.460000000006</v>
      </c>
      <c r="R76" s="393">
        <f t="shared" si="10"/>
        <v>5.3083492432103356E-2</v>
      </c>
      <c r="S76" s="168">
        <f t="shared" si="13"/>
        <v>28475.460000000006</v>
      </c>
      <c r="T76" s="280"/>
      <c r="V76" s="169">
        <f>SUM(S76)</f>
        <v>28475.460000000006</v>
      </c>
      <c r="X76" s="152"/>
      <c r="Y76" s="778"/>
      <c r="Z76" s="171">
        <f>S76</f>
        <v>28475.460000000006</v>
      </c>
      <c r="AA76" s="280"/>
      <c r="AH76" s="689">
        <f>Q76</f>
        <v>28475.460000000006</v>
      </c>
    </row>
    <row r="77" spans="1:34" x14ac:dyDescent="0.3">
      <c r="A77" s="157" t="s">
        <v>773</v>
      </c>
      <c r="B77" s="157" t="s">
        <v>41</v>
      </c>
      <c r="C77" s="157" t="s">
        <v>784</v>
      </c>
      <c r="D77" s="157" t="s">
        <v>149</v>
      </c>
      <c r="E77" s="157" t="s">
        <v>520</v>
      </c>
      <c r="F77" s="158" t="s">
        <v>785</v>
      </c>
      <c r="G77" s="157">
        <v>13</v>
      </c>
      <c r="H77" s="157" t="s">
        <v>24</v>
      </c>
      <c r="I77" s="175">
        <v>13</v>
      </c>
      <c r="J77" s="176"/>
      <c r="K77" s="176"/>
      <c r="L77" s="177"/>
      <c r="M77" s="157">
        <v>1</v>
      </c>
      <c r="N77" s="166">
        <v>1600</v>
      </c>
      <c r="O77" s="173">
        <v>0.7</v>
      </c>
      <c r="P77" s="166">
        <f t="shared" si="11"/>
        <v>480.00000000000006</v>
      </c>
      <c r="Q77" s="166">
        <f>P77*M77*G77</f>
        <v>6240.0000000000009</v>
      </c>
      <c r="R77" s="393">
        <f t="shared" si="10"/>
        <v>1.1632507175523237E-2</v>
      </c>
      <c r="S77" s="168">
        <f t="shared" si="13"/>
        <v>6240.0000000000009</v>
      </c>
      <c r="T77" s="280"/>
      <c r="V77" s="169">
        <f>S77</f>
        <v>6240.0000000000009</v>
      </c>
      <c r="X77" s="152"/>
      <c r="Y77" s="778"/>
      <c r="Z77" s="171">
        <f>S77</f>
        <v>6240.0000000000009</v>
      </c>
      <c r="AA77" s="280"/>
      <c r="AB77" s="169"/>
      <c r="AF77" s="303">
        <f>Q77</f>
        <v>6240.0000000000009</v>
      </c>
      <c r="AG77" s="303"/>
      <c r="AH77" s="152"/>
    </row>
    <row r="78" spans="1:34" x14ac:dyDescent="0.3">
      <c r="A78" s="157" t="s">
        <v>773</v>
      </c>
      <c r="B78" s="157" t="s">
        <v>150</v>
      </c>
      <c r="C78" s="157" t="s">
        <v>786</v>
      </c>
      <c r="D78" s="157" t="s">
        <v>68</v>
      </c>
      <c r="E78" s="157" t="s">
        <v>520</v>
      </c>
      <c r="F78" s="158" t="s">
        <v>787</v>
      </c>
      <c r="G78" s="157">
        <v>17</v>
      </c>
      <c r="H78" s="157" t="s">
        <v>24</v>
      </c>
      <c r="I78" s="175">
        <v>17</v>
      </c>
      <c r="J78" s="176"/>
      <c r="K78" s="176"/>
      <c r="L78" s="177"/>
      <c r="M78" s="157">
        <v>1</v>
      </c>
      <c r="N78" s="166">
        <v>9292</v>
      </c>
      <c r="O78" s="173">
        <v>0.55000000000000004</v>
      </c>
      <c r="P78" s="166">
        <f t="shared" si="11"/>
        <v>4181.3999999999996</v>
      </c>
      <c r="Q78" s="166">
        <f>P78*M78*G78</f>
        <v>71083.799999999988</v>
      </c>
      <c r="R78" s="393">
        <f t="shared" si="10"/>
        <v>0.13251327140440039</v>
      </c>
      <c r="S78" s="168">
        <f t="shared" si="13"/>
        <v>71083.799999999988</v>
      </c>
      <c r="T78" s="280"/>
      <c r="V78" s="169">
        <f>S78</f>
        <v>71083.799999999988</v>
      </c>
      <c r="X78" s="152"/>
      <c r="Y78" s="778"/>
      <c r="Z78" s="171">
        <f>S78</f>
        <v>71083.799999999988</v>
      </c>
      <c r="AA78" s="280"/>
      <c r="AG78" s="303">
        <f>Q78</f>
        <v>71083.799999999988</v>
      </c>
      <c r="AH78" s="152"/>
    </row>
    <row r="79" spans="1:34" x14ac:dyDescent="0.3">
      <c r="A79" s="172"/>
      <c r="B79" s="157"/>
      <c r="C79" s="157"/>
      <c r="D79" s="157"/>
      <c r="E79" s="157"/>
      <c r="F79" s="158"/>
      <c r="G79" s="157"/>
      <c r="H79" s="157"/>
      <c r="M79" s="157"/>
      <c r="N79" s="166"/>
      <c r="O79" s="173"/>
      <c r="P79" s="166"/>
      <c r="Q79" s="166"/>
      <c r="R79" s="393"/>
      <c r="S79" s="149"/>
      <c r="T79" s="280"/>
      <c r="X79" s="152"/>
      <c r="Y79" s="280"/>
      <c r="Z79" s="152"/>
      <c r="AA79" s="280"/>
      <c r="AH79" s="152"/>
    </row>
    <row r="80" spans="1:34" x14ac:dyDescent="0.3">
      <c r="A80" s="172"/>
      <c r="B80" s="157"/>
      <c r="C80" s="157"/>
      <c r="D80" s="157"/>
      <c r="E80" s="157"/>
      <c r="F80" s="158"/>
      <c r="G80" s="157"/>
      <c r="H80" s="157"/>
      <c r="M80" s="157"/>
      <c r="N80" s="166"/>
      <c r="O80" s="173"/>
      <c r="P80" s="166"/>
      <c r="Q80" s="166"/>
      <c r="R80" s="393"/>
      <c r="S80" s="149"/>
      <c r="T80" s="280"/>
      <c r="X80" s="152"/>
      <c r="Y80" s="280"/>
      <c r="Z80" s="152"/>
      <c r="AA80" s="280"/>
      <c r="AH80" s="152"/>
    </row>
    <row r="81" spans="1:34" x14ac:dyDescent="0.3">
      <c r="A81" s="172"/>
      <c r="B81" s="157"/>
      <c r="C81" s="157"/>
      <c r="D81" s="157"/>
      <c r="E81" s="157"/>
      <c r="F81" s="158"/>
      <c r="G81" s="157"/>
      <c r="H81" s="157"/>
      <c r="M81" s="157"/>
      <c r="N81" s="166"/>
      <c r="O81" s="173"/>
      <c r="P81" s="166"/>
      <c r="Q81" s="166"/>
      <c r="R81" s="393"/>
      <c r="S81" s="149"/>
      <c r="T81" s="280"/>
      <c r="X81" s="152"/>
      <c r="Y81" s="280"/>
      <c r="Z81" s="152"/>
      <c r="AA81" s="280"/>
      <c r="AH81" s="152"/>
    </row>
    <row r="82" spans="1:34" x14ac:dyDescent="0.3">
      <c r="A82" s="108" t="s">
        <v>773</v>
      </c>
      <c r="B82" s="108" t="s">
        <v>528</v>
      </c>
      <c r="C82" s="289" t="s">
        <v>780</v>
      </c>
      <c r="D82" s="252"/>
      <c r="E82" s="252"/>
      <c r="F82" s="253"/>
      <c r="G82" s="252"/>
      <c r="H82" s="252"/>
      <c r="I82" s="254"/>
      <c r="J82" s="254"/>
      <c r="K82" s="254"/>
      <c r="L82" s="254"/>
      <c r="M82" s="252"/>
      <c r="N82" s="255"/>
      <c r="O82" s="256"/>
      <c r="P82" s="290"/>
      <c r="Q82" s="257">
        <v>35000</v>
      </c>
      <c r="R82" s="291">
        <f>Q82/Q85</f>
        <v>6.5246434478095069E-2</v>
      </c>
      <c r="S82" s="168">
        <f>Q82</f>
        <v>35000</v>
      </c>
      <c r="T82" s="280"/>
      <c r="W82" s="169">
        <f>S82</f>
        <v>35000</v>
      </c>
      <c r="X82" s="152"/>
      <c r="Y82" s="280"/>
      <c r="Z82" s="152"/>
      <c r="AA82" s="280"/>
      <c r="AH82" s="152"/>
    </row>
    <row r="83" spans="1:34" x14ac:dyDescent="0.3">
      <c r="A83" s="108" t="s">
        <v>773</v>
      </c>
      <c r="B83" s="108" t="s">
        <v>529</v>
      </c>
      <c r="C83" s="289"/>
      <c r="D83" s="252"/>
      <c r="E83" s="252"/>
      <c r="F83" s="253"/>
      <c r="G83" s="252"/>
      <c r="H83" s="252"/>
      <c r="I83" s="254"/>
      <c r="J83" s="254"/>
      <c r="K83" s="254"/>
      <c r="L83" s="254"/>
      <c r="M83" s="252"/>
      <c r="N83" s="255"/>
      <c r="O83" s="256"/>
      <c r="P83" s="290"/>
      <c r="Q83" s="257">
        <v>47000</v>
      </c>
      <c r="R83" s="291">
        <f>Q83/Q85</f>
        <v>8.7616640584870523E-2</v>
      </c>
      <c r="S83" s="168">
        <f>Q83</f>
        <v>47000</v>
      </c>
      <c r="T83" s="280"/>
      <c r="X83" s="171">
        <f>S83</f>
        <v>47000</v>
      </c>
      <c r="Y83" s="280"/>
      <c r="Z83" s="152"/>
      <c r="AA83" s="280"/>
      <c r="AH83" s="152"/>
    </row>
    <row r="84" spans="1:34" x14ac:dyDescent="0.3">
      <c r="I84" s="115">
        <f>I85/$M$85</f>
        <v>0.53138075313807531</v>
      </c>
      <c r="J84" s="115">
        <f t="shared" ref="J84:L84" si="15">J85/$M$85</f>
        <v>0.10460251046025104</v>
      </c>
      <c r="K84" s="115">
        <f t="shared" si="15"/>
        <v>0.36401673640167365</v>
      </c>
      <c r="L84" s="115">
        <f t="shared" si="15"/>
        <v>0</v>
      </c>
      <c r="S84" s="645"/>
      <c r="T84" s="566"/>
      <c r="U84" s="245"/>
      <c r="V84" s="245"/>
      <c r="W84" s="245"/>
      <c r="X84" s="567"/>
      <c r="Y84" s="566"/>
      <c r="Z84" s="567"/>
      <c r="AA84" s="566"/>
      <c r="AB84" s="245"/>
      <c r="AC84" s="245"/>
      <c r="AD84" s="245"/>
      <c r="AE84" s="245"/>
      <c r="AF84" s="245"/>
      <c r="AG84" s="245"/>
      <c r="AH84" s="567"/>
    </row>
    <row r="85" spans="1:34" x14ac:dyDescent="0.3">
      <c r="A85" s="212" t="s">
        <v>531</v>
      </c>
      <c r="B85" s="213"/>
      <c r="C85" s="213"/>
      <c r="D85" s="213"/>
      <c r="E85" s="213"/>
      <c r="F85" s="214"/>
      <c r="G85" s="213"/>
      <c r="H85" s="213"/>
      <c r="I85" s="690">
        <f>I78+I77+I76+I75+I73+I72+I71+I69</f>
        <v>127</v>
      </c>
      <c r="J85" s="690">
        <f>J74</f>
        <v>25</v>
      </c>
      <c r="K85" s="690">
        <f>K74+K73+K70</f>
        <v>87</v>
      </c>
      <c r="L85" s="690"/>
      <c r="M85" s="213">
        <f>SUM(I85:L85)</f>
        <v>239</v>
      </c>
      <c r="N85" s="215"/>
      <c r="O85" s="216"/>
      <c r="P85" s="215"/>
      <c r="Q85" s="481">
        <f>SUM(Q69:Q84)</f>
        <v>536427.78</v>
      </c>
      <c r="R85" s="218">
        <f>SUM(R69:R83)</f>
        <v>0.99999999999999989</v>
      </c>
      <c r="S85" s="610">
        <f>SUM(S67:S84)</f>
        <v>536427.78</v>
      </c>
      <c r="T85" s="220">
        <f>SUM(T67:T83)</f>
        <v>47111.520000000004</v>
      </c>
      <c r="U85" s="221">
        <f>SUM(U67:U83)</f>
        <v>301517</v>
      </c>
      <c r="V85" s="221">
        <f t="shared" ref="V85" si="16">SUM(V67:V83)</f>
        <v>105799.26</v>
      </c>
      <c r="W85" s="221">
        <f>SUM(W67:W83)</f>
        <v>35000</v>
      </c>
      <c r="X85" s="223">
        <f>SUM(X67:X83)</f>
        <v>47000</v>
      </c>
      <c r="Y85" s="222">
        <f>SUM(Y68:Y83)</f>
        <v>71781.8</v>
      </c>
      <c r="Z85" s="223">
        <f>SUM(Z68:Z83)</f>
        <v>382645.98</v>
      </c>
      <c r="AA85" s="220">
        <f>SUM(AA66:AA84)</f>
        <v>133517.99999999997</v>
      </c>
      <c r="AB85" s="221">
        <f>SUM(AB66:AB84)</f>
        <v>11197.439999999999</v>
      </c>
      <c r="AC85" s="221">
        <f t="shared" ref="AC85:AH85" si="17">SUM(AC66:AC84)</f>
        <v>25714.080000000002</v>
      </c>
      <c r="AD85" s="221">
        <f t="shared" si="17"/>
        <v>167999</v>
      </c>
      <c r="AE85" s="221">
        <f t="shared" si="17"/>
        <v>10199.999999999998</v>
      </c>
      <c r="AF85" s="221">
        <f t="shared" si="17"/>
        <v>6240.0000000000009</v>
      </c>
      <c r="AG85" s="221">
        <f t="shared" si="17"/>
        <v>71083.799999999988</v>
      </c>
      <c r="AH85" s="223">
        <f t="shared" si="17"/>
        <v>28475.460000000006</v>
      </c>
    </row>
    <row r="86" spans="1:34" x14ac:dyDescent="0.3">
      <c r="A86" s="228" t="s">
        <v>532</v>
      </c>
      <c r="B86" s="229"/>
      <c r="C86" s="229"/>
      <c r="D86" s="229"/>
      <c r="E86" s="229"/>
      <c r="F86" s="230"/>
      <c r="G86" s="229"/>
      <c r="H86" s="229"/>
      <c r="I86" s="691">
        <f>I78+I77+I76+I75+I73+I72+I71+I69</f>
        <v>127</v>
      </c>
      <c r="J86" s="691">
        <f>I78+I77+I76+I75+J74+I72+I71+I69</f>
        <v>92</v>
      </c>
      <c r="K86" s="691">
        <f>I78+I77+I76+I75+K74+K73+I72+I71+K70+I69</f>
        <v>154</v>
      </c>
      <c r="L86" s="691">
        <f>I78+I77+I76+I75+I72+I71+K70+I69</f>
        <v>69</v>
      </c>
      <c r="M86" s="229">
        <f>SUM(I86:L86)</f>
        <v>442</v>
      </c>
      <c r="N86" s="231"/>
      <c r="O86" s="232"/>
      <c r="P86" s="231"/>
      <c r="Q86" s="231"/>
      <c r="R86" s="233"/>
      <c r="S86" s="234"/>
      <c r="T86" s="235">
        <f>T85/S85</f>
        <v>8.782453436695617E-2</v>
      </c>
      <c r="U86" s="236">
        <f>U85/S85</f>
        <v>0.56208311955805124</v>
      </c>
      <c r="V86" s="487"/>
      <c r="W86" s="236">
        <f>W85/S85</f>
        <v>6.5246434478095069E-2</v>
      </c>
      <c r="X86" s="297">
        <f>X85/S85</f>
        <v>8.7616640584870523E-2</v>
      </c>
      <c r="Y86" s="298">
        <f>Y85/S85</f>
        <v>0.13381447172627786</v>
      </c>
      <c r="Z86" s="297">
        <f>Z85/S85</f>
        <v>0.71332245321075649</v>
      </c>
      <c r="AA86" s="743"/>
      <c r="AB86" s="487"/>
      <c r="AC86" s="487"/>
      <c r="AD86" s="487"/>
      <c r="AE86" s="487"/>
      <c r="AF86" s="487"/>
      <c r="AG86" s="487"/>
      <c r="AH86" s="242"/>
    </row>
    <row r="87" spans="1:34" x14ac:dyDescent="0.3">
      <c r="A87" s="243" t="s">
        <v>533</v>
      </c>
      <c r="B87" s="193"/>
      <c r="C87" s="193"/>
      <c r="D87" s="193"/>
      <c r="E87" s="193"/>
      <c r="F87" s="244"/>
      <c r="G87" s="193"/>
      <c r="H87" s="193"/>
      <c r="I87" s="2182">
        <f>I86/$M$86</f>
        <v>0.28733031674208143</v>
      </c>
      <c r="J87" s="2182">
        <f t="shared" ref="J87:L87" si="18">J86/$M$86</f>
        <v>0.20814479638009051</v>
      </c>
      <c r="K87" s="2182">
        <f t="shared" si="18"/>
        <v>0.34841628959276016</v>
      </c>
      <c r="L87" s="2182">
        <f t="shared" si="18"/>
        <v>0.15610859728506787</v>
      </c>
      <c r="M87" s="193"/>
      <c r="N87" s="246"/>
      <c r="O87" s="196"/>
      <c r="P87" s="246"/>
      <c r="Q87" s="194">
        <f>T85</f>
        <v>47111.520000000004</v>
      </c>
      <c r="R87" s="247">
        <f>Q87/Q85</f>
        <v>8.782453436695617E-2</v>
      </c>
      <c r="X87" s="248">
        <f>SUM(T69:X84)</f>
        <v>536427.78</v>
      </c>
      <c r="Y87" s="357">
        <f>I71+J74+K74+I76+I77+I78</f>
        <v>96</v>
      </c>
      <c r="Z87" s="358">
        <f>I69+K70+I72+I73+K73+I75</f>
        <v>143</v>
      </c>
    </row>
    <row r="88" spans="1:34" x14ac:dyDescent="0.3">
      <c r="A88" s="251" t="s">
        <v>11</v>
      </c>
      <c r="B88" s="252"/>
      <c r="C88" s="252"/>
      <c r="D88" s="252"/>
      <c r="E88" s="252"/>
      <c r="F88" s="253"/>
      <c r="G88" s="252"/>
      <c r="H88" s="252"/>
      <c r="I88" s="254"/>
      <c r="J88" s="254"/>
      <c r="K88" s="254"/>
      <c r="L88" s="254"/>
      <c r="M88" s="252"/>
      <c r="N88" s="255"/>
      <c r="O88" s="256"/>
      <c r="P88" s="255"/>
      <c r="Q88" s="257">
        <f>U85</f>
        <v>301517</v>
      </c>
      <c r="R88" s="262">
        <f>Q88/Q85</f>
        <v>0.56208311955805124</v>
      </c>
      <c r="S88" s="574">
        <f>Q85/M85</f>
        <v>2244.4676987447701</v>
      </c>
      <c r="T88" s="489" t="s">
        <v>535</v>
      </c>
      <c r="Y88" s="195">
        <f>Y87/M85</f>
        <v>0.40167364016736401</v>
      </c>
      <c r="Z88" s="247">
        <f>Z87/M85</f>
        <v>0.59832635983263593</v>
      </c>
    </row>
    <row r="89" spans="1:34" x14ac:dyDescent="0.3">
      <c r="A89" s="251" t="s">
        <v>536</v>
      </c>
      <c r="B89" s="252"/>
      <c r="C89" s="252"/>
      <c r="D89" s="252"/>
      <c r="E89" s="252"/>
      <c r="F89" s="253"/>
      <c r="G89" s="252"/>
      <c r="H89" s="252"/>
      <c r="I89" s="254"/>
      <c r="J89" s="254"/>
      <c r="K89" s="254"/>
      <c r="L89" s="254"/>
      <c r="M89" s="252"/>
      <c r="N89" s="255"/>
      <c r="O89" s="256"/>
      <c r="P89" s="255"/>
      <c r="Q89" s="257">
        <f>V85</f>
        <v>105799.26</v>
      </c>
      <c r="R89" s="262">
        <f>Q89/Q85</f>
        <v>0.19722927101202697</v>
      </c>
      <c r="Y89" s="2265" t="s">
        <v>537</v>
      </c>
      <c r="Z89" s="2265"/>
    </row>
    <row r="90" spans="1:34" x14ac:dyDescent="0.3">
      <c r="A90" s="251" t="s">
        <v>528</v>
      </c>
      <c r="B90" s="252"/>
      <c r="C90" s="252"/>
      <c r="D90" s="252"/>
      <c r="E90" s="252"/>
      <c r="F90" s="253"/>
      <c r="G90" s="252"/>
      <c r="H90" s="252"/>
      <c r="I90" s="254"/>
      <c r="J90" s="254"/>
      <c r="K90" s="254"/>
      <c r="L90" s="254"/>
      <c r="M90" s="252"/>
      <c r="N90" s="255"/>
      <c r="O90" s="256"/>
      <c r="P90" s="255"/>
      <c r="Q90" s="257">
        <f>Q82</f>
        <v>35000</v>
      </c>
      <c r="R90" s="262">
        <f>Q90/Q85</f>
        <v>6.5246434478095069E-2</v>
      </c>
    </row>
    <row r="91" spans="1:34" x14ac:dyDescent="0.3">
      <c r="A91" s="251" t="s">
        <v>529</v>
      </c>
      <c r="B91" s="252"/>
      <c r="C91" s="252"/>
      <c r="D91" s="252"/>
      <c r="E91" s="252"/>
      <c r="F91" s="253"/>
      <c r="G91" s="252"/>
      <c r="H91" s="252"/>
      <c r="I91" s="254"/>
      <c r="J91" s="254"/>
      <c r="K91" s="254"/>
      <c r="L91" s="254"/>
      <c r="M91" s="252"/>
      <c r="N91" s="255"/>
      <c r="O91" s="256"/>
      <c r="P91" s="255"/>
      <c r="Q91" s="257">
        <f>Q83</f>
        <v>47000</v>
      </c>
      <c r="R91" s="262">
        <f>Q91/Q85</f>
        <v>8.7616640584870523E-2</v>
      </c>
    </row>
    <row r="92" spans="1:34" x14ac:dyDescent="0.3">
      <c r="A92" s="243"/>
      <c r="B92" s="193"/>
      <c r="C92" s="193"/>
      <c r="D92" s="193"/>
      <c r="E92" s="193"/>
      <c r="F92" s="244"/>
      <c r="G92" s="193"/>
      <c r="H92" s="193"/>
      <c r="I92" s="245"/>
      <c r="J92" s="245"/>
      <c r="K92" s="245"/>
      <c r="L92" s="245"/>
      <c r="M92" s="193"/>
      <c r="N92" s="246"/>
      <c r="O92" s="196"/>
      <c r="P92" s="246"/>
      <c r="Q92" s="194">
        <f>SUM(Q87:Q91)</f>
        <v>536427.78</v>
      </c>
      <c r="R92" s="247">
        <f>SUM(R87:R91)</f>
        <v>1</v>
      </c>
      <c r="S92" s="600"/>
    </row>
    <row r="97" spans="1:35" x14ac:dyDescent="0.3">
      <c r="E97" s="1" t="s">
        <v>788</v>
      </c>
      <c r="F97" s="2" t="s">
        <v>789</v>
      </c>
      <c r="G97" s="779"/>
      <c r="H97" s="1" t="s">
        <v>790</v>
      </c>
      <c r="I97" s="304">
        <v>0.52</v>
      </c>
      <c r="J97" s="304"/>
      <c r="K97" s="304"/>
      <c r="L97" s="780"/>
    </row>
    <row r="98" spans="1:35" x14ac:dyDescent="0.3">
      <c r="E98" s="1" t="s">
        <v>473</v>
      </c>
      <c r="F98" s="2" t="s">
        <v>791</v>
      </c>
      <c r="G98" s="781"/>
      <c r="H98" s="1" t="s">
        <v>473</v>
      </c>
      <c r="I98" s="1">
        <v>92</v>
      </c>
      <c r="J98" s="1"/>
      <c r="K98" s="1"/>
      <c r="L98" s="780"/>
    </row>
    <row r="99" spans="1:35" x14ac:dyDescent="0.3">
      <c r="E99" s="1" t="s">
        <v>475</v>
      </c>
      <c r="F99" s="2" t="s">
        <v>792</v>
      </c>
      <c r="H99" s="1" t="s">
        <v>475</v>
      </c>
      <c r="I99" s="95">
        <v>4749</v>
      </c>
      <c r="J99" s="95"/>
      <c r="K99" s="95"/>
    </row>
    <row r="100" spans="1:35" x14ac:dyDescent="0.3">
      <c r="E100" s="1" t="s">
        <v>477</v>
      </c>
      <c r="F100" s="2" t="s">
        <v>793</v>
      </c>
      <c r="H100" s="1" t="s">
        <v>477</v>
      </c>
      <c r="I100" s="95">
        <v>30804856</v>
      </c>
      <c r="J100" s="95"/>
      <c r="K100" s="95"/>
    </row>
    <row r="101" spans="1:35" ht="18" x14ac:dyDescent="0.35">
      <c r="A101" s="118" t="s">
        <v>549</v>
      </c>
    </row>
    <row r="103" spans="1:35" x14ac:dyDescent="0.3">
      <c r="A103" s="2446" t="s">
        <v>480</v>
      </c>
      <c r="B103" s="2447"/>
      <c r="C103" s="2447"/>
      <c r="D103" s="2447"/>
      <c r="E103" s="2447"/>
      <c r="F103" s="2447"/>
      <c r="G103" s="2447"/>
      <c r="H103" s="2447"/>
      <c r="I103" s="2447"/>
      <c r="J103" s="2447"/>
      <c r="K103" s="2447"/>
      <c r="L103" s="2447"/>
      <c r="M103" s="2447"/>
      <c r="N103" s="2447"/>
      <c r="O103" s="2447"/>
      <c r="P103" s="2447"/>
      <c r="Q103" s="2447"/>
      <c r="R103" s="2448"/>
      <c r="S103" s="2338" t="s">
        <v>584</v>
      </c>
      <c r="T103" s="2339"/>
      <c r="U103" s="2339"/>
      <c r="V103" s="2339"/>
      <c r="W103" s="2339"/>
      <c r="X103" s="2339"/>
      <c r="Y103" s="2339"/>
      <c r="Z103" s="2339"/>
      <c r="AA103" s="2339"/>
      <c r="AB103" s="2339"/>
      <c r="AC103" s="2339"/>
      <c r="AD103" s="2339"/>
      <c r="AE103" s="2339"/>
      <c r="AF103" s="2339"/>
      <c r="AG103" s="2339"/>
      <c r="AH103" s="2340"/>
    </row>
    <row r="104" spans="1:35" ht="18" x14ac:dyDescent="0.35">
      <c r="A104" s="2453" t="s">
        <v>482</v>
      </c>
      <c r="B104" s="2453" t="s">
        <v>483</v>
      </c>
      <c r="C104" s="2453" t="s">
        <v>484</v>
      </c>
      <c r="D104" s="2453" t="s">
        <v>555</v>
      </c>
      <c r="E104" s="2453" t="s">
        <v>556</v>
      </c>
      <c r="F104" s="2451" t="s">
        <v>487</v>
      </c>
      <c r="G104" s="2453" t="s">
        <v>557</v>
      </c>
      <c r="H104" s="2453" t="s">
        <v>489</v>
      </c>
      <c r="I104" s="782" t="s">
        <v>490</v>
      </c>
      <c r="J104" s="782"/>
      <c r="K104" s="782"/>
      <c r="L104" s="782"/>
      <c r="M104" s="783" t="s">
        <v>491</v>
      </c>
      <c r="N104" s="784" t="s">
        <v>558</v>
      </c>
      <c r="O104" s="785" t="s">
        <v>493</v>
      </c>
      <c r="P104" s="784" t="s">
        <v>558</v>
      </c>
      <c r="Q104" s="784" t="s">
        <v>559</v>
      </c>
      <c r="R104" s="2455" t="s">
        <v>495</v>
      </c>
      <c r="S104" s="695" t="s">
        <v>496</v>
      </c>
      <c r="T104" s="2409" t="s">
        <v>497</v>
      </c>
      <c r="U104" s="2410"/>
      <c r="V104" s="2410"/>
      <c r="W104" s="2410"/>
      <c r="X104" s="2410"/>
      <c r="Y104" s="2403" t="s">
        <v>498</v>
      </c>
      <c r="Z104" s="2405"/>
      <c r="AA104" s="2403" t="s">
        <v>499</v>
      </c>
      <c r="AB104" s="2404"/>
      <c r="AC104" s="2404"/>
      <c r="AD104" s="2404"/>
      <c r="AE104" s="2404"/>
      <c r="AF104" s="2404"/>
      <c r="AG104" s="2404"/>
      <c r="AH104" s="2405"/>
      <c r="AI104" s="137"/>
    </row>
    <row r="105" spans="1:35" ht="18" x14ac:dyDescent="0.35">
      <c r="A105" s="2454"/>
      <c r="B105" s="2454"/>
      <c r="C105" s="2454"/>
      <c r="D105" s="2454"/>
      <c r="E105" s="2454"/>
      <c r="F105" s="2452"/>
      <c r="G105" s="2454"/>
      <c r="H105" s="2454"/>
      <c r="I105" s="782" t="s">
        <v>500</v>
      </c>
      <c r="J105" s="782" t="s">
        <v>501</v>
      </c>
      <c r="K105" s="782" t="s">
        <v>502</v>
      </c>
      <c r="L105" s="782" t="s">
        <v>503</v>
      </c>
      <c r="M105" s="786" t="s">
        <v>504</v>
      </c>
      <c r="N105" s="787" t="s">
        <v>505</v>
      </c>
      <c r="O105" s="788" t="s">
        <v>506</v>
      </c>
      <c r="P105" s="787" t="s">
        <v>507</v>
      </c>
      <c r="Q105" s="787" t="s">
        <v>560</v>
      </c>
      <c r="R105" s="2456"/>
      <c r="S105" s="696" t="s">
        <v>508</v>
      </c>
      <c r="T105" s="2412"/>
      <c r="U105" s="2413"/>
      <c r="V105" s="2413"/>
      <c r="W105" s="2413"/>
      <c r="X105" s="2413"/>
      <c r="Y105" s="2406"/>
      <c r="Z105" s="2408"/>
      <c r="AA105" s="2406"/>
      <c r="AB105" s="2407"/>
      <c r="AC105" s="2407"/>
      <c r="AD105" s="2407"/>
      <c r="AE105" s="2407"/>
      <c r="AF105" s="2407"/>
      <c r="AG105" s="2407"/>
      <c r="AH105" s="2408"/>
      <c r="AI105" s="137"/>
    </row>
    <row r="106" spans="1:35" ht="18" x14ac:dyDescent="0.35">
      <c r="A106" s="2449" t="s">
        <v>794</v>
      </c>
      <c r="B106" s="2450"/>
      <c r="C106" s="2450"/>
      <c r="D106" s="2450"/>
      <c r="E106" s="2450"/>
      <c r="F106" s="2450"/>
      <c r="G106" s="2450"/>
      <c r="H106" s="2450"/>
      <c r="I106" s="2450"/>
      <c r="J106" s="2450"/>
      <c r="K106" s="2450"/>
      <c r="L106" s="2450"/>
      <c r="M106" s="2450"/>
      <c r="N106" s="2450"/>
      <c r="O106" s="2450"/>
      <c r="P106" s="2450"/>
      <c r="Q106" s="2450"/>
      <c r="R106" s="2450"/>
      <c r="S106" s="559"/>
      <c r="T106" s="563" t="s">
        <v>510</v>
      </c>
      <c r="U106" s="561" t="s">
        <v>11</v>
      </c>
      <c r="V106" s="561" t="s">
        <v>511</v>
      </c>
      <c r="W106" s="561" t="s">
        <v>512</v>
      </c>
      <c r="X106" s="562" t="s">
        <v>513</v>
      </c>
      <c r="Y106" s="563" t="s">
        <v>514</v>
      </c>
      <c r="Z106" s="562" t="s">
        <v>515</v>
      </c>
      <c r="AA106" s="563" t="s">
        <v>4</v>
      </c>
      <c r="AB106" s="561" t="s">
        <v>135</v>
      </c>
      <c r="AC106" s="561" t="s">
        <v>136</v>
      </c>
      <c r="AD106" s="561" t="s">
        <v>137</v>
      </c>
      <c r="AE106" s="561" t="s">
        <v>138</v>
      </c>
      <c r="AF106" s="561" t="s">
        <v>5</v>
      </c>
      <c r="AG106" s="561" t="s">
        <v>139</v>
      </c>
      <c r="AH106" s="562" t="s">
        <v>140</v>
      </c>
    </row>
    <row r="107" spans="1:35" x14ac:dyDescent="0.3">
      <c r="A107" s="154"/>
      <c r="B107" s="462"/>
      <c r="C107" s="462"/>
      <c r="D107" s="462"/>
      <c r="E107" s="462"/>
      <c r="F107" s="463"/>
      <c r="G107" s="462"/>
      <c r="H107" s="462"/>
      <c r="I107" s="465"/>
      <c r="J107" s="465"/>
      <c r="K107" s="465"/>
      <c r="L107" s="465"/>
      <c r="M107" s="462"/>
      <c r="N107" s="468"/>
      <c r="O107" s="469"/>
      <c r="P107" s="468"/>
      <c r="Q107" s="468"/>
      <c r="R107" s="532"/>
      <c r="S107" s="149"/>
      <c r="T107" s="280"/>
      <c r="X107" s="152"/>
      <c r="Y107" s="151"/>
      <c r="Z107" s="152"/>
      <c r="AA107" s="280"/>
      <c r="AH107" s="152"/>
    </row>
    <row r="108" spans="1:35" x14ac:dyDescent="0.3">
      <c r="A108" s="157" t="s">
        <v>773</v>
      </c>
      <c r="B108" s="157" t="s">
        <v>141</v>
      </c>
      <c r="C108" s="157" t="s">
        <v>774</v>
      </c>
      <c r="D108" s="157" t="s">
        <v>142</v>
      </c>
      <c r="E108" s="157" t="s">
        <v>518</v>
      </c>
      <c r="F108" s="158" t="s">
        <v>795</v>
      </c>
      <c r="G108" s="157">
        <v>15</v>
      </c>
      <c r="H108" s="157" t="s">
        <v>22</v>
      </c>
      <c r="I108" s="175">
        <v>15</v>
      </c>
      <c r="J108" s="176"/>
      <c r="K108" s="176"/>
      <c r="L108" s="177"/>
      <c r="M108" s="157">
        <v>1</v>
      </c>
      <c r="N108" s="503">
        <v>22440</v>
      </c>
      <c r="O108" s="173">
        <v>0.65</v>
      </c>
      <c r="P108" s="503">
        <f>N108*(1-O108)</f>
        <v>7853.9999999999991</v>
      </c>
      <c r="Q108" s="503">
        <f>P108*M108*G108</f>
        <v>117809.99999999999</v>
      </c>
      <c r="R108" s="167">
        <f t="shared" ref="R108:R117" si="19">Q108/$Q$124</f>
        <v>0.26286698292518179</v>
      </c>
      <c r="S108" s="168">
        <f>Q108*3</f>
        <v>353429.99999999994</v>
      </c>
      <c r="T108" s="282"/>
      <c r="U108" s="169">
        <f>S108</f>
        <v>353429.99999999994</v>
      </c>
      <c r="V108" s="169"/>
      <c r="W108" s="169"/>
      <c r="X108" s="171"/>
      <c r="Y108" s="170"/>
      <c r="Z108" s="171">
        <f>S108</f>
        <v>353429.99999999994</v>
      </c>
      <c r="AA108" s="282">
        <f>S108</f>
        <v>353429.99999999994</v>
      </c>
      <c r="AH108" s="152"/>
    </row>
    <row r="109" spans="1:35" x14ac:dyDescent="0.3">
      <c r="A109" s="157" t="s">
        <v>773</v>
      </c>
      <c r="B109" s="157" t="s">
        <v>135</v>
      </c>
      <c r="C109" s="157" t="s">
        <v>776</v>
      </c>
      <c r="D109" s="157" t="s">
        <v>21</v>
      </c>
      <c r="E109" s="157" t="s">
        <v>518</v>
      </c>
      <c r="F109" s="158" t="s">
        <v>521</v>
      </c>
      <c r="G109" s="157">
        <v>1</v>
      </c>
      <c r="H109" s="157" t="s">
        <v>24</v>
      </c>
      <c r="I109" s="772"/>
      <c r="J109" s="773">
        <v>1</v>
      </c>
      <c r="K109" s="688"/>
      <c r="M109" s="157">
        <v>1</v>
      </c>
      <c r="N109" s="503">
        <f>15552*60%</f>
        <v>9331.1999999999989</v>
      </c>
      <c r="O109" s="173">
        <v>0.4</v>
      </c>
      <c r="P109" s="503">
        <f t="shared" ref="P109:P117" si="20">N109*(1-O109)</f>
        <v>5598.7199999999993</v>
      </c>
      <c r="Q109" s="503">
        <f t="shared" ref="Q109:Q115" si="21">P109*M109*G109</f>
        <v>5598.7199999999993</v>
      </c>
      <c r="R109" s="167">
        <f t="shared" si="19"/>
        <v>1.2492306549892826E-2</v>
      </c>
      <c r="S109" s="168">
        <f t="shared" ref="S109:S122" si="22">Q109*3</f>
        <v>16796.159999999996</v>
      </c>
      <c r="T109" s="282">
        <f t="shared" ref="T109:T112" si="23">S109</f>
        <v>16796.159999999996</v>
      </c>
      <c r="U109" s="169"/>
      <c r="V109" s="169"/>
      <c r="W109" s="169"/>
      <c r="X109" s="171"/>
      <c r="Y109" s="170"/>
      <c r="Z109" s="171">
        <f>S109</f>
        <v>16796.159999999996</v>
      </c>
      <c r="AA109" s="280"/>
      <c r="AB109" s="169">
        <f>S109</f>
        <v>16796.159999999996</v>
      </c>
      <c r="AH109" s="152"/>
    </row>
    <row r="110" spans="1:35" x14ac:dyDescent="0.3">
      <c r="A110" s="157" t="s">
        <v>773</v>
      </c>
      <c r="B110" s="157" t="s">
        <v>143</v>
      </c>
      <c r="C110" s="157" t="s">
        <v>776</v>
      </c>
      <c r="D110" s="157" t="s">
        <v>26</v>
      </c>
      <c r="E110" s="157" t="s">
        <v>520</v>
      </c>
      <c r="F110" s="158" t="s">
        <v>640</v>
      </c>
      <c r="G110" s="157">
        <v>3</v>
      </c>
      <c r="H110" s="157" t="s">
        <v>24</v>
      </c>
      <c r="I110" s="175">
        <v>3</v>
      </c>
      <c r="J110" s="176"/>
      <c r="K110" s="176"/>
      <c r="L110" s="177"/>
      <c r="M110" s="157">
        <v>1</v>
      </c>
      <c r="N110" s="503">
        <v>15714</v>
      </c>
      <c r="O110" s="173">
        <v>0.6</v>
      </c>
      <c r="P110" s="503">
        <f t="shared" si="20"/>
        <v>6285.6</v>
      </c>
      <c r="Q110" s="503">
        <f t="shared" si="21"/>
        <v>18856.800000000003</v>
      </c>
      <c r="R110" s="178">
        <f t="shared" si="19"/>
        <v>4.2074782477069597E-2</v>
      </c>
      <c r="S110" s="168">
        <f t="shared" si="22"/>
        <v>56570.400000000009</v>
      </c>
      <c r="T110" s="282">
        <f t="shared" si="23"/>
        <v>56570.400000000009</v>
      </c>
      <c r="U110" s="169"/>
      <c r="V110" s="169"/>
      <c r="W110" s="169"/>
      <c r="X110" s="171"/>
      <c r="Y110" s="170">
        <f>S110</f>
        <v>56570.400000000009</v>
      </c>
      <c r="Z110" s="152"/>
      <c r="AA110" s="280"/>
      <c r="AC110" s="169">
        <f>S110</f>
        <v>56570.400000000009</v>
      </c>
      <c r="AH110" s="152"/>
    </row>
    <row r="111" spans="1:35" x14ac:dyDescent="0.3">
      <c r="A111" s="157" t="s">
        <v>773</v>
      </c>
      <c r="B111" s="157" t="s">
        <v>143</v>
      </c>
      <c r="C111" s="157" t="s">
        <v>776</v>
      </c>
      <c r="D111" s="157" t="s">
        <v>144</v>
      </c>
      <c r="E111" s="157" t="s">
        <v>520</v>
      </c>
      <c r="F111" s="158" t="s">
        <v>43</v>
      </c>
      <c r="G111" s="157">
        <v>1</v>
      </c>
      <c r="H111" s="157" t="s">
        <v>24</v>
      </c>
      <c r="I111" s="175">
        <v>1</v>
      </c>
      <c r="J111" s="176"/>
      <c r="K111" s="176"/>
      <c r="L111" s="177"/>
      <c r="M111" s="157">
        <v>1</v>
      </c>
      <c r="N111" s="503">
        <v>18570</v>
      </c>
      <c r="O111" s="173">
        <v>0.6</v>
      </c>
      <c r="P111" s="503">
        <f t="shared" si="20"/>
        <v>7428</v>
      </c>
      <c r="Q111" s="503">
        <f t="shared" si="21"/>
        <v>7428</v>
      </c>
      <c r="R111" s="178">
        <f t="shared" si="19"/>
        <v>1.657394066011587E-2</v>
      </c>
      <c r="S111" s="168">
        <f t="shared" si="22"/>
        <v>22284</v>
      </c>
      <c r="T111" s="282">
        <f t="shared" si="23"/>
        <v>22284</v>
      </c>
      <c r="U111" s="169"/>
      <c r="V111" s="169"/>
      <c r="W111" s="169"/>
      <c r="X111" s="171"/>
      <c r="Y111" s="170">
        <f>S111</f>
        <v>22284</v>
      </c>
      <c r="Z111" s="152"/>
      <c r="AA111" s="280"/>
      <c r="AC111" s="169">
        <f>S111</f>
        <v>22284</v>
      </c>
      <c r="AH111" s="152"/>
    </row>
    <row r="112" spans="1:35" x14ac:dyDescent="0.3">
      <c r="A112" s="157" t="s">
        <v>773</v>
      </c>
      <c r="B112" s="157" t="s">
        <v>143</v>
      </c>
      <c r="C112" s="157" t="s">
        <v>776</v>
      </c>
      <c r="D112" s="157" t="s">
        <v>21</v>
      </c>
      <c r="E112" s="157" t="s">
        <v>518</v>
      </c>
      <c r="F112" s="158" t="s">
        <v>521</v>
      </c>
      <c r="G112" s="157">
        <v>3</v>
      </c>
      <c r="H112" s="157" t="s">
        <v>24</v>
      </c>
      <c r="I112" s="175">
        <v>4</v>
      </c>
      <c r="J112" s="176"/>
      <c r="K112" s="176"/>
      <c r="L112" s="177"/>
      <c r="M112" s="157">
        <v>1</v>
      </c>
      <c r="N112" s="503">
        <f>(28572*60%)/2</f>
        <v>8571.6</v>
      </c>
      <c r="O112" s="173">
        <v>0.6</v>
      </c>
      <c r="P112" s="503">
        <f t="shared" si="20"/>
        <v>3428.6400000000003</v>
      </c>
      <c r="Q112" s="503">
        <f t="shared" si="21"/>
        <v>10285.920000000002</v>
      </c>
      <c r="R112" s="167">
        <f t="shared" si="19"/>
        <v>2.2950757635258355E-2</v>
      </c>
      <c r="S112" s="168">
        <f t="shared" si="22"/>
        <v>30857.760000000006</v>
      </c>
      <c r="T112" s="282">
        <f t="shared" si="23"/>
        <v>30857.760000000006</v>
      </c>
      <c r="U112" s="169"/>
      <c r="V112" s="169"/>
      <c r="W112" s="169"/>
      <c r="X112" s="171"/>
      <c r="Y112" s="170"/>
      <c r="Z112" s="171">
        <f>S112</f>
        <v>30857.760000000006</v>
      </c>
      <c r="AA112" s="280"/>
      <c r="AC112" s="169">
        <f>S112</f>
        <v>30857.760000000006</v>
      </c>
      <c r="AH112" s="152"/>
    </row>
    <row r="113" spans="1:34" x14ac:dyDescent="0.3">
      <c r="A113" s="157" t="s">
        <v>773</v>
      </c>
      <c r="B113" s="157" t="s">
        <v>145</v>
      </c>
      <c r="C113" s="157" t="s">
        <v>777</v>
      </c>
      <c r="D113" s="157" t="s">
        <v>11</v>
      </c>
      <c r="E113" s="157" t="s">
        <v>518</v>
      </c>
      <c r="F113" s="158" t="s">
        <v>151</v>
      </c>
      <c r="G113" s="157">
        <v>1</v>
      </c>
      <c r="H113" s="157" t="s">
        <v>22</v>
      </c>
      <c r="I113" s="175">
        <v>50</v>
      </c>
      <c r="J113" s="179"/>
      <c r="K113" s="285">
        <v>50</v>
      </c>
      <c r="L113" s="180"/>
      <c r="M113" s="157">
        <v>2</v>
      </c>
      <c r="N113" s="503">
        <v>115074</v>
      </c>
      <c r="O113" s="173">
        <v>0.5</v>
      </c>
      <c r="P113" s="503">
        <f t="shared" si="20"/>
        <v>57537</v>
      </c>
      <c r="Q113" s="503">
        <f t="shared" si="21"/>
        <v>115074</v>
      </c>
      <c r="R113" s="167">
        <f t="shared" si="19"/>
        <v>0.25676220348979178</v>
      </c>
      <c r="S113" s="168">
        <f t="shared" si="22"/>
        <v>345222</v>
      </c>
      <c r="T113" s="282"/>
      <c r="U113" s="169">
        <f>S113</f>
        <v>345222</v>
      </c>
      <c r="V113" s="169"/>
      <c r="W113" s="169"/>
      <c r="X113" s="171"/>
      <c r="Y113" s="170"/>
      <c r="Z113" s="171">
        <f>S113</f>
        <v>345222</v>
      </c>
      <c r="AA113" s="280"/>
      <c r="AD113" s="169">
        <f>S113</f>
        <v>345222</v>
      </c>
      <c r="AH113" s="152"/>
    </row>
    <row r="114" spans="1:34" x14ac:dyDescent="0.3">
      <c r="A114" s="157" t="s">
        <v>773</v>
      </c>
      <c r="B114" s="157" t="s">
        <v>145</v>
      </c>
      <c r="C114" s="157" t="s">
        <v>777</v>
      </c>
      <c r="D114" s="157" t="s">
        <v>11</v>
      </c>
      <c r="E114" s="157" t="s">
        <v>697</v>
      </c>
      <c r="F114" s="158" t="s">
        <v>796</v>
      </c>
      <c r="G114" s="157">
        <v>20</v>
      </c>
      <c r="H114" s="157" t="s">
        <v>22</v>
      </c>
      <c r="I114" s="772"/>
      <c r="J114" s="285">
        <v>20</v>
      </c>
      <c r="K114" s="285">
        <v>20</v>
      </c>
      <c r="L114" s="774"/>
      <c r="M114" s="163">
        <v>2</v>
      </c>
      <c r="N114" s="503">
        <v>2117</v>
      </c>
      <c r="O114" s="173">
        <v>0.5</v>
      </c>
      <c r="P114" s="503">
        <f t="shared" si="20"/>
        <v>1058.5</v>
      </c>
      <c r="Q114" s="503">
        <f t="shared" si="21"/>
        <v>42340</v>
      </c>
      <c r="R114" s="178">
        <f t="shared" si="19"/>
        <v>9.447235427427382E-2</v>
      </c>
      <c r="S114" s="168">
        <f t="shared" si="22"/>
        <v>127020</v>
      </c>
      <c r="T114" s="282"/>
      <c r="U114" s="169">
        <f>S114</f>
        <v>127020</v>
      </c>
      <c r="V114" s="169"/>
      <c r="W114" s="169"/>
      <c r="X114" s="171"/>
      <c r="Y114" s="170">
        <f>S114</f>
        <v>127020</v>
      </c>
      <c r="Z114" s="152"/>
      <c r="AA114" s="280"/>
      <c r="AD114" s="169">
        <f>S114</f>
        <v>127020</v>
      </c>
      <c r="AH114" s="152"/>
    </row>
    <row r="115" spans="1:34" x14ac:dyDescent="0.3">
      <c r="A115" s="157" t="s">
        <v>773</v>
      </c>
      <c r="B115" s="157" t="s">
        <v>146</v>
      </c>
      <c r="C115" s="157" t="s">
        <v>776</v>
      </c>
      <c r="D115" s="157" t="s">
        <v>21</v>
      </c>
      <c r="E115" s="157" t="s">
        <v>518</v>
      </c>
      <c r="F115" s="158" t="s">
        <v>521</v>
      </c>
      <c r="G115" s="157">
        <v>1</v>
      </c>
      <c r="H115" s="157" t="s">
        <v>24</v>
      </c>
      <c r="I115" s="175">
        <v>1</v>
      </c>
      <c r="J115" s="176"/>
      <c r="K115" s="176"/>
      <c r="L115" s="177"/>
      <c r="M115" s="157">
        <v>1</v>
      </c>
      <c r="N115" s="166">
        <v>25500</v>
      </c>
      <c r="O115" s="173">
        <v>0.8</v>
      </c>
      <c r="P115" s="166">
        <f t="shared" si="20"/>
        <v>5099.9999999999991</v>
      </c>
      <c r="Q115" s="166">
        <f t="shared" si="21"/>
        <v>5099.9999999999991</v>
      </c>
      <c r="R115" s="167">
        <f t="shared" si="19"/>
        <v>1.1379523070354189E-2</v>
      </c>
      <c r="S115" s="168">
        <f t="shared" si="22"/>
        <v>15299.999999999996</v>
      </c>
      <c r="T115" s="282">
        <f>S115</f>
        <v>15299.999999999996</v>
      </c>
      <c r="U115" s="169"/>
      <c r="V115" s="169"/>
      <c r="W115" s="169"/>
      <c r="X115" s="171"/>
      <c r="Y115" s="170"/>
      <c r="Z115" s="171">
        <f>S115</f>
        <v>15299.999999999996</v>
      </c>
      <c r="AA115" s="280"/>
      <c r="AE115" s="169">
        <f>S115</f>
        <v>15299.999999999996</v>
      </c>
      <c r="AH115" s="152"/>
    </row>
    <row r="116" spans="1:34" x14ac:dyDescent="0.3">
      <c r="A116" s="157" t="s">
        <v>773</v>
      </c>
      <c r="B116" s="157" t="s">
        <v>146</v>
      </c>
      <c r="C116" s="157" t="s">
        <v>776</v>
      </c>
      <c r="D116" s="157" t="s">
        <v>103</v>
      </c>
      <c r="E116" s="157" t="s">
        <v>518</v>
      </c>
      <c r="F116" s="158" t="s">
        <v>43</v>
      </c>
      <c r="G116" s="157">
        <v>1</v>
      </c>
      <c r="H116" s="157" t="s">
        <v>24</v>
      </c>
      <c r="I116" s="175">
        <v>1</v>
      </c>
      <c r="J116" s="176"/>
      <c r="K116" s="176"/>
      <c r="L116" s="177"/>
      <c r="M116" s="157">
        <v>1</v>
      </c>
      <c r="N116" s="166">
        <v>104400</v>
      </c>
      <c r="O116" s="173">
        <v>0.8</v>
      </c>
      <c r="P116" s="166">
        <f t="shared" si="20"/>
        <v>20879.999999999996</v>
      </c>
      <c r="Q116" s="166">
        <f>P116*M116*G116</f>
        <v>20879.999999999996</v>
      </c>
      <c r="R116" s="167">
        <f t="shared" si="19"/>
        <v>4.6589106217450091E-2</v>
      </c>
      <c r="S116" s="168">
        <f t="shared" si="22"/>
        <v>62639.999999999985</v>
      </c>
      <c r="T116" s="282">
        <f>S116</f>
        <v>62639.999999999985</v>
      </c>
      <c r="X116" s="152"/>
      <c r="Y116" s="170"/>
      <c r="Z116" s="171">
        <f>S116</f>
        <v>62639.999999999985</v>
      </c>
      <c r="AA116" s="280"/>
      <c r="AE116" s="169">
        <f>S116</f>
        <v>62639.999999999985</v>
      </c>
      <c r="AH116" s="152"/>
    </row>
    <row r="117" spans="1:34" x14ac:dyDescent="0.3">
      <c r="A117" s="157" t="s">
        <v>773</v>
      </c>
      <c r="B117" s="157" t="s">
        <v>146</v>
      </c>
      <c r="C117" s="157" t="s">
        <v>776</v>
      </c>
      <c r="D117" s="157" t="s">
        <v>26</v>
      </c>
      <c r="E117" s="157" t="s">
        <v>697</v>
      </c>
      <c r="F117" s="158" t="s">
        <v>640</v>
      </c>
      <c r="G117" s="157">
        <v>2</v>
      </c>
      <c r="H117" s="157" t="s">
        <v>24</v>
      </c>
      <c r="I117" s="175">
        <v>2</v>
      </c>
      <c r="J117" s="176"/>
      <c r="K117" s="176"/>
      <c r="L117" s="177"/>
      <c r="M117" s="157">
        <v>1</v>
      </c>
      <c r="N117" s="166">
        <v>14500</v>
      </c>
      <c r="O117" s="173">
        <v>0.8</v>
      </c>
      <c r="P117" s="166">
        <f t="shared" si="20"/>
        <v>2899.9999999999995</v>
      </c>
      <c r="Q117" s="166">
        <f>P117*M117*G117</f>
        <v>5799.9999999999991</v>
      </c>
      <c r="R117" s="178">
        <f t="shared" si="19"/>
        <v>1.2941418393736137E-2</v>
      </c>
      <c r="S117" s="168">
        <f t="shared" si="22"/>
        <v>17399.999999999996</v>
      </c>
      <c r="T117" s="282">
        <f>S117</f>
        <v>17399.999999999996</v>
      </c>
      <c r="X117" s="152"/>
      <c r="Y117" s="170">
        <f>S117</f>
        <v>17399.999999999996</v>
      </c>
      <c r="Z117" s="152"/>
      <c r="AA117" s="280"/>
      <c r="AE117" s="169">
        <f>S117</f>
        <v>17399.999999999996</v>
      </c>
      <c r="AH117" s="152"/>
    </row>
    <row r="118" spans="1:34" x14ac:dyDescent="0.3">
      <c r="A118" s="172"/>
      <c r="B118" s="157"/>
      <c r="C118" s="157"/>
      <c r="D118" s="157"/>
      <c r="E118" s="157"/>
      <c r="F118" s="158"/>
      <c r="G118" s="157"/>
      <c r="H118" s="157"/>
      <c r="M118" s="157"/>
      <c r="N118" s="166"/>
      <c r="O118" s="173"/>
      <c r="P118" s="166"/>
      <c r="Q118" s="166"/>
      <c r="R118" s="393"/>
      <c r="S118" s="168"/>
      <c r="T118" s="280"/>
      <c r="X118" s="152"/>
      <c r="Y118" s="151"/>
      <c r="Z118" s="152"/>
      <c r="AA118" s="280"/>
      <c r="AH118" s="152"/>
    </row>
    <row r="119" spans="1:34" x14ac:dyDescent="0.3">
      <c r="A119" s="172"/>
      <c r="B119" s="157"/>
      <c r="C119" s="157"/>
      <c r="D119" s="157"/>
      <c r="E119" s="157"/>
      <c r="F119" s="158"/>
      <c r="G119" s="157"/>
      <c r="H119" s="157"/>
      <c r="M119" s="157"/>
      <c r="N119" s="166"/>
      <c r="O119" s="173"/>
      <c r="P119" s="166"/>
      <c r="Q119" s="166"/>
      <c r="R119" s="393"/>
      <c r="S119" s="168"/>
      <c r="T119" s="280"/>
      <c r="X119" s="152"/>
      <c r="Y119" s="151"/>
      <c r="Z119" s="152"/>
      <c r="AA119" s="280"/>
      <c r="AH119" s="152"/>
    </row>
    <row r="120" spans="1:34" x14ac:dyDescent="0.3">
      <c r="A120" s="172"/>
      <c r="B120" s="157"/>
      <c r="C120" s="157"/>
      <c r="D120" s="157"/>
      <c r="E120" s="157"/>
      <c r="F120" s="158"/>
      <c r="G120" s="157"/>
      <c r="H120" s="157"/>
      <c r="M120" s="157"/>
      <c r="N120" s="166"/>
      <c r="O120" s="173"/>
      <c r="P120" s="166"/>
      <c r="Q120" s="166"/>
      <c r="R120" s="393"/>
      <c r="S120" s="168"/>
      <c r="T120" s="280"/>
      <c r="X120" s="152"/>
      <c r="Y120" s="151"/>
      <c r="Z120" s="152"/>
      <c r="AA120" s="280"/>
      <c r="AH120" s="152"/>
    </row>
    <row r="121" spans="1:34" x14ac:dyDescent="0.3">
      <c r="A121" s="108" t="s">
        <v>773</v>
      </c>
      <c r="B121" s="108" t="s">
        <v>528</v>
      </c>
      <c r="C121" s="289" t="s">
        <v>780</v>
      </c>
      <c r="D121" s="252"/>
      <c r="E121" s="252"/>
      <c r="F121" s="253"/>
      <c r="G121" s="252"/>
      <c r="H121" s="252"/>
      <c r="I121" s="254"/>
      <c r="J121" s="254"/>
      <c r="K121" s="254"/>
      <c r="L121" s="254"/>
      <c r="M121" s="252"/>
      <c r="N121" s="255"/>
      <c r="O121" s="256"/>
      <c r="P121" s="290"/>
      <c r="Q121" s="257">
        <v>61000</v>
      </c>
      <c r="R121" s="291">
        <f>Q121/Q124</f>
        <v>0.13610802103756975</v>
      </c>
      <c r="S121" s="168">
        <f t="shared" si="22"/>
        <v>183000</v>
      </c>
      <c r="T121" s="280"/>
      <c r="W121" s="169">
        <f>S121</f>
        <v>183000</v>
      </c>
      <c r="X121" s="152"/>
      <c r="Y121" s="151"/>
      <c r="Z121" s="152"/>
      <c r="AA121" s="280"/>
      <c r="AH121" s="152"/>
    </row>
    <row r="122" spans="1:34" x14ac:dyDescent="0.3">
      <c r="A122" s="108" t="s">
        <v>773</v>
      </c>
      <c r="B122" s="108" t="s">
        <v>529</v>
      </c>
      <c r="C122" s="289"/>
      <c r="D122" s="252"/>
      <c r="E122" s="252"/>
      <c r="F122" s="253"/>
      <c r="G122" s="252"/>
      <c r="H122" s="252"/>
      <c r="I122" s="254"/>
      <c r="J122" s="254"/>
      <c r="K122" s="254"/>
      <c r="L122" s="254"/>
      <c r="M122" s="252"/>
      <c r="N122" s="255"/>
      <c r="O122" s="256"/>
      <c r="P122" s="290"/>
      <c r="Q122" s="257">
        <v>38000</v>
      </c>
      <c r="R122" s="291">
        <f>Q122/Q124</f>
        <v>8.4788603269305735E-2</v>
      </c>
      <c r="S122" s="168">
        <f t="shared" si="22"/>
        <v>114000</v>
      </c>
      <c r="T122" s="280"/>
      <c r="X122" s="171">
        <f>S122</f>
        <v>114000</v>
      </c>
      <c r="Y122" s="151"/>
      <c r="Z122" s="152"/>
      <c r="AA122" s="280"/>
      <c r="AH122" s="152"/>
    </row>
    <row r="123" spans="1:34" x14ac:dyDescent="0.3">
      <c r="I123" s="115">
        <f>I124/$M$124</f>
        <v>0.45833333333333331</v>
      </c>
      <c r="J123" s="115">
        <f t="shared" ref="J123:L123" si="24">J124/$M$124</f>
        <v>0.125</v>
      </c>
      <c r="K123" s="115">
        <f t="shared" si="24"/>
        <v>0.41666666666666669</v>
      </c>
      <c r="L123" s="115">
        <f t="shared" si="24"/>
        <v>0</v>
      </c>
      <c r="S123" s="149"/>
      <c r="T123" s="280"/>
      <c r="X123" s="152"/>
      <c r="Y123" s="737"/>
      <c r="Z123" s="567"/>
      <c r="AA123" s="566"/>
      <c r="AB123" s="245"/>
      <c r="AC123" s="245"/>
      <c r="AD123" s="245"/>
      <c r="AE123" s="245"/>
      <c r="AF123" s="245"/>
      <c r="AG123" s="245"/>
      <c r="AH123" s="567"/>
    </row>
    <row r="124" spans="1:34" x14ac:dyDescent="0.3">
      <c r="A124" s="789" t="s">
        <v>531</v>
      </c>
      <c r="B124" s="790"/>
      <c r="C124" s="790"/>
      <c r="D124" s="790"/>
      <c r="E124" s="790"/>
      <c r="F124" s="791"/>
      <c r="G124" s="790"/>
      <c r="H124" s="790"/>
      <c r="I124" s="792">
        <f>I117+I116+I115+I113+I112+I111+I110+I108</f>
        <v>77</v>
      </c>
      <c r="J124" s="792">
        <f>J114+J109</f>
        <v>21</v>
      </c>
      <c r="K124" s="792">
        <f>K114+K113</f>
        <v>70</v>
      </c>
      <c r="L124" s="792"/>
      <c r="M124" s="790">
        <f>SUM(I124:L124)</f>
        <v>168</v>
      </c>
      <c r="N124" s="793"/>
      <c r="O124" s="794"/>
      <c r="P124" s="793"/>
      <c r="Q124" s="795">
        <f>SUM(Q108:Q123)</f>
        <v>448173.44</v>
      </c>
      <c r="R124" s="794">
        <f>SUM(R107:R123)</f>
        <v>0.99999999999999978</v>
      </c>
      <c r="S124" s="583">
        <f>SUM(S108:S123)</f>
        <v>1344520.3199999998</v>
      </c>
      <c r="T124" s="584">
        <f>SUM(T108:T122)</f>
        <v>221848.32000000001</v>
      </c>
      <c r="U124" s="585">
        <f>SUM(U108:U122)</f>
        <v>825672</v>
      </c>
      <c r="V124" s="585">
        <f>SUM(V108:V122)</f>
        <v>0</v>
      </c>
      <c r="W124" s="585">
        <f>SUM(W108:W122)</f>
        <v>183000</v>
      </c>
      <c r="X124" s="586">
        <f>SUM(X108:X122)</f>
        <v>114000</v>
      </c>
      <c r="Y124" s="648">
        <f>SUM(Y107:Y123)</f>
        <v>223274.40000000002</v>
      </c>
      <c r="Z124" s="647">
        <f>SUM(Z107:Z123)</f>
        <v>824245.91999999993</v>
      </c>
      <c r="AA124" s="588">
        <f>SUM(AA108:AA123)</f>
        <v>353429.99999999994</v>
      </c>
      <c r="AB124" s="589">
        <f>SUM(AB108:AB123)</f>
        <v>16796.159999999996</v>
      </c>
      <c r="AC124" s="589">
        <f>SUM(AC108:AC123)</f>
        <v>109712.16000000002</v>
      </c>
      <c r="AD124" s="589">
        <f>SUM(AD108:AD123)</f>
        <v>472242</v>
      </c>
      <c r="AE124" s="589">
        <f>SUM(AE108:AE123)</f>
        <v>95339.999999999985</v>
      </c>
      <c r="AF124" s="589"/>
      <c r="AG124" s="589"/>
      <c r="AH124" s="647"/>
    </row>
    <row r="125" spans="1:34" x14ac:dyDescent="0.3">
      <c r="A125" s="789" t="s">
        <v>532</v>
      </c>
      <c r="B125" s="790"/>
      <c r="C125" s="790"/>
      <c r="D125" s="790"/>
      <c r="E125" s="790"/>
      <c r="F125" s="791"/>
      <c r="G125" s="790"/>
      <c r="H125" s="790"/>
      <c r="I125" s="792">
        <f>I117+I116+I115+I113+I112+I111+I110+I108</f>
        <v>77</v>
      </c>
      <c r="J125" s="792">
        <f>I117+I116+I115+J114+I112+I111+I110+J109+I108</f>
        <v>48</v>
      </c>
      <c r="K125" s="792">
        <f>I117+I116+I115+K114+K113+I112+I111+I110+J109+I108</f>
        <v>98</v>
      </c>
      <c r="L125" s="792"/>
      <c r="M125" s="790">
        <f>SUM(I125:L125)</f>
        <v>223</v>
      </c>
      <c r="N125" s="793"/>
      <c r="O125" s="794"/>
      <c r="P125" s="793"/>
      <c r="Q125" s="793"/>
      <c r="R125" s="794"/>
      <c r="S125" s="348"/>
      <c r="T125" s="349">
        <f>T124/S124</f>
        <v>0.16500183500387711</v>
      </c>
      <c r="U125" s="350">
        <f>U124/S124</f>
        <v>0.61410154068924749</v>
      </c>
      <c r="V125" s="524"/>
      <c r="W125" s="350">
        <f>W124/S124</f>
        <v>0.13610802103756975</v>
      </c>
      <c r="X125" s="352">
        <f>X124/S124</f>
        <v>8.4788603269305748E-2</v>
      </c>
      <c r="Y125" s="351">
        <f>Y124/S124</f>
        <v>0.16606249580519544</v>
      </c>
      <c r="Z125" s="352">
        <f>Z124/S124</f>
        <v>0.6130408798879291</v>
      </c>
      <c r="AA125" s="747"/>
      <c r="AB125" s="524"/>
      <c r="AC125" s="524"/>
      <c r="AD125" s="524"/>
      <c r="AE125" s="524"/>
      <c r="AF125" s="524"/>
      <c r="AG125" s="524"/>
      <c r="AH125" s="356"/>
    </row>
    <row r="126" spans="1:34" x14ac:dyDescent="0.3">
      <c r="A126" s="251" t="s">
        <v>533</v>
      </c>
      <c r="B126" s="252"/>
      <c r="C126" s="252"/>
      <c r="D126" s="252"/>
      <c r="E126" s="252"/>
      <c r="F126" s="253"/>
      <c r="G126" s="252"/>
      <c r="H126" s="252"/>
      <c r="I126" s="2188">
        <f>I125/$M$125</f>
        <v>0.3452914798206278</v>
      </c>
      <c r="J126" s="2188">
        <f t="shared" ref="J126:L126" si="25">J125/$M$125</f>
        <v>0.21524663677130046</v>
      </c>
      <c r="K126" s="2188">
        <f t="shared" si="25"/>
        <v>0.43946188340807174</v>
      </c>
      <c r="L126" s="2188">
        <f t="shared" si="25"/>
        <v>0</v>
      </c>
      <c r="M126" s="252"/>
      <c r="N126" s="255"/>
      <c r="O126" s="256"/>
      <c r="P126" s="255"/>
      <c r="Q126" s="257">
        <f>T124/3</f>
        <v>73949.440000000002</v>
      </c>
      <c r="R126" s="262">
        <f>Q126/Q124</f>
        <v>0.16500183500387708</v>
      </c>
      <c r="X126" s="248"/>
      <c r="Y126" s="357">
        <f>I110+I111+J114+K114+I117</f>
        <v>46</v>
      </c>
      <c r="Z126" s="358">
        <f>I108+J109+I112+I113+K113+I115+I116</f>
        <v>122</v>
      </c>
    </row>
    <row r="127" spans="1:34" x14ac:dyDescent="0.3">
      <c r="A127" s="251" t="s">
        <v>11</v>
      </c>
      <c r="B127" s="252"/>
      <c r="C127" s="252"/>
      <c r="D127" s="252"/>
      <c r="E127" s="252"/>
      <c r="F127" s="253"/>
      <c r="G127" s="252"/>
      <c r="H127" s="252"/>
      <c r="I127" s="254"/>
      <c r="J127" s="254"/>
      <c r="K127" s="254"/>
      <c r="L127" s="254"/>
      <c r="M127" s="252"/>
      <c r="N127" s="255"/>
      <c r="O127" s="256"/>
      <c r="P127" s="255"/>
      <c r="Q127" s="257">
        <f>U124/3</f>
        <v>275224</v>
      </c>
      <c r="R127" s="262">
        <f>Q127/Q124</f>
        <v>0.61410154068924749</v>
      </c>
      <c r="S127" s="525">
        <f>Q124/M124</f>
        <v>2667.6990476190476</v>
      </c>
      <c r="T127" s="796" t="s">
        <v>535</v>
      </c>
      <c r="Y127" s="195">
        <f>Y126/M124</f>
        <v>0.27380952380952384</v>
      </c>
      <c r="Z127" s="247">
        <f>Z126/M124</f>
        <v>0.72619047619047616</v>
      </c>
    </row>
    <row r="128" spans="1:34" x14ac:dyDescent="0.3">
      <c r="A128" s="251" t="s">
        <v>528</v>
      </c>
      <c r="B128" s="252"/>
      <c r="C128" s="252"/>
      <c r="D128" s="252"/>
      <c r="E128" s="252"/>
      <c r="F128" s="253"/>
      <c r="G128" s="252"/>
      <c r="H128" s="252"/>
      <c r="I128" s="254"/>
      <c r="J128" s="254"/>
      <c r="K128" s="254"/>
      <c r="L128" s="254"/>
      <c r="M128" s="252"/>
      <c r="N128" s="255"/>
      <c r="O128" s="256"/>
      <c r="P128" s="255"/>
      <c r="Q128" s="257">
        <f>Q121</f>
        <v>61000</v>
      </c>
      <c r="R128" s="262">
        <f>Q128/Q124</f>
        <v>0.13610802103756975</v>
      </c>
      <c r="Y128" s="2265" t="s">
        <v>537</v>
      </c>
      <c r="Z128" s="2265"/>
    </row>
    <row r="129" spans="1:34" x14ac:dyDescent="0.3">
      <c r="A129" s="251" t="s">
        <v>529</v>
      </c>
      <c r="B129" s="252"/>
      <c r="C129" s="252"/>
      <c r="D129" s="252"/>
      <c r="E129" s="252"/>
      <c r="F129" s="253"/>
      <c r="G129" s="252"/>
      <c r="H129" s="252"/>
      <c r="I129" s="254"/>
      <c r="J129" s="254"/>
      <c r="K129" s="254"/>
      <c r="L129" s="254"/>
      <c r="M129" s="252"/>
      <c r="N129" s="255"/>
      <c r="O129" s="256"/>
      <c r="P129" s="255"/>
      <c r="Q129" s="257">
        <f>Q122</f>
        <v>38000</v>
      </c>
      <c r="R129" s="262">
        <f>Q129/Q124</f>
        <v>8.4788603269305735E-2</v>
      </c>
    </row>
    <row r="130" spans="1:34" x14ac:dyDescent="0.3">
      <c r="A130" s="243"/>
      <c r="B130" s="193"/>
      <c r="C130" s="193"/>
      <c r="D130" s="193"/>
      <c r="E130" s="193"/>
      <c r="F130" s="244"/>
      <c r="G130" s="193"/>
      <c r="H130" s="193"/>
      <c r="I130" s="245"/>
      <c r="J130" s="245"/>
      <c r="K130" s="245"/>
      <c r="L130" s="245"/>
      <c r="M130" s="193"/>
      <c r="N130" s="246"/>
      <c r="O130" s="196"/>
      <c r="P130" s="246"/>
      <c r="Q130" s="194">
        <f>SUM(Q126:Q129)</f>
        <v>448173.44</v>
      </c>
      <c r="R130" s="247">
        <f>SUM(R126:R129)</f>
        <v>1</v>
      </c>
      <c r="S130" s="600"/>
    </row>
    <row r="132" spans="1:34" ht="18" x14ac:dyDescent="0.35">
      <c r="A132" s="118" t="s">
        <v>554</v>
      </c>
    </row>
    <row r="134" spans="1:34" x14ac:dyDescent="0.3">
      <c r="A134" s="2446" t="s">
        <v>480</v>
      </c>
      <c r="B134" s="2447"/>
      <c r="C134" s="2447"/>
      <c r="D134" s="2447"/>
      <c r="E134" s="2447"/>
      <c r="F134" s="2447"/>
      <c r="G134" s="2447"/>
      <c r="H134" s="2447"/>
      <c r="I134" s="2447"/>
      <c r="J134" s="2447"/>
      <c r="K134" s="2447"/>
      <c r="L134" s="2447"/>
      <c r="M134" s="2447"/>
      <c r="N134" s="2447"/>
      <c r="O134" s="2447"/>
      <c r="P134" s="2447"/>
      <c r="Q134" s="2447"/>
      <c r="R134" s="2448"/>
      <c r="S134" s="2338" t="s">
        <v>584</v>
      </c>
      <c r="T134" s="2339"/>
      <c r="U134" s="2339"/>
      <c r="V134" s="2339"/>
      <c r="W134" s="2339"/>
      <c r="X134" s="2339"/>
      <c r="Y134" s="2339"/>
      <c r="Z134" s="2339"/>
      <c r="AA134" s="2339"/>
      <c r="AB134" s="2339"/>
      <c r="AC134" s="2339"/>
      <c r="AD134" s="2339"/>
      <c r="AE134" s="2339"/>
      <c r="AF134" s="2339"/>
      <c r="AG134" s="2339"/>
      <c r="AH134" s="2340"/>
    </row>
    <row r="135" spans="1:34" ht="18" x14ac:dyDescent="0.35">
      <c r="A135" s="2256" t="s">
        <v>482</v>
      </c>
      <c r="B135" s="2258" t="s">
        <v>483</v>
      </c>
      <c r="C135" s="2258" t="s">
        <v>484</v>
      </c>
      <c r="D135" s="2258" t="s">
        <v>555</v>
      </c>
      <c r="E135" s="2258" t="s">
        <v>556</v>
      </c>
      <c r="F135" s="2260" t="s">
        <v>487</v>
      </c>
      <c r="G135" s="2258" t="s">
        <v>557</v>
      </c>
      <c r="H135" s="2258" t="s">
        <v>489</v>
      </c>
      <c r="I135" s="2240" t="s">
        <v>490</v>
      </c>
      <c r="J135" s="2240"/>
      <c r="K135" s="2240"/>
      <c r="L135" s="2240"/>
      <c r="M135" s="305" t="s">
        <v>491</v>
      </c>
      <c r="N135" s="306" t="s">
        <v>558</v>
      </c>
      <c r="O135" s="307" t="s">
        <v>493</v>
      </c>
      <c r="P135" s="306" t="s">
        <v>558</v>
      </c>
      <c r="Q135" s="306" t="s">
        <v>559</v>
      </c>
      <c r="R135" s="308" t="s">
        <v>495</v>
      </c>
      <c r="S135" s="695" t="s">
        <v>496</v>
      </c>
      <c r="T135" s="2409" t="s">
        <v>497</v>
      </c>
      <c r="U135" s="2410"/>
      <c r="V135" s="2410"/>
      <c r="W135" s="2410"/>
      <c r="X135" s="2411"/>
      <c r="Y135" s="2403" t="s">
        <v>498</v>
      </c>
      <c r="Z135" s="2405"/>
      <c r="AA135" s="2403" t="s">
        <v>499</v>
      </c>
      <c r="AB135" s="2404"/>
      <c r="AC135" s="2404"/>
      <c r="AD135" s="2404"/>
      <c r="AE135" s="2404"/>
      <c r="AF135" s="2404"/>
      <c r="AG135" s="2404"/>
      <c r="AH135" s="2405"/>
    </row>
    <row r="136" spans="1:34" ht="18" x14ac:dyDescent="0.35">
      <c r="A136" s="2257"/>
      <c r="B136" s="2259"/>
      <c r="C136" s="2259"/>
      <c r="D136" s="2259"/>
      <c r="E136" s="2259"/>
      <c r="F136" s="2261"/>
      <c r="G136" s="2259"/>
      <c r="H136" s="2259"/>
      <c r="I136" s="310" t="s">
        <v>500</v>
      </c>
      <c r="J136" s="310" t="s">
        <v>501</v>
      </c>
      <c r="K136" s="310" t="s">
        <v>502</v>
      </c>
      <c r="L136" s="310" t="s">
        <v>503</v>
      </c>
      <c r="M136" s="311" t="s">
        <v>504</v>
      </c>
      <c r="N136" s="312" t="s">
        <v>505</v>
      </c>
      <c r="O136" s="313" t="s">
        <v>506</v>
      </c>
      <c r="P136" s="312" t="s">
        <v>507</v>
      </c>
      <c r="Q136" s="312" t="s">
        <v>560</v>
      </c>
      <c r="R136" s="314"/>
      <c r="S136" s="696" t="s">
        <v>508</v>
      </c>
      <c r="T136" s="2412"/>
      <c r="U136" s="2413"/>
      <c r="V136" s="2413"/>
      <c r="W136" s="2413"/>
      <c r="X136" s="2414"/>
      <c r="Y136" s="2406"/>
      <c r="Z136" s="2408"/>
      <c r="AA136" s="2406"/>
      <c r="AB136" s="2407"/>
      <c r="AC136" s="2407"/>
      <c r="AD136" s="2407"/>
      <c r="AE136" s="2407"/>
      <c r="AF136" s="2407"/>
      <c r="AG136" s="2407"/>
      <c r="AH136" s="2408"/>
    </row>
    <row r="137" spans="1:34" ht="18" x14ac:dyDescent="0.35">
      <c r="A137" s="2377" t="s">
        <v>679</v>
      </c>
      <c r="B137" s="2378"/>
      <c r="C137" s="2378"/>
      <c r="D137" s="2378"/>
      <c r="E137" s="2378"/>
      <c r="F137" s="2378"/>
      <c r="G137" s="2378"/>
      <c r="H137" s="2378"/>
      <c r="I137" s="2378"/>
      <c r="J137" s="2378"/>
      <c r="K137" s="2378"/>
      <c r="L137" s="2378"/>
      <c r="M137" s="2378"/>
      <c r="N137" s="2378"/>
      <c r="O137" s="2378"/>
      <c r="P137" s="2378"/>
      <c r="Q137" s="2378"/>
      <c r="R137" s="2378"/>
      <c r="S137" s="559"/>
      <c r="T137" s="563" t="s">
        <v>510</v>
      </c>
      <c r="U137" s="561" t="s">
        <v>11</v>
      </c>
      <c r="V137" s="561" t="s">
        <v>511</v>
      </c>
      <c r="W137" s="561" t="s">
        <v>512</v>
      </c>
      <c r="X137" s="562" t="s">
        <v>513</v>
      </c>
      <c r="Y137" s="563" t="s">
        <v>514</v>
      </c>
      <c r="Z137" s="562" t="s">
        <v>515</v>
      </c>
      <c r="AA137" s="563" t="s">
        <v>4</v>
      </c>
      <c r="AB137" s="561" t="s">
        <v>135</v>
      </c>
      <c r="AC137" s="561" t="s">
        <v>136</v>
      </c>
      <c r="AD137" s="561" t="s">
        <v>137</v>
      </c>
      <c r="AE137" s="561" t="s">
        <v>138</v>
      </c>
      <c r="AF137" s="561" t="s">
        <v>5</v>
      </c>
      <c r="AG137" s="561" t="s">
        <v>139</v>
      </c>
      <c r="AH137" s="562" t="s">
        <v>140</v>
      </c>
    </row>
    <row r="138" spans="1:34" x14ac:dyDescent="0.3">
      <c r="A138" s="154"/>
      <c r="B138" s="462"/>
      <c r="C138" s="462"/>
      <c r="D138" s="462"/>
      <c r="E138" s="462"/>
      <c r="F138" s="463"/>
      <c r="G138" s="462"/>
      <c r="H138" s="462"/>
      <c r="I138" s="465"/>
      <c r="J138" s="465"/>
      <c r="K138" s="465"/>
      <c r="L138" s="465"/>
      <c r="M138" s="462"/>
      <c r="N138" s="468"/>
      <c r="O138" s="469"/>
      <c r="P138" s="468"/>
      <c r="Q138" s="468"/>
      <c r="R138" s="532"/>
      <c r="S138" s="149"/>
      <c r="T138" s="280"/>
      <c r="X138" s="152"/>
      <c r="Y138" s="151"/>
      <c r="Z138" s="152"/>
      <c r="AA138" s="280"/>
      <c r="AH138" s="152"/>
    </row>
    <row r="139" spans="1:34" x14ac:dyDescent="0.3">
      <c r="A139" s="157" t="s">
        <v>773</v>
      </c>
      <c r="B139" s="157" t="s">
        <v>141</v>
      </c>
      <c r="C139" s="157" t="s">
        <v>774</v>
      </c>
      <c r="D139" s="157" t="s">
        <v>142</v>
      </c>
      <c r="E139" s="157" t="s">
        <v>518</v>
      </c>
      <c r="F139" s="158" t="s">
        <v>795</v>
      </c>
      <c r="G139" s="157">
        <v>15</v>
      </c>
      <c r="H139" s="157" t="s">
        <v>24</v>
      </c>
      <c r="I139" s="175">
        <v>15</v>
      </c>
      <c r="J139" s="176"/>
      <c r="K139" s="176"/>
      <c r="L139" s="177"/>
      <c r="M139" s="157">
        <v>1</v>
      </c>
      <c r="N139" s="503">
        <v>22440</v>
      </c>
      <c r="O139" s="173">
        <v>0.65</v>
      </c>
      <c r="P139" s="503">
        <f>N139*(1-O139)</f>
        <v>7853.9999999999991</v>
      </c>
      <c r="Q139" s="503">
        <f>P139*M139*G139</f>
        <v>117809.99999999999</v>
      </c>
      <c r="R139" s="167">
        <f t="shared" ref="R139:R148" si="26">Q139/$Q$155</f>
        <v>0.26249611636761877</v>
      </c>
      <c r="S139" s="168">
        <f>Q139</f>
        <v>117809.99999999999</v>
      </c>
      <c r="T139" s="282"/>
      <c r="U139" s="169">
        <f>S139</f>
        <v>117809.99999999999</v>
      </c>
      <c r="V139" s="169"/>
      <c r="W139" s="169"/>
      <c r="X139" s="171"/>
      <c r="Y139" s="170"/>
      <c r="Z139" s="171">
        <f>S139</f>
        <v>117809.99999999999</v>
      </c>
      <c r="AA139" s="282">
        <f>S139</f>
        <v>117809.99999999999</v>
      </c>
      <c r="AH139" s="152"/>
    </row>
    <row r="140" spans="1:34" x14ac:dyDescent="0.3">
      <c r="A140" s="157" t="s">
        <v>773</v>
      </c>
      <c r="B140" s="157" t="s">
        <v>135</v>
      </c>
      <c r="C140" s="157" t="s">
        <v>776</v>
      </c>
      <c r="D140" s="157" t="s">
        <v>21</v>
      </c>
      <c r="E140" s="157" t="s">
        <v>518</v>
      </c>
      <c r="F140" s="158" t="s">
        <v>521</v>
      </c>
      <c r="G140" s="157">
        <v>1</v>
      </c>
      <c r="H140" s="157" t="s">
        <v>147</v>
      </c>
      <c r="I140" s="772"/>
      <c r="J140" s="773">
        <v>1</v>
      </c>
      <c r="K140" s="688"/>
      <c r="M140" s="157">
        <v>1</v>
      </c>
      <c r="N140" s="503">
        <f>15552*60%</f>
        <v>9331.1999999999989</v>
      </c>
      <c r="O140" s="173">
        <v>0.4</v>
      </c>
      <c r="P140" s="503">
        <f t="shared" ref="P140:P148" si="27">N140*(1-O140)</f>
        <v>5598.7199999999993</v>
      </c>
      <c r="Q140" s="503">
        <f t="shared" ref="Q140:Q145" si="28">P140*M140*G140</f>
        <v>5598.7199999999993</v>
      </c>
      <c r="R140" s="167">
        <f t="shared" si="26"/>
        <v>1.2474681747132794E-2</v>
      </c>
      <c r="S140" s="168">
        <f t="shared" ref="S140:S148" si="29">Q140</f>
        <v>5598.7199999999993</v>
      </c>
      <c r="T140" s="282">
        <f t="shared" ref="T140:T142" si="30">S140</f>
        <v>5598.7199999999993</v>
      </c>
      <c r="U140" s="169"/>
      <c r="V140" s="169"/>
      <c r="W140" s="169"/>
      <c r="X140" s="171"/>
      <c r="Y140" s="170"/>
      <c r="Z140" s="171">
        <f>S140</f>
        <v>5598.7199999999993</v>
      </c>
      <c r="AA140" s="280"/>
      <c r="AB140" s="169">
        <f>S140</f>
        <v>5598.7199999999993</v>
      </c>
      <c r="AH140" s="152"/>
    </row>
    <row r="141" spans="1:34" x14ac:dyDescent="0.3">
      <c r="A141" s="157" t="s">
        <v>773</v>
      </c>
      <c r="B141" s="157" t="s">
        <v>143</v>
      </c>
      <c r="C141" s="157" t="s">
        <v>776</v>
      </c>
      <c r="D141" s="157" t="s">
        <v>26</v>
      </c>
      <c r="E141" s="157" t="s">
        <v>520</v>
      </c>
      <c r="F141" s="158" t="s">
        <v>640</v>
      </c>
      <c r="G141" s="157">
        <v>2</v>
      </c>
      <c r="H141" s="157" t="s">
        <v>24</v>
      </c>
      <c r="I141" s="175">
        <v>2</v>
      </c>
      <c r="J141" s="176"/>
      <c r="K141" s="176"/>
      <c r="L141" s="177"/>
      <c r="M141" s="157">
        <v>1</v>
      </c>
      <c r="N141" s="503">
        <v>15714</v>
      </c>
      <c r="O141" s="173">
        <v>0.6</v>
      </c>
      <c r="P141" s="503">
        <f t="shared" si="27"/>
        <v>6285.6</v>
      </c>
      <c r="Q141" s="503">
        <f t="shared" si="28"/>
        <v>12571.2</v>
      </c>
      <c r="R141" s="178">
        <f t="shared" si="26"/>
        <v>2.8010280774812067E-2</v>
      </c>
      <c r="S141" s="168">
        <f t="shared" si="29"/>
        <v>12571.2</v>
      </c>
      <c r="T141" s="282">
        <f t="shared" si="30"/>
        <v>12571.2</v>
      </c>
      <c r="U141" s="169"/>
      <c r="V141" s="169"/>
      <c r="W141" s="169"/>
      <c r="X141" s="171"/>
      <c r="Y141" s="170">
        <f>S141</f>
        <v>12571.2</v>
      </c>
      <c r="Z141" s="152"/>
      <c r="AA141" s="280"/>
      <c r="AC141" s="169">
        <f>S141</f>
        <v>12571.2</v>
      </c>
      <c r="AH141" s="152"/>
    </row>
    <row r="142" spans="1:34" x14ac:dyDescent="0.3">
      <c r="A142" s="157" t="s">
        <v>773</v>
      </c>
      <c r="B142" s="157" t="s">
        <v>143</v>
      </c>
      <c r="C142" s="157" t="s">
        <v>776</v>
      </c>
      <c r="D142" s="157" t="s">
        <v>21</v>
      </c>
      <c r="E142" s="157" t="s">
        <v>518</v>
      </c>
      <c r="F142" s="158" t="s">
        <v>521</v>
      </c>
      <c r="G142" s="157">
        <v>1</v>
      </c>
      <c r="H142" s="157" t="s">
        <v>24</v>
      </c>
      <c r="I142" s="175">
        <v>1</v>
      </c>
      <c r="J142" s="176"/>
      <c r="K142" s="176"/>
      <c r="L142" s="177"/>
      <c r="M142" s="157">
        <v>1</v>
      </c>
      <c r="N142" s="503">
        <f>(28572*60%)/2</f>
        <v>8571.6</v>
      </c>
      <c r="O142" s="173">
        <v>0.6</v>
      </c>
      <c r="P142" s="503">
        <f t="shared" si="27"/>
        <v>3428.6400000000003</v>
      </c>
      <c r="Q142" s="503">
        <f t="shared" si="28"/>
        <v>3428.6400000000003</v>
      </c>
      <c r="R142" s="167">
        <f t="shared" si="26"/>
        <v>7.639459166646911E-3</v>
      </c>
      <c r="S142" s="168">
        <f t="shared" si="29"/>
        <v>3428.6400000000003</v>
      </c>
      <c r="T142" s="282">
        <f t="shared" si="30"/>
        <v>3428.6400000000003</v>
      </c>
      <c r="U142" s="169"/>
      <c r="V142" s="169"/>
      <c r="W142" s="169"/>
      <c r="X142" s="171"/>
      <c r="Y142" s="170"/>
      <c r="Z142" s="171">
        <f>S142</f>
        <v>3428.6400000000003</v>
      </c>
      <c r="AA142" s="280"/>
      <c r="AC142" s="169">
        <f>S142</f>
        <v>3428.6400000000003</v>
      </c>
      <c r="AH142" s="152"/>
    </row>
    <row r="143" spans="1:34" x14ac:dyDescent="0.3">
      <c r="A143" s="157" t="s">
        <v>773</v>
      </c>
      <c r="B143" s="157" t="s">
        <v>145</v>
      </c>
      <c r="C143" s="157" t="s">
        <v>777</v>
      </c>
      <c r="D143" s="157" t="s">
        <v>11</v>
      </c>
      <c r="E143" s="157" t="s">
        <v>518</v>
      </c>
      <c r="F143" s="158" t="s">
        <v>151</v>
      </c>
      <c r="G143" s="157">
        <v>1</v>
      </c>
      <c r="H143" s="157" t="s">
        <v>22</v>
      </c>
      <c r="I143" s="175">
        <v>50</v>
      </c>
      <c r="J143" s="179"/>
      <c r="K143" s="285">
        <v>50</v>
      </c>
      <c r="L143" s="180"/>
      <c r="M143" s="157">
        <v>2</v>
      </c>
      <c r="N143" s="503">
        <v>115074</v>
      </c>
      <c r="O143" s="173">
        <v>0.5</v>
      </c>
      <c r="P143" s="503">
        <f t="shared" si="27"/>
        <v>57537</v>
      </c>
      <c r="Q143" s="503">
        <f t="shared" si="28"/>
        <v>115074</v>
      </c>
      <c r="R143" s="167">
        <f t="shared" si="26"/>
        <v>0.25639994987596437</v>
      </c>
      <c r="S143" s="168">
        <f t="shared" si="29"/>
        <v>115074</v>
      </c>
      <c r="T143" s="282"/>
      <c r="U143" s="169">
        <f>S143</f>
        <v>115074</v>
      </c>
      <c r="V143" s="169"/>
      <c r="W143" s="169"/>
      <c r="X143" s="171"/>
      <c r="Y143" s="170"/>
      <c r="Z143" s="171">
        <f>S143</f>
        <v>115074</v>
      </c>
      <c r="AA143" s="280"/>
      <c r="AD143" s="169">
        <f>S143</f>
        <v>115074</v>
      </c>
      <c r="AH143" s="152"/>
    </row>
    <row r="144" spans="1:34" x14ac:dyDescent="0.3">
      <c r="A144" s="157" t="s">
        <v>773</v>
      </c>
      <c r="B144" s="157" t="s">
        <v>145</v>
      </c>
      <c r="C144" s="157" t="s">
        <v>777</v>
      </c>
      <c r="D144" s="157" t="s">
        <v>11</v>
      </c>
      <c r="E144" s="157" t="s">
        <v>697</v>
      </c>
      <c r="F144" s="158" t="s">
        <v>796</v>
      </c>
      <c r="G144" s="157">
        <v>20</v>
      </c>
      <c r="H144" s="157" t="s">
        <v>22</v>
      </c>
      <c r="I144" s="772"/>
      <c r="J144" s="285">
        <v>20</v>
      </c>
      <c r="K144" s="285">
        <v>20</v>
      </c>
      <c r="L144" s="774"/>
      <c r="M144" s="163">
        <v>2</v>
      </c>
      <c r="N144" s="503">
        <v>2117</v>
      </c>
      <c r="O144" s="173">
        <v>0.5</v>
      </c>
      <c r="P144" s="503">
        <f t="shared" si="27"/>
        <v>1058.5</v>
      </c>
      <c r="Q144" s="503">
        <f t="shared" si="28"/>
        <v>42340</v>
      </c>
      <c r="R144" s="178">
        <f t="shared" si="26"/>
        <v>9.4339067710762919E-2</v>
      </c>
      <c r="S144" s="168">
        <f t="shared" si="29"/>
        <v>42340</v>
      </c>
      <c r="T144" s="282"/>
      <c r="U144" s="169">
        <f>S144</f>
        <v>42340</v>
      </c>
      <c r="V144" s="169"/>
      <c r="W144" s="169"/>
      <c r="X144" s="171"/>
      <c r="Y144" s="170">
        <f>S144</f>
        <v>42340</v>
      </c>
      <c r="Z144" s="152"/>
      <c r="AA144" s="280"/>
      <c r="AD144" s="169">
        <f>S144</f>
        <v>42340</v>
      </c>
      <c r="AH144" s="152"/>
    </row>
    <row r="145" spans="1:34" x14ac:dyDescent="0.3">
      <c r="A145" s="157" t="s">
        <v>773</v>
      </c>
      <c r="B145" s="157" t="s">
        <v>146</v>
      </c>
      <c r="C145" s="157" t="s">
        <v>776</v>
      </c>
      <c r="D145" s="157" t="s">
        <v>21</v>
      </c>
      <c r="E145" s="157" t="s">
        <v>518</v>
      </c>
      <c r="F145" s="158" t="s">
        <v>521</v>
      </c>
      <c r="G145" s="157">
        <v>2</v>
      </c>
      <c r="H145" s="157" t="s">
        <v>24</v>
      </c>
      <c r="I145" s="175">
        <v>2</v>
      </c>
      <c r="J145" s="176"/>
      <c r="K145" s="176"/>
      <c r="L145" s="177"/>
      <c r="M145" s="157">
        <v>1</v>
      </c>
      <c r="N145" s="166">
        <v>25500</v>
      </c>
      <c r="O145" s="173">
        <v>0.8</v>
      </c>
      <c r="P145" s="166">
        <f t="shared" si="27"/>
        <v>5099.9999999999991</v>
      </c>
      <c r="Q145" s="166">
        <f t="shared" si="28"/>
        <v>10199.999999999998</v>
      </c>
      <c r="R145" s="167">
        <f t="shared" si="26"/>
        <v>2.2726936482044914E-2</v>
      </c>
      <c r="S145" s="168">
        <f t="shared" si="29"/>
        <v>10199.999999999998</v>
      </c>
      <c r="T145" s="282">
        <f>S145</f>
        <v>10199.999999999998</v>
      </c>
      <c r="U145" s="169"/>
      <c r="V145" s="169"/>
      <c r="W145" s="169"/>
      <c r="X145" s="171"/>
      <c r="Y145" s="170"/>
      <c r="Z145" s="171">
        <f>S145</f>
        <v>10199.999999999998</v>
      </c>
      <c r="AA145" s="280"/>
      <c r="AE145" s="169">
        <f>S145</f>
        <v>10199.999999999998</v>
      </c>
      <c r="AH145" s="152"/>
    </row>
    <row r="146" spans="1:34" x14ac:dyDescent="0.3">
      <c r="A146" s="157" t="s">
        <v>773</v>
      </c>
      <c r="B146" s="157" t="s">
        <v>130</v>
      </c>
      <c r="C146" s="157" t="s">
        <v>782</v>
      </c>
      <c r="D146" s="157" t="s">
        <v>148</v>
      </c>
      <c r="E146" s="157" t="s">
        <v>520</v>
      </c>
      <c r="F146" s="158" t="s">
        <v>552</v>
      </c>
      <c r="G146" s="157">
        <v>14</v>
      </c>
      <c r="H146" s="157" t="s">
        <v>24</v>
      </c>
      <c r="I146" s="175">
        <v>14</v>
      </c>
      <c r="J146" s="176"/>
      <c r="K146" s="176"/>
      <c r="L146" s="177"/>
      <c r="M146" s="157">
        <v>1</v>
      </c>
      <c r="N146" s="166">
        <v>12169</v>
      </c>
      <c r="O146" s="173">
        <v>0.82</v>
      </c>
      <c r="P146" s="166">
        <f t="shared" si="27"/>
        <v>2190.4200000000005</v>
      </c>
      <c r="Q146" s="166">
        <f>P146*M146*G146</f>
        <v>30665.880000000008</v>
      </c>
      <c r="R146" s="178">
        <f t="shared" si="26"/>
        <v>6.8327598718236446E-2</v>
      </c>
      <c r="S146" s="168">
        <f t="shared" si="29"/>
        <v>30665.880000000008</v>
      </c>
      <c r="T146" s="280"/>
      <c r="V146" s="169">
        <f>SUM(S146)</f>
        <v>30665.880000000008</v>
      </c>
      <c r="X146" s="152"/>
      <c r="Y146" s="170">
        <f t="shared" ref="Y146:Y148" si="31">S146</f>
        <v>30665.880000000008</v>
      </c>
      <c r="Z146" s="152"/>
      <c r="AA146" s="280"/>
      <c r="AH146" s="171">
        <f>S146</f>
        <v>30665.880000000008</v>
      </c>
    </row>
    <row r="147" spans="1:34" x14ac:dyDescent="0.3">
      <c r="A147" s="157" t="s">
        <v>773</v>
      </c>
      <c r="B147" s="157" t="s">
        <v>41</v>
      </c>
      <c r="C147" s="157" t="s">
        <v>784</v>
      </c>
      <c r="D147" s="157" t="s">
        <v>149</v>
      </c>
      <c r="E147" s="157" t="s">
        <v>520</v>
      </c>
      <c r="F147" s="158" t="s">
        <v>797</v>
      </c>
      <c r="G147" s="157">
        <v>12</v>
      </c>
      <c r="H147" s="157" t="s">
        <v>24</v>
      </c>
      <c r="I147" s="175">
        <v>12</v>
      </c>
      <c r="J147" s="176"/>
      <c r="K147" s="176"/>
      <c r="L147" s="177"/>
      <c r="M147" s="157">
        <v>1</v>
      </c>
      <c r="N147" s="166">
        <v>1600</v>
      </c>
      <c r="O147" s="173">
        <v>0.7</v>
      </c>
      <c r="P147" s="166">
        <f t="shared" si="27"/>
        <v>480.00000000000006</v>
      </c>
      <c r="Q147" s="166">
        <f>P147*M147*G147</f>
        <v>5760.0000000000009</v>
      </c>
      <c r="R147" s="178">
        <f t="shared" si="26"/>
        <v>1.2834034719272426E-2</v>
      </c>
      <c r="S147" s="168">
        <f t="shared" si="29"/>
        <v>5760.0000000000009</v>
      </c>
      <c r="T147" s="280"/>
      <c r="V147" s="169">
        <f>S147</f>
        <v>5760.0000000000009</v>
      </c>
      <c r="X147" s="152"/>
      <c r="Y147" s="170">
        <f t="shared" si="31"/>
        <v>5760.0000000000009</v>
      </c>
      <c r="Z147" s="152"/>
      <c r="AA147" s="280"/>
      <c r="AB147" s="169">
        <f>S147</f>
        <v>5760.0000000000009</v>
      </c>
      <c r="AF147" s="169">
        <f>S147</f>
        <v>5760.0000000000009</v>
      </c>
      <c r="AH147" s="152"/>
    </row>
    <row r="148" spans="1:34" x14ac:dyDescent="0.3">
      <c r="A148" s="157" t="s">
        <v>773</v>
      </c>
      <c r="B148" s="157" t="s">
        <v>150</v>
      </c>
      <c r="C148" s="157" t="s">
        <v>786</v>
      </c>
      <c r="D148" s="157" t="s">
        <v>68</v>
      </c>
      <c r="E148" s="157" t="s">
        <v>520</v>
      </c>
      <c r="F148" s="158" t="s">
        <v>798</v>
      </c>
      <c r="G148" s="157">
        <v>13</v>
      </c>
      <c r="H148" s="157" t="s">
        <v>24</v>
      </c>
      <c r="I148" s="175">
        <v>13</v>
      </c>
      <c r="J148" s="176"/>
      <c r="K148" s="176"/>
      <c r="L148" s="177"/>
      <c r="M148" s="157">
        <v>1</v>
      </c>
      <c r="N148" s="166">
        <v>9292</v>
      </c>
      <c r="O148" s="173">
        <v>0.55000000000000004</v>
      </c>
      <c r="P148" s="166">
        <f t="shared" si="27"/>
        <v>4181.3999999999996</v>
      </c>
      <c r="Q148" s="166">
        <f>P148*M148*G148</f>
        <v>54358.2</v>
      </c>
      <c r="R148" s="178">
        <f t="shared" si="26"/>
        <v>0.12111719202728372</v>
      </c>
      <c r="S148" s="168">
        <f t="shared" si="29"/>
        <v>54358.2</v>
      </c>
      <c r="T148" s="280"/>
      <c r="V148" s="169">
        <f>S148</f>
        <v>54358.2</v>
      </c>
      <c r="X148" s="152"/>
      <c r="Y148" s="170">
        <f t="shared" si="31"/>
        <v>54358.2</v>
      </c>
      <c r="Z148" s="152"/>
      <c r="AA148" s="280"/>
      <c r="AG148" s="169">
        <f>S148</f>
        <v>54358.2</v>
      </c>
      <c r="AH148" s="152"/>
    </row>
    <row r="149" spans="1:34" x14ac:dyDescent="0.3">
      <c r="A149" s="172"/>
      <c r="B149" s="157"/>
      <c r="C149" s="157"/>
      <c r="D149" s="157"/>
      <c r="E149" s="157"/>
      <c r="F149" s="158"/>
      <c r="G149" s="157"/>
      <c r="H149" s="157"/>
      <c r="M149" s="157"/>
      <c r="N149" s="166"/>
      <c r="O149" s="173"/>
      <c r="P149" s="166"/>
      <c r="Q149" s="166"/>
      <c r="R149" s="167"/>
      <c r="S149" s="149"/>
      <c r="T149" s="280"/>
      <c r="X149" s="152"/>
      <c r="Y149" s="151"/>
      <c r="Z149" s="152"/>
      <c r="AA149" s="280"/>
      <c r="AH149" s="152"/>
    </row>
    <row r="150" spans="1:34" x14ac:dyDescent="0.3">
      <c r="A150" s="172"/>
      <c r="B150" s="157"/>
      <c r="C150" s="157"/>
      <c r="D150" s="157"/>
      <c r="E150" s="157"/>
      <c r="F150" s="158"/>
      <c r="G150" s="157"/>
      <c r="H150" s="157"/>
      <c r="M150" s="157"/>
      <c r="N150" s="166"/>
      <c r="O150" s="173"/>
      <c r="P150" s="166"/>
      <c r="Q150" s="166"/>
      <c r="R150" s="393"/>
      <c r="S150" s="149"/>
      <c r="T150" s="280"/>
      <c r="X150" s="152"/>
      <c r="Y150" s="151"/>
      <c r="Z150" s="152"/>
      <c r="AA150" s="280"/>
      <c r="AH150" s="152"/>
    </row>
    <row r="151" spans="1:34" x14ac:dyDescent="0.3">
      <c r="A151" s="172"/>
      <c r="B151" s="157"/>
      <c r="C151" s="157"/>
      <c r="D151" s="157"/>
      <c r="E151" s="157"/>
      <c r="F151" s="158"/>
      <c r="G151" s="157"/>
      <c r="H151" s="157"/>
      <c r="M151" s="157"/>
      <c r="N151" s="166"/>
      <c r="O151" s="173"/>
      <c r="P151" s="166"/>
      <c r="Q151" s="166"/>
      <c r="R151" s="393"/>
      <c r="S151" s="149"/>
      <c r="T151" s="280"/>
      <c r="X151" s="152"/>
      <c r="Y151" s="151"/>
      <c r="Z151" s="152"/>
      <c r="AA151" s="280"/>
      <c r="AH151" s="152"/>
    </row>
    <row r="152" spans="1:34" x14ac:dyDescent="0.3">
      <c r="A152" s="108" t="s">
        <v>773</v>
      </c>
      <c r="B152" s="108" t="s">
        <v>528</v>
      </c>
      <c r="C152" s="289" t="s">
        <v>780</v>
      </c>
      <c r="D152" s="252"/>
      <c r="E152" s="252"/>
      <c r="F152" s="253"/>
      <c r="G152" s="252"/>
      <c r="H152" s="252"/>
      <c r="I152" s="254"/>
      <c r="J152" s="254"/>
      <c r="K152" s="254"/>
      <c r="L152" s="254"/>
      <c r="M152" s="252"/>
      <c r="N152" s="255"/>
      <c r="O152" s="256"/>
      <c r="P152" s="290"/>
      <c r="Q152" s="257">
        <v>25000</v>
      </c>
      <c r="R152" s="291">
        <f>Q152/Q155</f>
        <v>5.5703275691286559E-2</v>
      </c>
      <c r="S152" s="168">
        <f>Q152</f>
        <v>25000</v>
      </c>
      <c r="T152" s="280"/>
      <c r="W152" s="169">
        <f>S152</f>
        <v>25000</v>
      </c>
      <c r="X152" s="152"/>
      <c r="Y152" s="151"/>
      <c r="Z152" s="152"/>
      <c r="AA152" s="280"/>
      <c r="AH152" s="152"/>
    </row>
    <row r="153" spans="1:34" x14ac:dyDescent="0.3">
      <c r="A153" s="108" t="s">
        <v>773</v>
      </c>
      <c r="B153" s="108" t="s">
        <v>529</v>
      </c>
      <c r="C153" s="289"/>
      <c r="D153" s="252"/>
      <c r="E153" s="252"/>
      <c r="F153" s="253"/>
      <c r="G153" s="252"/>
      <c r="H153" s="252"/>
      <c r="I153" s="254"/>
      <c r="J153" s="254"/>
      <c r="K153" s="254"/>
      <c r="L153" s="254"/>
      <c r="M153" s="252"/>
      <c r="N153" s="255"/>
      <c r="O153" s="256"/>
      <c r="P153" s="290"/>
      <c r="Q153" s="257">
        <v>26000</v>
      </c>
      <c r="R153" s="291">
        <f>Q153/Q155</f>
        <v>5.7931406718938025E-2</v>
      </c>
      <c r="S153" s="168">
        <f>Q153</f>
        <v>26000</v>
      </c>
      <c r="T153" s="280"/>
      <c r="X153" s="171">
        <f>S153</f>
        <v>26000</v>
      </c>
      <c r="Y153" s="151"/>
      <c r="Z153" s="152"/>
      <c r="AA153" s="280"/>
      <c r="AH153" s="152"/>
    </row>
    <row r="154" spans="1:34" x14ac:dyDescent="0.3">
      <c r="I154" s="115">
        <f>I155/$M$155</f>
        <v>0.54500000000000004</v>
      </c>
      <c r="J154" s="115">
        <f t="shared" ref="J154:L154" si="32">J155/$M$155</f>
        <v>0.105</v>
      </c>
      <c r="K154" s="115">
        <f t="shared" si="32"/>
        <v>0.35</v>
      </c>
      <c r="L154" s="115">
        <f t="shared" si="32"/>
        <v>0</v>
      </c>
      <c r="S154" s="149"/>
      <c r="T154" s="280"/>
      <c r="X154" s="152"/>
      <c r="Y154" s="151"/>
      <c r="Z154" s="152"/>
      <c r="AA154" s="280"/>
      <c r="AH154" s="152"/>
    </row>
    <row r="155" spans="1:34" x14ac:dyDescent="0.3">
      <c r="A155" s="789" t="s">
        <v>531</v>
      </c>
      <c r="B155" s="790"/>
      <c r="C155" s="790"/>
      <c r="D155" s="790"/>
      <c r="E155" s="790"/>
      <c r="F155" s="791"/>
      <c r="G155" s="790"/>
      <c r="H155" s="790"/>
      <c r="I155" s="792">
        <f>I148+I147+I146+I145+I143+I142+I141+I139</f>
        <v>109</v>
      </c>
      <c r="J155" s="792">
        <f>J144+J140</f>
        <v>21</v>
      </c>
      <c r="K155" s="792">
        <f>K144+K143</f>
        <v>70</v>
      </c>
      <c r="L155" s="792"/>
      <c r="M155" s="790">
        <f>SUM(I155:L155)</f>
        <v>200</v>
      </c>
      <c r="N155" s="793"/>
      <c r="O155" s="794"/>
      <c r="P155" s="793"/>
      <c r="Q155" s="795">
        <f>SUM(Q139:Q154)</f>
        <v>448806.64</v>
      </c>
      <c r="R155" s="794">
        <f>SUM(R139:R153)</f>
        <v>1</v>
      </c>
      <c r="S155" s="583">
        <f>SUM(S139:S154)</f>
        <v>448806.64</v>
      </c>
      <c r="T155" s="584">
        <f>SUM(T139:T153)</f>
        <v>31798.559999999998</v>
      </c>
      <c r="U155" s="585">
        <f>SUM(U139:U153)</f>
        <v>275224</v>
      </c>
      <c r="V155" s="585">
        <f>SUM(V139:V153)</f>
        <v>90784.080000000016</v>
      </c>
      <c r="W155" s="585">
        <f>SUM(W139:W153)</f>
        <v>25000</v>
      </c>
      <c r="X155" s="586">
        <f>SUM(X139:X153)</f>
        <v>26000</v>
      </c>
      <c r="Y155" s="587">
        <f>SUM(Y138:Y154)</f>
        <v>145695.28</v>
      </c>
      <c r="Z155" s="586">
        <f>SUM(Z138:Z154)</f>
        <v>252111.35999999999</v>
      </c>
      <c r="AA155" s="584">
        <f>SUM(AA138:AA154)</f>
        <v>117809.99999999999</v>
      </c>
      <c r="AB155" s="585">
        <f>SUM(AB138:AB154)</f>
        <v>11358.720000000001</v>
      </c>
      <c r="AC155" s="585">
        <f t="shared" ref="AC155:AH155" si="33">SUM(AC138:AC154)</f>
        <v>15999.84</v>
      </c>
      <c r="AD155" s="585">
        <f t="shared" si="33"/>
        <v>157414</v>
      </c>
      <c r="AE155" s="585">
        <f t="shared" si="33"/>
        <v>10199.999999999998</v>
      </c>
      <c r="AF155" s="585">
        <f t="shared" si="33"/>
        <v>5760.0000000000009</v>
      </c>
      <c r="AG155" s="585">
        <f t="shared" si="33"/>
        <v>54358.2</v>
      </c>
      <c r="AH155" s="586">
        <f t="shared" si="33"/>
        <v>30665.880000000008</v>
      </c>
    </row>
    <row r="156" spans="1:34" x14ac:dyDescent="0.3">
      <c r="A156" s="789" t="s">
        <v>532</v>
      </c>
      <c r="B156" s="790"/>
      <c r="C156" s="790"/>
      <c r="D156" s="790"/>
      <c r="E156" s="790"/>
      <c r="F156" s="791"/>
      <c r="G156" s="790"/>
      <c r="H156" s="790"/>
      <c r="I156" s="792">
        <f>I148+I147+I146+I145+I143+I142+I141+I139</f>
        <v>109</v>
      </c>
      <c r="J156" s="792">
        <f>I148+I147+I146+I145+J144+I142+I141+J140+I139</f>
        <v>80</v>
      </c>
      <c r="K156" s="792">
        <f>I148+I147+I146+I145+K144+K143+I142+I141+J140+I139</f>
        <v>130</v>
      </c>
      <c r="L156" s="792"/>
      <c r="M156" s="790">
        <f>SUM(I156:L156)</f>
        <v>319</v>
      </c>
      <c r="N156" s="793"/>
      <c r="O156" s="794"/>
      <c r="P156" s="793"/>
      <c r="Q156" s="793"/>
      <c r="R156" s="794"/>
      <c r="S156" s="348"/>
      <c r="T156" s="349">
        <f>T155/S155</f>
        <v>7.0851358170636689E-2</v>
      </c>
      <c r="U156" s="350">
        <f>U155/S155</f>
        <v>0.61323513395434615</v>
      </c>
      <c r="V156" s="350">
        <f>V155/S155</f>
        <v>0.20227882546479262</v>
      </c>
      <c r="W156" s="350">
        <f>W155/S155</f>
        <v>5.5703275691286559E-2</v>
      </c>
      <c r="X156" s="352">
        <f>X155/S155</f>
        <v>5.7931406718938025E-2</v>
      </c>
      <c r="Y156" s="351">
        <f>Y155/S155</f>
        <v>0.32462817395036758</v>
      </c>
      <c r="Z156" s="352">
        <f>Z155/S155</f>
        <v>0.56173714363940774</v>
      </c>
      <c r="AA156" s="747"/>
      <c r="AB156" s="524"/>
      <c r="AC156" s="524"/>
      <c r="AD156" s="524"/>
      <c r="AE156" s="524"/>
      <c r="AF156" s="524"/>
      <c r="AG156" s="524"/>
      <c r="AH156" s="356"/>
    </row>
    <row r="157" spans="1:34" x14ac:dyDescent="0.3">
      <c r="A157" s="251" t="s">
        <v>533</v>
      </c>
      <c r="B157" s="252"/>
      <c r="C157" s="252"/>
      <c r="D157" s="252"/>
      <c r="E157" s="252"/>
      <c r="F157" s="253"/>
      <c r="G157" s="252"/>
      <c r="H157" s="252"/>
      <c r="I157" s="2188">
        <f>I156/$M$156</f>
        <v>0.34169278996865204</v>
      </c>
      <c r="J157" s="2188">
        <f t="shared" ref="J157:L157" si="34">J156/$M$156</f>
        <v>0.2507836990595611</v>
      </c>
      <c r="K157" s="2188">
        <f t="shared" si="34"/>
        <v>0.40752351097178685</v>
      </c>
      <c r="L157" s="2188">
        <f t="shared" si="34"/>
        <v>0</v>
      </c>
      <c r="M157" s="252"/>
      <c r="N157" s="255"/>
      <c r="O157" s="256"/>
      <c r="P157" s="255"/>
      <c r="Q157" s="257">
        <f>T155</f>
        <v>31798.559999999998</v>
      </c>
      <c r="R157" s="262">
        <f>Q157/Q155</f>
        <v>7.0851358170636689E-2</v>
      </c>
      <c r="X157" s="248"/>
      <c r="Y157" s="761">
        <f>I141+J144+K144+I146+I147+I148</f>
        <v>81</v>
      </c>
      <c r="Z157" s="761">
        <f>I139+J140+I142+I143+K143+I145</f>
        <v>119</v>
      </c>
    </row>
    <row r="158" spans="1:34" x14ac:dyDescent="0.3">
      <c r="A158" s="251" t="s">
        <v>11</v>
      </c>
      <c r="B158" s="252"/>
      <c r="C158" s="252"/>
      <c r="D158" s="252"/>
      <c r="E158" s="252"/>
      <c r="F158" s="253"/>
      <c r="G158" s="252"/>
      <c r="H158" s="252"/>
      <c r="I158" s="254"/>
      <c r="J158" s="254"/>
      <c r="K158" s="254"/>
      <c r="L158" s="254"/>
      <c r="M158" s="252"/>
      <c r="N158" s="255"/>
      <c r="O158" s="256"/>
      <c r="P158" s="255"/>
      <c r="Q158" s="257">
        <f>U155</f>
        <v>275224</v>
      </c>
      <c r="R158" s="262">
        <f>Q158/Q155</f>
        <v>0.61323513395434615</v>
      </c>
      <c r="S158" s="525">
        <f>Q155/M155</f>
        <v>2244.0331999999999</v>
      </c>
      <c r="T158" s="796" t="s">
        <v>535</v>
      </c>
      <c r="Y158" s="195">
        <f>Y157/M155</f>
        <v>0.40500000000000003</v>
      </c>
      <c r="Z158" s="195">
        <f>Z157/M155</f>
        <v>0.59499999999999997</v>
      </c>
    </row>
    <row r="159" spans="1:34" x14ac:dyDescent="0.3">
      <c r="A159" s="251" t="s">
        <v>536</v>
      </c>
      <c r="B159" s="252"/>
      <c r="C159" s="252"/>
      <c r="D159" s="252"/>
      <c r="E159" s="252"/>
      <c r="F159" s="253"/>
      <c r="G159" s="252"/>
      <c r="H159" s="252"/>
      <c r="I159" s="254"/>
      <c r="J159" s="254"/>
      <c r="K159" s="254"/>
      <c r="L159" s="254"/>
      <c r="M159" s="252"/>
      <c r="N159" s="255"/>
      <c r="O159" s="256"/>
      <c r="P159" s="255"/>
      <c r="Q159" s="257">
        <f>V155</f>
        <v>90784.080000000016</v>
      </c>
      <c r="R159" s="262">
        <f>Q159/Q155</f>
        <v>0.20227882546479262</v>
      </c>
      <c r="Y159" s="2265" t="s">
        <v>537</v>
      </c>
      <c r="Z159" s="2265"/>
    </row>
    <row r="160" spans="1:34" x14ac:dyDescent="0.3">
      <c r="A160" s="251" t="s">
        <v>528</v>
      </c>
      <c r="B160" s="252"/>
      <c r="C160" s="252"/>
      <c r="D160" s="252"/>
      <c r="E160" s="252"/>
      <c r="F160" s="253"/>
      <c r="G160" s="252"/>
      <c r="H160" s="252"/>
      <c r="I160" s="254"/>
      <c r="J160" s="254"/>
      <c r="K160" s="254"/>
      <c r="L160" s="254"/>
      <c r="M160" s="252"/>
      <c r="N160" s="255"/>
      <c r="O160" s="256"/>
      <c r="P160" s="255"/>
      <c r="Q160" s="257">
        <f>Q152</f>
        <v>25000</v>
      </c>
      <c r="R160" s="262">
        <f>Q160/Q155</f>
        <v>5.5703275691286559E-2</v>
      </c>
    </row>
    <row r="161" spans="1:34" x14ac:dyDescent="0.3">
      <c r="A161" s="251" t="s">
        <v>529</v>
      </c>
      <c r="B161" s="252"/>
      <c r="C161" s="252"/>
      <c r="D161" s="252"/>
      <c r="E161" s="252"/>
      <c r="F161" s="253"/>
      <c r="G161" s="252"/>
      <c r="H161" s="252"/>
      <c r="I161" s="254"/>
      <c r="J161" s="254"/>
      <c r="K161" s="254"/>
      <c r="L161" s="254"/>
      <c r="M161" s="252"/>
      <c r="N161" s="255"/>
      <c r="O161" s="256"/>
      <c r="P161" s="255"/>
      <c r="Q161" s="257">
        <f>Q153</f>
        <v>26000</v>
      </c>
      <c r="R161" s="262">
        <f>Q161/Q155</f>
        <v>5.7931406718938025E-2</v>
      </c>
    </row>
    <row r="162" spans="1:34" x14ac:dyDescent="0.3">
      <c r="A162" s="243"/>
      <c r="B162" s="193"/>
      <c r="C162" s="193"/>
      <c r="D162" s="193"/>
      <c r="E162" s="193"/>
      <c r="F162" s="244"/>
      <c r="G162" s="193"/>
      <c r="H162" s="193"/>
      <c r="I162" s="245"/>
      <c r="J162" s="245"/>
      <c r="K162" s="245"/>
      <c r="L162" s="245"/>
      <c r="M162" s="193"/>
      <c r="N162" s="246"/>
      <c r="O162" s="196"/>
      <c r="P162" s="246"/>
      <c r="Q162" s="194">
        <f>SUM(Q157:Q161)</f>
        <v>448806.64</v>
      </c>
      <c r="R162" s="247">
        <f>SUM(R157:R161)</f>
        <v>1</v>
      </c>
      <c r="S162" s="600"/>
    </row>
    <row r="165" spans="1:34" x14ac:dyDescent="0.3">
      <c r="E165" s="1" t="s">
        <v>799</v>
      </c>
      <c r="F165" s="2" t="s">
        <v>598</v>
      </c>
      <c r="G165" s="779"/>
      <c r="H165" s="781"/>
    </row>
    <row r="166" spans="1:34" x14ac:dyDescent="0.3">
      <c r="E166" s="1" t="s">
        <v>473</v>
      </c>
      <c r="F166" s="2" t="s">
        <v>791</v>
      </c>
      <c r="G166" s="781"/>
      <c r="H166" s="781"/>
    </row>
    <row r="167" spans="1:34" x14ac:dyDescent="0.3">
      <c r="E167" s="1" t="s">
        <v>475</v>
      </c>
      <c r="F167" s="2" t="s">
        <v>800</v>
      </c>
    </row>
    <row r="168" spans="1:34" x14ac:dyDescent="0.3">
      <c r="E168" s="1" t="s">
        <v>477</v>
      </c>
      <c r="F168" s="2" t="s">
        <v>801</v>
      </c>
    </row>
    <row r="169" spans="1:34" ht="18" x14ac:dyDescent="0.35">
      <c r="A169" s="118" t="s">
        <v>567</v>
      </c>
    </row>
    <row r="171" spans="1:34" x14ac:dyDescent="0.3">
      <c r="A171" s="2446" t="s">
        <v>480</v>
      </c>
      <c r="B171" s="2447"/>
      <c r="C171" s="2447"/>
      <c r="D171" s="2447"/>
      <c r="E171" s="2447"/>
      <c r="F171" s="2447"/>
      <c r="G171" s="2447"/>
      <c r="H171" s="2447"/>
      <c r="I171" s="2447"/>
      <c r="J171" s="2447"/>
      <c r="K171" s="2447"/>
      <c r="L171" s="2447"/>
      <c r="M171" s="2447"/>
      <c r="N171" s="2447"/>
      <c r="O171" s="2447"/>
      <c r="P171" s="2447"/>
      <c r="Q171" s="2447"/>
      <c r="R171" s="2448"/>
      <c r="S171" s="2338" t="s">
        <v>584</v>
      </c>
      <c r="T171" s="2339"/>
      <c r="U171" s="2339"/>
      <c r="V171" s="2339"/>
      <c r="W171" s="2339"/>
      <c r="X171" s="2339"/>
      <c r="Y171" s="2339"/>
      <c r="Z171" s="2339"/>
      <c r="AA171" s="2339"/>
      <c r="AB171" s="2339"/>
      <c r="AC171" s="2339"/>
      <c r="AD171" s="2339"/>
      <c r="AE171" s="2339"/>
      <c r="AF171" s="2339"/>
      <c r="AG171" s="2339"/>
      <c r="AH171" s="2340"/>
    </row>
    <row r="172" spans="1:34" ht="18" x14ac:dyDescent="0.35">
      <c r="A172" s="2227" t="s">
        <v>482</v>
      </c>
      <c r="B172" s="2215" t="s">
        <v>483</v>
      </c>
      <c r="C172" s="2215" t="s">
        <v>484</v>
      </c>
      <c r="D172" s="2215" t="s">
        <v>555</v>
      </c>
      <c r="E172" s="2215" t="s">
        <v>556</v>
      </c>
      <c r="F172" s="2213" t="s">
        <v>487</v>
      </c>
      <c r="G172" s="2215" t="s">
        <v>557</v>
      </c>
      <c r="H172" s="2215" t="s">
        <v>489</v>
      </c>
      <c r="I172" s="2217" t="s">
        <v>490</v>
      </c>
      <c r="J172" s="373"/>
      <c r="K172" s="373"/>
      <c r="L172" s="2218"/>
      <c r="M172" s="374" t="s">
        <v>491</v>
      </c>
      <c r="N172" s="375" t="s">
        <v>558</v>
      </c>
      <c r="O172" s="376" t="s">
        <v>493</v>
      </c>
      <c r="P172" s="375" t="s">
        <v>558</v>
      </c>
      <c r="Q172" s="375" t="s">
        <v>559</v>
      </c>
      <c r="R172" s="2327" t="s">
        <v>495</v>
      </c>
      <c r="S172" s="703" t="s">
        <v>496</v>
      </c>
      <c r="T172" s="2388" t="s">
        <v>497</v>
      </c>
      <c r="U172" s="2389"/>
      <c r="V172" s="2389"/>
      <c r="W172" s="2389"/>
      <c r="X172" s="2390"/>
      <c r="Y172" s="2394" t="s">
        <v>498</v>
      </c>
      <c r="Z172" s="2395"/>
      <c r="AA172" s="2394" t="s">
        <v>499</v>
      </c>
      <c r="AB172" s="2398"/>
      <c r="AC172" s="2398"/>
      <c r="AD172" s="2398"/>
      <c r="AE172" s="2398"/>
      <c r="AF172" s="2398"/>
      <c r="AG172" s="2398"/>
      <c r="AH172" s="2395"/>
    </row>
    <row r="173" spans="1:34" ht="18" x14ac:dyDescent="0.35">
      <c r="A173" s="2341"/>
      <c r="B173" s="2326"/>
      <c r="C173" s="2326"/>
      <c r="D173" s="2326"/>
      <c r="E173" s="2326"/>
      <c r="F173" s="2342"/>
      <c r="G173" s="2326"/>
      <c r="H173" s="2326"/>
      <c r="I173" s="536" t="s">
        <v>500</v>
      </c>
      <c r="J173" s="536" t="s">
        <v>501</v>
      </c>
      <c r="K173" s="536" t="s">
        <v>502</v>
      </c>
      <c r="L173" s="536" t="s">
        <v>503</v>
      </c>
      <c r="M173" s="537" t="s">
        <v>504</v>
      </c>
      <c r="N173" s="538" t="s">
        <v>505</v>
      </c>
      <c r="O173" s="539" t="s">
        <v>506</v>
      </c>
      <c r="P173" s="538" t="s">
        <v>507</v>
      </c>
      <c r="Q173" s="538" t="s">
        <v>560</v>
      </c>
      <c r="R173" s="2328"/>
      <c r="S173" s="704" t="s">
        <v>508</v>
      </c>
      <c r="T173" s="2391"/>
      <c r="U173" s="2392"/>
      <c r="V173" s="2392"/>
      <c r="W173" s="2392"/>
      <c r="X173" s="2393"/>
      <c r="Y173" s="2396"/>
      <c r="Z173" s="2397"/>
      <c r="AA173" s="2396"/>
      <c r="AB173" s="2399"/>
      <c r="AC173" s="2399"/>
      <c r="AD173" s="2399"/>
      <c r="AE173" s="2399"/>
      <c r="AF173" s="2399"/>
      <c r="AG173" s="2399"/>
      <c r="AH173" s="2397"/>
    </row>
    <row r="174" spans="1:34" ht="18" x14ac:dyDescent="0.35">
      <c r="A174" s="2323" t="s">
        <v>568</v>
      </c>
      <c r="B174" s="2324"/>
      <c r="C174" s="2324"/>
      <c r="D174" s="2324"/>
      <c r="E174" s="2324"/>
      <c r="F174" s="2324"/>
      <c r="G174" s="2324"/>
      <c r="H174" s="2324"/>
      <c r="I174" s="2324"/>
      <c r="J174" s="2324"/>
      <c r="K174" s="2324"/>
      <c r="L174" s="2324"/>
      <c r="M174" s="2324"/>
      <c r="N174" s="2324"/>
      <c r="O174" s="2324"/>
      <c r="P174" s="2324"/>
      <c r="Q174" s="2324"/>
      <c r="R174" s="2324"/>
      <c r="S174" s="559"/>
      <c r="T174" s="563" t="s">
        <v>510</v>
      </c>
      <c r="U174" s="561" t="s">
        <v>11</v>
      </c>
      <c r="V174" s="561" t="s">
        <v>511</v>
      </c>
      <c r="W174" s="561" t="s">
        <v>512</v>
      </c>
      <c r="X174" s="562" t="s">
        <v>513</v>
      </c>
      <c r="Y174" s="563" t="s">
        <v>514</v>
      </c>
      <c r="Z174" s="562" t="s">
        <v>515</v>
      </c>
      <c r="AA174" s="563" t="s">
        <v>4</v>
      </c>
      <c r="AB174" s="561" t="s">
        <v>135</v>
      </c>
      <c r="AC174" s="561" t="s">
        <v>136</v>
      </c>
      <c r="AD174" s="561" t="s">
        <v>137</v>
      </c>
      <c r="AE174" s="561" t="s">
        <v>138</v>
      </c>
      <c r="AF174" s="561" t="s">
        <v>5</v>
      </c>
      <c r="AG174" s="561" t="s">
        <v>139</v>
      </c>
      <c r="AH174" s="562" t="s">
        <v>140</v>
      </c>
    </row>
    <row r="175" spans="1:34" x14ac:dyDescent="0.3">
      <c r="A175" s="154"/>
      <c r="B175" s="462"/>
      <c r="C175" s="462"/>
      <c r="D175" s="462"/>
      <c r="E175" s="462"/>
      <c r="F175" s="463"/>
      <c r="G175" s="462"/>
      <c r="H175" s="462"/>
      <c r="I175" s="465"/>
      <c r="J175" s="465"/>
      <c r="K175" s="465"/>
      <c r="L175" s="465"/>
      <c r="M175" s="462"/>
      <c r="N175" s="468"/>
      <c r="O175" s="469"/>
      <c r="P175" s="468"/>
      <c r="Q175" s="468"/>
      <c r="R175" s="532"/>
      <c r="S175" s="149"/>
      <c r="T175" s="280"/>
      <c r="X175" s="152"/>
      <c r="Y175" s="151"/>
      <c r="Z175" s="152"/>
      <c r="AA175" s="280"/>
      <c r="AH175" s="152"/>
    </row>
    <row r="176" spans="1:34" x14ac:dyDescent="0.3">
      <c r="A176" s="157" t="s">
        <v>773</v>
      </c>
      <c r="B176" s="157" t="s">
        <v>141</v>
      </c>
      <c r="C176" s="157" t="s">
        <v>774</v>
      </c>
      <c r="D176" s="157" t="s">
        <v>142</v>
      </c>
      <c r="E176" s="157" t="s">
        <v>518</v>
      </c>
      <c r="F176" s="158" t="s">
        <v>802</v>
      </c>
      <c r="G176" s="157">
        <v>13</v>
      </c>
      <c r="H176" s="157" t="s">
        <v>24</v>
      </c>
      <c r="I176" s="175">
        <v>13</v>
      </c>
      <c r="J176" s="176"/>
      <c r="K176" s="176"/>
      <c r="L176" s="177"/>
      <c r="M176" s="157">
        <v>1</v>
      </c>
      <c r="N176" s="503">
        <v>22440</v>
      </c>
      <c r="O176" s="173">
        <v>0.65</v>
      </c>
      <c r="P176" s="503">
        <f>N176*(1-O176)</f>
        <v>7853.9999999999991</v>
      </c>
      <c r="Q176" s="503">
        <f>P176*M176*G176</f>
        <v>102101.99999999999</v>
      </c>
      <c r="R176" s="167">
        <f t="shared" ref="R176:R181" si="35">Q176/$Q$188</f>
        <v>0.37520505418134142</v>
      </c>
      <c r="S176" s="168">
        <f>Q176*4</f>
        <v>408407.99999999994</v>
      </c>
      <c r="T176" s="282"/>
      <c r="U176" s="169">
        <f>S176</f>
        <v>408407.99999999994</v>
      </c>
      <c r="V176" s="169"/>
      <c r="W176" s="169"/>
      <c r="X176" s="171"/>
      <c r="Y176" s="170"/>
      <c r="Z176" s="171">
        <f>S176</f>
        <v>408407.99999999994</v>
      </c>
      <c r="AA176" s="282">
        <f>S176</f>
        <v>408407.99999999994</v>
      </c>
      <c r="AH176" s="152"/>
    </row>
    <row r="177" spans="1:34" x14ac:dyDescent="0.3">
      <c r="A177" s="157" t="s">
        <v>773</v>
      </c>
      <c r="B177" s="157" t="s">
        <v>135</v>
      </c>
      <c r="C177" s="157" t="s">
        <v>776</v>
      </c>
      <c r="D177" s="157" t="s">
        <v>21</v>
      </c>
      <c r="E177" s="157" t="s">
        <v>518</v>
      </c>
      <c r="F177" s="158" t="s">
        <v>523</v>
      </c>
      <c r="G177" s="157">
        <v>1</v>
      </c>
      <c r="H177" s="157" t="s">
        <v>147</v>
      </c>
      <c r="I177" s="772"/>
      <c r="J177" s="179"/>
      <c r="K177" s="773">
        <v>1</v>
      </c>
      <c r="L177" s="177"/>
      <c r="M177" s="157">
        <v>1</v>
      </c>
      <c r="N177" s="503">
        <f>15552*60%</f>
        <v>9331.1999999999989</v>
      </c>
      <c r="O177" s="173">
        <v>0.4</v>
      </c>
      <c r="P177" s="503">
        <f t="shared" ref="P177:P181" si="36">N177*(1-O177)</f>
        <v>5598.7199999999993</v>
      </c>
      <c r="Q177" s="503">
        <f t="shared" ref="Q177:Q181" si="37">P177*M177*G177</f>
        <v>5598.7199999999993</v>
      </c>
      <c r="R177" s="167">
        <f t="shared" si="35"/>
        <v>2.0574210504653776E-2</v>
      </c>
      <c r="S177" s="168">
        <f t="shared" ref="S177:S186" si="38">Q177*4</f>
        <v>22394.879999999997</v>
      </c>
      <c r="T177" s="282">
        <f t="shared" ref="T177:T179" si="39">S177</f>
        <v>22394.879999999997</v>
      </c>
      <c r="U177" s="169"/>
      <c r="V177" s="169"/>
      <c r="W177" s="169"/>
      <c r="X177" s="171"/>
      <c r="Y177" s="170"/>
      <c r="Z177" s="171">
        <f>S177</f>
        <v>22394.879999999997</v>
      </c>
      <c r="AA177" s="280"/>
      <c r="AB177" s="169">
        <f>S177</f>
        <v>22394.879999999997</v>
      </c>
      <c r="AH177" s="152"/>
    </row>
    <row r="178" spans="1:34" x14ac:dyDescent="0.3">
      <c r="A178" s="157" t="s">
        <v>773</v>
      </c>
      <c r="B178" s="157" t="s">
        <v>143</v>
      </c>
      <c r="C178" s="157" t="s">
        <v>776</v>
      </c>
      <c r="D178" s="157" t="s">
        <v>26</v>
      </c>
      <c r="E178" s="157" t="s">
        <v>520</v>
      </c>
      <c r="F178" s="158" t="s">
        <v>589</v>
      </c>
      <c r="G178" s="157">
        <v>2</v>
      </c>
      <c r="H178" s="157" t="s">
        <v>24</v>
      </c>
      <c r="I178" s="175">
        <v>2</v>
      </c>
      <c r="J178" s="176"/>
      <c r="K178" s="176"/>
      <c r="L178" s="177"/>
      <c r="M178" s="157">
        <v>1</v>
      </c>
      <c r="N178" s="503">
        <v>15714</v>
      </c>
      <c r="O178" s="173">
        <v>0.6</v>
      </c>
      <c r="P178" s="503">
        <f t="shared" si="36"/>
        <v>6285.6</v>
      </c>
      <c r="Q178" s="503">
        <f t="shared" si="37"/>
        <v>12571.2</v>
      </c>
      <c r="R178" s="178">
        <f t="shared" si="35"/>
        <v>4.6196722660912418E-2</v>
      </c>
      <c r="S178" s="168">
        <f t="shared" si="38"/>
        <v>50284.800000000003</v>
      </c>
      <c r="T178" s="282">
        <f t="shared" si="39"/>
        <v>50284.800000000003</v>
      </c>
      <c r="U178" s="169"/>
      <c r="V178" s="169"/>
      <c r="W178" s="169"/>
      <c r="X178" s="171"/>
      <c r="Y178" s="170">
        <f>S178</f>
        <v>50284.800000000003</v>
      </c>
      <c r="Z178" s="152"/>
      <c r="AA178" s="280"/>
      <c r="AC178" s="169">
        <f>S178</f>
        <v>50284.800000000003</v>
      </c>
      <c r="AH178" s="152"/>
    </row>
    <row r="179" spans="1:34" x14ac:dyDescent="0.3">
      <c r="A179" s="157" t="s">
        <v>773</v>
      </c>
      <c r="B179" s="157" t="s">
        <v>143</v>
      </c>
      <c r="C179" s="157" t="s">
        <v>776</v>
      </c>
      <c r="D179" s="157" t="s">
        <v>21</v>
      </c>
      <c r="E179" s="157" t="s">
        <v>518</v>
      </c>
      <c r="F179" s="158" t="s">
        <v>523</v>
      </c>
      <c r="G179" s="157">
        <v>2</v>
      </c>
      <c r="H179" s="157" t="s">
        <v>24</v>
      </c>
      <c r="I179" s="175">
        <v>2</v>
      </c>
      <c r="J179" s="176"/>
      <c r="K179" s="176"/>
      <c r="L179" s="177"/>
      <c r="M179" s="157">
        <v>1</v>
      </c>
      <c r="N179" s="503">
        <f>(28572*60%)/2</f>
        <v>8571.6</v>
      </c>
      <c r="O179" s="173">
        <v>0.6</v>
      </c>
      <c r="P179" s="503">
        <f t="shared" si="36"/>
        <v>3428.6400000000003</v>
      </c>
      <c r="Q179" s="503">
        <f t="shared" si="37"/>
        <v>6857.2800000000007</v>
      </c>
      <c r="R179" s="167">
        <f t="shared" si="35"/>
        <v>2.5199174491553834E-2</v>
      </c>
      <c r="S179" s="168">
        <f t="shared" si="38"/>
        <v>27429.120000000003</v>
      </c>
      <c r="T179" s="282">
        <f t="shared" si="39"/>
        <v>27429.120000000003</v>
      </c>
      <c r="U179" s="169"/>
      <c r="V179" s="169"/>
      <c r="W179" s="169"/>
      <c r="X179" s="171"/>
      <c r="Y179" s="170"/>
      <c r="Z179" s="171">
        <f>S179</f>
        <v>27429.120000000003</v>
      </c>
      <c r="AA179" s="280"/>
      <c r="AC179" s="169">
        <f>S179</f>
        <v>27429.120000000003</v>
      </c>
      <c r="AH179" s="152"/>
    </row>
    <row r="180" spans="1:34" x14ac:dyDescent="0.3">
      <c r="A180" s="157" t="s">
        <v>773</v>
      </c>
      <c r="B180" s="157" t="s">
        <v>145</v>
      </c>
      <c r="C180" s="157" t="s">
        <v>777</v>
      </c>
      <c r="D180" s="157" t="s">
        <v>11</v>
      </c>
      <c r="E180" s="157" t="s">
        <v>518</v>
      </c>
      <c r="F180" s="158" t="s">
        <v>151</v>
      </c>
      <c r="G180" s="157">
        <v>1</v>
      </c>
      <c r="H180" s="157" t="s">
        <v>22</v>
      </c>
      <c r="I180" s="175">
        <v>50</v>
      </c>
      <c r="J180" s="179"/>
      <c r="K180" s="179"/>
      <c r="L180" s="180"/>
      <c r="M180" s="157">
        <v>1</v>
      </c>
      <c r="N180" s="503">
        <v>115074</v>
      </c>
      <c r="O180" s="173">
        <v>0.5</v>
      </c>
      <c r="P180" s="503">
        <f t="shared" si="36"/>
        <v>57537</v>
      </c>
      <c r="Q180" s="503">
        <f t="shared" si="37"/>
        <v>57537</v>
      </c>
      <c r="R180" s="167">
        <f t="shared" si="35"/>
        <v>0.21143731956701969</v>
      </c>
      <c r="S180" s="168">
        <f t="shared" si="38"/>
        <v>230148</v>
      </c>
      <c r="T180" s="282"/>
      <c r="U180" s="169">
        <f>S180</f>
        <v>230148</v>
      </c>
      <c r="V180" s="169"/>
      <c r="W180" s="169"/>
      <c r="X180" s="171"/>
      <c r="Y180" s="170"/>
      <c r="Z180" s="171">
        <f>S180</f>
        <v>230148</v>
      </c>
      <c r="AA180" s="280"/>
      <c r="AD180" s="169">
        <f>S180</f>
        <v>230148</v>
      </c>
      <c r="AH180" s="152"/>
    </row>
    <row r="181" spans="1:34" x14ac:dyDescent="0.3">
      <c r="A181" s="157" t="s">
        <v>773</v>
      </c>
      <c r="B181" s="157" t="s">
        <v>145</v>
      </c>
      <c r="C181" s="157" t="s">
        <v>777</v>
      </c>
      <c r="D181" s="157" t="s">
        <v>11</v>
      </c>
      <c r="E181" s="157" t="s">
        <v>697</v>
      </c>
      <c r="F181" s="158" t="s">
        <v>803</v>
      </c>
      <c r="G181" s="157">
        <v>21</v>
      </c>
      <c r="H181" s="157" t="s">
        <v>22</v>
      </c>
      <c r="I181" s="772"/>
      <c r="J181" s="285">
        <v>21</v>
      </c>
      <c r="K181" s="285">
        <v>21</v>
      </c>
      <c r="L181" s="774"/>
      <c r="M181" s="163">
        <v>2</v>
      </c>
      <c r="N181" s="503">
        <v>2117</v>
      </c>
      <c r="O181" s="173">
        <v>0.5</v>
      </c>
      <c r="P181" s="503">
        <f t="shared" si="36"/>
        <v>1058.5</v>
      </c>
      <c r="Q181" s="503">
        <f t="shared" si="37"/>
        <v>44457</v>
      </c>
      <c r="R181" s="178">
        <f t="shared" si="35"/>
        <v>0.16337085555366102</v>
      </c>
      <c r="S181" s="168">
        <f t="shared" si="38"/>
        <v>177828</v>
      </c>
      <c r="T181" s="282"/>
      <c r="U181" s="169">
        <f>S181</f>
        <v>177828</v>
      </c>
      <c r="V181" s="169"/>
      <c r="W181" s="169"/>
      <c r="X181" s="171"/>
      <c r="Y181" s="170">
        <f>S181</f>
        <v>177828</v>
      </c>
      <c r="Z181" s="152"/>
      <c r="AA181" s="280"/>
      <c r="AD181" s="169">
        <f>S181</f>
        <v>177828</v>
      </c>
      <c r="AH181" s="152"/>
    </row>
    <row r="182" spans="1:34" x14ac:dyDescent="0.3">
      <c r="A182" s="172"/>
      <c r="B182" s="157"/>
      <c r="C182" s="157"/>
      <c r="D182" s="157"/>
      <c r="E182" s="157"/>
      <c r="F182" s="158"/>
      <c r="G182" s="157"/>
      <c r="H182" s="157"/>
      <c r="M182" s="157"/>
      <c r="N182" s="166"/>
      <c r="O182" s="173"/>
      <c r="P182" s="166"/>
      <c r="Q182" s="166"/>
      <c r="R182" s="393"/>
      <c r="S182" s="168"/>
      <c r="T182" s="280"/>
      <c r="X182" s="152"/>
      <c r="Y182" s="151"/>
      <c r="Z182" s="152"/>
      <c r="AA182" s="280"/>
      <c r="AH182" s="152"/>
    </row>
    <row r="183" spans="1:34" x14ac:dyDescent="0.3">
      <c r="A183" s="172"/>
      <c r="B183" s="157"/>
      <c r="C183" s="157"/>
      <c r="D183" s="157"/>
      <c r="E183" s="157"/>
      <c r="F183" s="158"/>
      <c r="G183" s="157"/>
      <c r="H183" s="157"/>
      <c r="M183" s="157"/>
      <c r="N183" s="166"/>
      <c r="O183" s="173"/>
      <c r="P183" s="166"/>
      <c r="Q183" s="166"/>
      <c r="R183" s="393"/>
      <c r="S183" s="168"/>
      <c r="T183" s="280"/>
      <c r="X183" s="152"/>
      <c r="Y183" s="151"/>
      <c r="Z183" s="152"/>
      <c r="AA183" s="280"/>
      <c r="AH183" s="152"/>
    </row>
    <row r="184" spans="1:34" x14ac:dyDescent="0.3">
      <c r="A184" s="172"/>
      <c r="B184" s="157"/>
      <c r="C184" s="157"/>
      <c r="D184" s="157"/>
      <c r="E184" s="157"/>
      <c r="F184" s="158"/>
      <c r="G184" s="157"/>
      <c r="H184" s="157"/>
      <c r="M184" s="157"/>
      <c r="N184" s="166"/>
      <c r="O184" s="173"/>
      <c r="P184" s="166"/>
      <c r="Q184" s="166"/>
      <c r="R184" s="393"/>
      <c r="S184" s="168"/>
      <c r="T184" s="280"/>
      <c r="X184" s="152"/>
      <c r="Y184" s="151"/>
      <c r="Z184" s="152"/>
      <c r="AA184" s="280"/>
      <c r="AH184" s="152"/>
    </row>
    <row r="185" spans="1:34" x14ac:dyDescent="0.3">
      <c r="A185" s="108" t="s">
        <v>773</v>
      </c>
      <c r="B185" s="108" t="s">
        <v>528</v>
      </c>
      <c r="C185" s="289" t="s">
        <v>780</v>
      </c>
      <c r="D185" s="252"/>
      <c r="E185" s="252"/>
      <c r="F185" s="253"/>
      <c r="G185" s="252"/>
      <c r="H185" s="252"/>
      <c r="I185" s="254"/>
      <c r="J185" s="254"/>
      <c r="K185" s="254"/>
      <c r="L185" s="254"/>
      <c r="M185" s="252"/>
      <c r="N185" s="255"/>
      <c r="O185" s="256"/>
      <c r="P185" s="290"/>
      <c r="Q185" s="257">
        <v>17000</v>
      </c>
      <c r="R185" s="291">
        <f>Q185/Q188</f>
        <v>6.2471703992897344E-2</v>
      </c>
      <c r="S185" s="168">
        <f t="shared" si="38"/>
        <v>68000</v>
      </c>
      <c r="T185" s="280"/>
      <c r="W185" s="169">
        <f>S185</f>
        <v>68000</v>
      </c>
      <c r="X185" s="152"/>
      <c r="Y185" s="151"/>
      <c r="Z185" s="152"/>
      <c r="AA185" s="280"/>
      <c r="AH185" s="152"/>
    </row>
    <row r="186" spans="1:34" x14ac:dyDescent="0.3">
      <c r="A186" s="108" t="s">
        <v>773</v>
      </c>
      <c r="B186" s="108" t="s">
        <v>529</v>
      </c>
      <c r="C186" s="289"/>
      <c r="D186" s="252"/>
      <c r="E186" s="252"/>
      <c r="F186" s="253"/>
      <c r="G186" s="252"/>
      <c r="H186" s="252"/>
      <c r="I186" s="2188"/>
      <c r="J186" s="2188"/>
      <c r="K186" s="2188"/>
      <c r="L186" s="2188"/>
      <c r="M186" s="252"/>
      <c r="N186" s="255"/>
      <c r="O186" s="256"/>
      <c r="P186" s="290"/>
      <c r="Q186" s="257">
        <v>26000</v>
      </c>
      <c r="R186" s="291">
        <f>Q186/Q188</f>
        <v>9.5544959047960648E-2</v>
      </c>
      <c r="S186" s="168">
        <f t="shared" si="38"/>
        <v>104000</v>
      </c>
      <c r="T186" s="280"/>
      <c r="X186" s="171">
        <f>S186</f>
        <v>104000</v>
      </c>
      <c r="Y186" s="151"/>
      <c r="Z186" s="152"/>
      <c r="AA186" s="280"/>
      <c r="AH186" s="152"/>
    </row>
    <row r="187" spans="1:34" x14ac:dyDescent="0.3">
      <c r="I187" s="115">
        <f>I188/$M$188</f>
        <v>0.60909090909090913</v>
      </c>
      <c r="J187" s="115">
        <f t="shared" ref="J187:L187" si="40">J188/$M$188</f>
        <v>0.19090909090909092</v>
      </c>
      <c r="K187" s="115">
        <f t="shared" si="40"/>
        <v>0.2</v>
      </c>
      <c r="L187" s="115">
        <f t="shared" si="40"/>
        <v>0</v>
      </c>
      <c r="S187" s="645"/>
      <c r="T187" s="566"/>
      <c r="U187" s="245"/>
      <c r="V187" s="245"/>
      <c r="W187" s="245"/>
      <c r="X187" s="567"/>
      <c r="Y187" s="737"/>
      <c r="Z187" s="567"/>
      <c r="AA187" s="566"/>
      <c r="AB187" s="245"/>
      <c r="AC187" s="245"/>
      <c r="AD187" s="245"/>
      <c r="AE187" s="245"/>
      <c r="AF187" s="245"/>
      <c r="AG187" s="245"/>
      <c r="AH187" s="567"/>
    </row>
    <row r="188" spans="1:34" x14ac:dyDescent="0.3">
      <c r="A188" s="396" t="s">
        <v>531</v>
      </c>
      <c r="B188" s="373"/>
      <c r="C188" s="373"/>
      <c r="D188" s="373"/>
      <c r="E188" s="373"/>
      <c r="F188" s="397"/>
      <c r="G188" s="373"/>
      <c r="H188" s="373"/>
      <c r="I188" s="705">
        <f>I180+I179+I178+I176</f>
        <v>67</v>
      </c>
      <c r="J188" s="705">
        <f>J181</f>
        <v>21</v>
      </c>
      <c r="K188" s="705">
        <f>K181+K177</f>
        <v>22</v>
      </c>
      <c r="L188" s="705"/>
      <c r="M188" s="373">
        <f>SUM(I188:L188)</f>
        <v>110</v>
      </c>
      <c r="N188" s="398"/>
      <c r="O188" s="399"/>
      <c r="P188" s="398"/>
      <c r="Q188" s="400">
        <f>SUM(Q176:Q187)</f>
        <v>272123.19999999995</v>
      </c>
      <c r="R188" s="401">
        <f>SUM(R176:R186)</f>
        <v>1.0000000000000002</v>
      </c>
      <c r="S188" s="753">
        <f>SUM(S176:S187)</f>
        <v>1088492.7999999998</v>
      </c>
      <c r="T188" s="797">
        <f t="shared" ref="T188:X188" si="41">SUM(T176:T186)</f>
        <v>100108.79999999999</v>
      </c>
      <c r="U188" s="798">
        <f t="shared" si="41"/>
        <v>816384</v>
      </c>
      <c r="V188" s="798">
        <f t="shared" si="41"/>
        <v>0</v>
      </c>
      <c r="W188" s="798">
        <f t="shared" si="41"/>
        <v>68000</v>
      </c>
      <c r="X188" s="799">
        <f t="shared" si="41"/>
        <v>104000</v>
      </c>
      <c r="Y188" s="653">
        <f t="shared" ref="Y188:AD188" si="42">SUM(Y175:Y187)</f>
        <v>228112.8</v>
      </c>
      <c r="Z188" s="654">
        <f t="shared" si="42"/>
        <v>688380</v>
      </c>
      <c r="AA188" s="754">
        <f t="shared" si="42"/>
        <v>408407.99999999994</v>
      </c>
      <c r="AB188" s="652">
        <f t="shared" si="42"/>
        <v>22394.879999999997</v>
      </c>
      <c r="AC188" s="652">
        <f t="shared" si="42"/>
        <v>77713.920000000013</v>
      </c>
      <c r="AD188" s="652">
        <f t="shared" si="42"/>
        <v>407976</v>
      </c>
      <c r="AE188" s="378"/>
      <c r="AF188" s="378"/>
      <c r="AG188" s="378"/>
      <c r="AH188" s="800"/>
    </row>
    <row r="189" spans="1:34" ht="18" x14ac:dyDescent="0.35">
      <c r="A189" s="410" t="s">
        <v>532</v>
      </c>
      <c r="B189" s="411"/>
      <c r="C189" s="411"/>
      <c r="D189" s="411"/>
      <c r="E189" s="411"/>
      <c r="F189" s="412"/>
      <c r="G189" s="411"/>
      <c r="H189" s="411"/>
      <c r="I189" s="707">
        <f>I180+I179+I178+I176</f>
        <v>67</v>
      </c>
      <c r="J189" s="707">
        <f>J181+I179+I178+I176</f>
        <v>38</v>
      </c>
      <c r="K189" s="707">
        <f>K181+I179+I178+K177+I176</f>
        <v>39</v>
      </c>
      <c r="L189" s="707"/>
      <c r="M189" s="411">
        <f>SUM(I189:L189)</f>
        <v>144</v>
      </c>
      <c r="N189" s="413"/>
      <c r="O189" s="414"/>
      <c r="P189" s="413"/>
      <c r="Q189" s="413"/>
      <c r="R189" s="415"/>
      <c r="S189" s="416"/>
      <c r="T189" s="417">
        <f>T188/S188</f>
        <v>9.197010765712002E-2</v>
      </c>
      <c r="U189" s="418">
        <f>U188/S188</f>
        <v>0.75001322930202219</v>
      </c>
      <c r="V189" s="418">
        <f>V188/S188</f>
        <v>0</v>
      </c>
      <c r="W189" s="418">
        <f>W188/S188</f>
        <v>6.2471703992897344E-2</v>
      </c>
      <c r="X189" s="419">
        <f>X188/S188</f>
        <v>9.5544959047960648E-2</v>
      </c>
      <c r="Y189" s="420">
        <f>Y188/S188</f>
        <v>0.20956757821457342</v>
      </c>
      <c r="Z189" s="419">
        <f>Z188/S188</f>
        <v>0.63241575874456879</v>
      </c>
      <c r="AA189" s="801"/>
      <c r="AB189" s="802"/>
      <c r="AC189" s="550"/>
      <c r="AD189" s="550"/>
      <c r="AE189" s="550"/>
      <c r="AF189" s="550"/>
      <c r="AG189" s="550"/>
      <c r="AH189" s="424"/>
    </row>
    <row r="190" spans="1:34" x14ac:dyDescent="0.3">
      <c r="A190" s="243" t="s">
        <v>533</v>
      </c>
      <c r="B190" s="193"/>
      <c r="C190" s="193"/>
      <c r="D190" s="193"/>
      <c r="E190" s="193"/>
      <c r="F190" s="244"/>
      <c r="G190" s="193"/>
      <c r="H190" s="193"/>
      <c r="I190" s="2182">
        <f>I189/$M$189</f>
        <v>0.46527777777777779</v>
      </c>
      <c r="J190" s="2182">
        <f t="shared" ref="J190:L190" si="43">J189/$M$189</f>
        <v>0.2638888888888889</v>
      </c>
      <c r="K190" s="2182">
        <f t="shared" si="43"/>
        <v>0.27083333333333331</v>
      </c>
      <c r="L190" s="2182">
        <f t="shared" si="43"/>
        <v>0</v>
      </c>
      <c r="M190" s="193"/>
      <c r="N190" s="246"/>
      <c r="O190" s="196"/>
      <c r="P190" s="246"/>
      <c r="Q190" s="194">
        <f>T188/4</f>
        <v>25027.199999999997</v>
      </c>
      <c r="R190" s="247">
        <f>Q190/Q188</f>
        <v>9.197010765712002E-2</v>
      </c>
      <c r="X190" s="248"/>
      <c r="Y190" s="761">
        <f>I178+J181+K181</f>
        <v>44</v>
      </c>
      <c r="Z190" s="761">
        <f>I176+K177+I179+I180</f>
        <v>66</v>
      </c>
    </row>
    <row r="191" spans="1:34" x14ac:dyDescent="0.3">
      <c r="A191" s="251" t="s">
        <v>11</v>
      </c>
      <c r="B191" s="252"/>
      <c r="C191" s="252"/>
      <c r="D191" s="252"/>
      <c r="E191" s="252"/>
      <c r="F191" s="253"/>
      <c r="G191" s="252"/>
      <c r="H191" s="252"/>
      <c r="I191" s="254"/>
      <c r="J191" s="254"/>
      <c r="K191" s="254"/>
      <c r="L191" s="254"/>
      <c r="M191" s="252"/>
      <c r="N191" s="255"/>
      <c r="O191" s="256"/>
      <c r="P191" s="255"/>
      <c r="Q191" s="257">
        <f>U188/4</f>
        <v>204096</v>
      </c>
      <c r="R191" s="262">
        <f>Q191/Q188</f>
        <v>0.75001322930202219</v>
      </c>
      <c r="S191" s="551">
        <f>Q188/M188</f>
        <v>2473.8472727272724</v>
      </c>
      <c r="T191" s="803" t="s">
        <v>535</v>
      </c>
      <c r="Y191" s="195">
        <f>Y190/M188</f>
        <v>0.4</v>
      </c>
      <c r="Z191" s="195">
        <f>Z190/M188</f>
        <v>0.6</v>
      </c>
    </row>
    <row r="192" spans="1:34" x14ac:dyDescent="0.3">
      <c r="A192" s="251" t="s">
        <v>536</v>
      </c>
      <c r="B192" s="252"/>
      <c r="C192" s="252"/>
      <c r="D192" s="252"/>
      <c r="E192" s="252"/>
      <c r="F192" s="253"/>
      <c r="G192" s="252"/>
      <c r="H192" s="252"/>
      <c r="I192" s="254"/>
      <c r="J192" s="254"/>
      <c r="K192" s="254"/>
      <c r="L192" s="254"/>
      <c r="M192" s="252"/>
      <c r="N192" s="255"/>
      <c r="O192" s="256"/>
      <c r="P192" s="255"/>
      <c r="Q192" s="257">
        <f>V188/4</f>
        <v>0</v>
      </c>
      <c r="R192" s="262">
        <f>Q192/Q188</f>
        <v>0</v>
      </c>
      <c r="Y192" s="2265" t="s">
        <v>537</v>
      </c>
      <c r="Z192" s="2265"/>
    </row>
    <row r="193" spans="1:34" x14ac:dyDescent="0.3">
      <c r="A193" s="251" t="s">
        <v>528</v>
      </c>
      <c r="B193" s="252"/>
      <c r="C193" s="252"/>
      <c r="D193" s="252"/>
      <c r="E193" s="252"/>
      <c r="F193" s="253"/>
      <c r="G193" s="252"/>
      <c r="H193" s="252"/>
      <c r="I193" s="254"/>
      <c r="J193" s="254"/>
      <c r="K193" s="254"/>
      <c r="L193" s="254"/>
      <c r="M193" s="252"/>
      <c r="N193" s="255"/>
      <c r="O193" s="256"/>
      <c r="P193" s="255"/>
      <c r="Q193" s="257">
        <f>W188/4</f>
        <v>17000</v>
      </c>
      <c r="R193" s="262">
        <f>Q193/Q188</f>
        <v>6.2471703992897344E-2</v>
      </c>
    </row>
    <row r="194" spans="1:34" x14ac:dyDescent="0.3">
      <c r="A194" s="251" t="s">
        <v>529</v>
      </c>
      <c r="B194" s="252"/>
      <c r="C194" s="252"/>
      <c r="D194" s="252"/>
      <c r="E194" s="252"/>
      <c r="F194" s="253"/>
      <c r="G194" s="252"/>
      <c r="H194" s="252"/>
      <c r="I194" s="254"/>
      <c r="J194" s="254"/>
      <c r="K194" s="254"/>
      <c r="L194" s="254"/>
      <c r="M194" s="252"/>
      <c r="N194" s="255"/>
      <c r="O194" s="256"/>
      <c r="P194" s="255"/>
      <c r="Q194" s="257">
        <f>X188/4</f>
        <v>26000</v>
      </c>
      <c r="R194" s="262">
        <f>Q194/Q188</f>
        <v>9.5544959047960648E-2</v>
      </c>
    </row>
    <row r="195" spans="1:34" x14ac:dyDescent="0.3">
      <c r="A195" s="243"/>
      <c r="B195" s="193"/>
      <c r="C195" s="193"/>
      <c r="D195" s="193"/>
      <c r="E195" s="193"/>
      <c r="F195" s="244"/>
      <c r="G195" s="193"/>
      <c r="H195" s="193"/>
      <c r="I195" s="245"/>
      <c r="J195" s="245"/>
      <c r="K195" s="245"/>
      <c r="L195" s="245"/>
      <c r="M195" s="193"/>
      <c r="N195" s="246"/>
      <c r="O195" s="196"/>
      <c r="P195" s="246"/>
      <c r="Q195" s="194">
        <f>SUM(Q190:Q194)</f>
        <v>272123.2</v>
      </c>
      <c r="R195" s="247">
        <f>SUM(R190:R194)</f>
        <v>1.0000000000000002</v>
      </c>
      <c r="S195" s="600"/>
    </row>
    <row r="197" spans="1:34" ht="18" x14ac:dyDescent="0.35">
      <c r="Z197" s="303">
        <f>SUM(AA198:AH198)</f>
        <v>3721585.6999999993</v>
      </c>
      <c r="AA197" s="601" t="s">
        <v>4</v>
      </c>
      <c r="AB197" s="804" t="s">
        <v>135</v>
      </c>
      <c r="AC197" s="804" t="s">
        <v>136</v>
      </c>
      <c r="AD197" s="804" t="s">
        <v>137</v>
      </c>
      <c r="AE197" s="804" t="s">
        <v>138</v>
      </c>
      <c r="AF197" s="804" t="s">
        <v>5</v>
      </c>
      <c r="AG197" s="804" t="s">
        <v>139</v>
      </c>
      <c r="AH197" s="602" t="s">
        <v>140</v>
      </c>
    </row>
    <row r="198" spans="1:34" ht="18" x14ac:dyDescent="0.35">
      <c r="A198" s="430" t="s">
        <v>569</v>
      </c>
      <c r="B198" s="431"/>
      <c r="C198" s="431"/>
      <c r="D198" s="432"/>
      <c r="E198" s="432"/>
      <c r="F198" s="433"/>
      <c r="G198" s="432"/>
      <c r="H198" s="432"/>
      <c r="I198" s="434"/>
      <c r="J198" s="434"/>
      <c r="K198" s="434"/>
      <c r="L198" s="434"/>
      <c r="M198" s="431"/>
      <c r="N198" s="435"/>
      <c r="O198" s="436"/>
      <c r="P198" s="435"/>
      <c r="Q198" s="435"/>
      <c r="R198" s="436"/>
      <c r="S198" s="763">
        <f>S188+S155+S124+S85+S53</f>
        <v>4497825.7</v>
      </c>
      <c r="Z198" s="137" t="s">
        <v>601</v>
      </c>
      <c r="AA198" s="552">
        <f>AA188+AA155+AA124+AA85+AA53</f>
        <v>1295909.9999999998</v>
      </c>
      <c r="AB198" s="435">
        <f t="shared" ref="AB198:AH198" si="44">AB188+AB155+AB124+AB85+AB53</f>
        <v>214053.12</v>
      </c>
      <c r="AC198" s="435">
        <f t="shared" si="44"/>
        <v>289710.24000000005</v>
      </c>
      <c r="AD198" s="435">
        <f t="shared" si="44"/>
        <v>1541629</v>
      </c>
      <c r="AE198" s="435">
        <f t="shared" si="44"/>
        <v>183699.99999999997</v>
      </c>
      <c r="AF198" s="435">
        <f t="shared" si="44"/>
        <v>12000.000000000002</v>
      </c>
      <c r="AG198" s="435">
        <f t="shared" si="44"/>
        <v>125441.99999999999</v>
      </c>
      <c r="AH198" s="553">
        <f t="shared" si="44"/>
        <v>59141.340000000011</v>
      </c>
    </row>
    <row r="199" spans="1:34" x14ac:dyDescent="0.3">
      <c r="R199" s="3" t="s">
        <v>571</v>
      </c>
      <c r="S199" s="98">
        <f>B10-S198</f>
        <v>-16588.900000000373</v>
      </c>
      <c r="U199" s="11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80"/>
  <sheetViews>
    <sheetView topLeftCell="A28" workbookViewId="0">
      <selection activeCell="H48" sqref="H48:H53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1168</v>
      </c>
      <c r="H1" s="2185" t="s">
        <v>1166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386</v>
      </c>
      <c r="C2" t="s">
        <v>392</v>
      </c>
      <c r="D2" t="s">
        <v>393</v>
      </c>
      <c r="E2" s="1" t="s">
        <v>141</v>
      </c>
      <c r="F2" s="1" t="s">
        <v>142</v>
      </c>
      <c r="G2" s="2186">
        <v>2</v>
      </c>
      <c r="H2" s="2186">
        <f>VLOOKUP(G2,Pesos!A:B,2,0)</f>
        <v>0.8</v>
      </c>
      <c r="I2" s="1"/>
      <c r="J2" s="1" t="s">
        <v>305</v>
      </c>
      <c r="K2" s="1">
        <v>15</v>
      </c>
      <c r="L2" s="1">
        <v>23</v>
      </c>
      <c r="M2" s="1">
        <v>18</v>
      </c>
      <c r="N2" s="1" t="s">
        <v>22</v>
      </c>
      <c r="O2" s="1">
        <v>18</v>
      </c>
      <c r="P2" s="1"/>
      <c r="Q2" s="1"/>
      <c r="R2" s="1"/>
      <c r="S2" s="1">
        <v>1</v>
      </c>
      <c r="T2" s="7">
        <v>22440</v>
      </c>
      <c r="U2" s="30">
        <v>0.65</v>
      </c>
      <c r="V2" s="25">
        <f>T2*(1-U2)</f>
        <v>7853.9999999999991</v>
      </c>
      <c r="W2" s="25">
        <f>V2*S2*M2</f>
        <v>141371.99999999997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386</v>
      </c>
      <c r="C3" t="s">
        <v>392</v>
      </c>
      <c r="D3" t="s">
        <v>393</v>
      </c>
      <c r="E3" s="1" t="s">
        <v>135</v>
      </c>
      <c r="F3" s="1" t="s">
        <v>103</v>
      </c>
      <c r="G3" s="2186">
        <v>4</v>
      </c>
      <c r="H3" s="2186">
        <f>VLOOKUP(G3,Pesos!A:B,2,0)</f>
        <v>0.6</v>
      </c>
      <c r="J3" s="1" t="s">
        <v>305</v>
      </c>
      <c r="K3" s="1">
        <v>2</v>
      </c>
      <c r="L3" s="1">
        <v>5</v>
      </c>
      <c r="M3" s="1">
        <v>1</v>
      </c>
      <c r="N3" s="1" t="s">
        <v>24</v>
      </c>
      <c r="O3" s="1">
        <v>1</v>
      </c>
      <c r="S3" s="1">
        <v>1</v>
      </c>
      <c r="T3" s="7">
        <f>38880*60%</f>
        <v>23328</v>
      </c>
      <c r="U3" s="30">
        <v>0.4</v>
      </c>
      <c r="V3" s="26">
        <f>T3*(1-U3)</f>
        <v>13996.8</v>
      </c>
      <c r="W3" s="26">
        <f>V3*S3*M3</f>
        <v>13996.8</v>
      </c>
      <c r="X3" s="6"/>
      <c r="Y3" s="22"/>
      <c r="Z3" s="1"/>
    </row>
    <row r="4" spans="1:32" x14ac:dyDescent="0.3">
      <c r="A4" t="s">
        <v>327</v>
      </c>
      <c r="B4" t="s">
        <v>386</v>
      </c>
      <c r="C4" t="s">
        <v>392</v>
      </c>
      <c r="D4" t="s">
        <v>393</v>
      </c>
      <c r="E4" s="1" t="s">
        <v>135</v>
      </c>
      <c r="F4" s="1" t="s">
        <v>21</v>
      </c>
      <c r="G4" s="2186">
        <v>2</v>
      </c>
      <c r="H4" s="2186">
        <f>VLOOKUP(G4,Pesos!A:B,2,0)</f>
        <v>0.8</v>
      </c>
      <c r="J4" s="1" t="s">
        <v>305</v>
      </c>
      <c r="K4" s="1">
        <v>5</v>
      </c>
      <c r="L4" s="1">
        <v>10</v>
      </c>
      <c r="M4" s="1">
        <v>3</v>
      </c>
      <c r="N4" s="1" t="s">
        <v>24</v>
      </c>
      <c r="Q4" s="1">
        <v>3</v>
      </c>
      <c r="S4" s="1">
        <v>1</v>
      </c>
      <c r="T4" s="7">
        <f>15552*60%</f>
        <v>9331.1999999999989</v>
      </c>
      <c r="U4" s="30">
        <v>0.4</v>
      </c>
      <c r="V4" s="26">
        <f t="shared" ref="V4" si="0">T4*(1-U4)</f>
        <v>5598.7199999999993</v>
      </c>
      <c r="W4" s="26">
        <f>V4*S4*M4</f>
        <v>16796.159999999996</v>
      </c>
      <c r="X4" s="6"/>
      <c r="Y4" s="22"/>
      <c r="Z4" s="1"/>
    </row>
    <row r="5" spans="1:32" x14ac:dyDescent="0.3">
      <c r="A5" t="s">
        <v>327</v>
      </c>
      <c r="B5" t="s">
        <v>386</v>
      </c>
      <c r="C5" t="s">
        <v>392</v>
      </c>
      <c r="D5" t="s">
        <v>393</v>
      </c>
      <c r="E5" s="1" t="s">
        <v>135</v>
      </c>
      <c r="F5" s="1" t="s">
        <v>103</v>
      </c>
      <c r="G5" s="2186">
        <v>4</v>
      </c>
      <c r="H5" s="2186">
        <f>VLOOKUP(G5,Pesos!A:B,2,0)</f>
        <v>0.6</v>
      </c>
      <c r="I5" s="1" t="s">
        <v>305</v>
      </c>
      <c r="K5" s="1">
        <v>2</v>
      </c>
      <c r="L5" s="1">
        <v>5</v>
      </c>
      <c r="M5" s="1">
        <v>1</v>
      </c>
      <c r="N5" s="1" t="s">
        <v>24</v>
      </c>
      <c r="O5" s="1">
        <v>1</v>
      </c>
      <c r="S5" s="1">
        <v>1</v>
      </c>
      <c r="T5" s="7">
        <v>75600</v>
      </c>
      <c r="U5" s="30">
        <v>0.4</v>
      </c>
      <c r="V5" s="26">
        <f>T5*(1-U5)</f>
        <v>45360</v>
      </c>
      <c r="W5" s="26">
        <f>V5*S5*M5</f>
        <v>45360</v>
      </c>
      <c r="X5" s="18"/>
      <c r="Y5" s="22"/>
      <c r="Z5" s="1"/>
    </row>
    <row r="6" spans="1:32" x14ac:dyDescent="0.3">
      <c r="A6" t="s">
        <v>327</v>
      </c>
      <c r="B6" t="s">
        <v>386</v>
      </c>
      <c r="C6" t="s">
        <v>392</v>
      </c>
      <c r="D6" t="s">
        <v>393</v>
      </c>
      <c r="E6" s="1" t="s">
        <v>143</v>
      </c>
      <c r="F6" s="1" t="s">
        <v>26</v>
      </c>
      <c r="G6" s="2186">
        <v>5</v>
      </c>
      <c r="H6" s="2186">
        <f>VLOOKUP(G6,Pesos!A:B,2,0)</f>
        <v>0.5</v>
      </c>
      <c r="I6" s="1" t="s">
        <v>305</v>
      </c>
      <c r="K6" s="1">
        <v>3</v>
      </c>
      <c r="L6" s="1">
        <v>7</v>
      </c>
      <c r="M6" s="1">
        <v>2</v>
      </c>
      <c r="N6" s="1" t="s">
        <v>24</v>
      </c>
      <c r="O6" s="1">
        <v>2</v>
      </c>
      <c r="S6" s="1">
        <v>1</v>
      </c>
      <c r="T6" s="7">
        <v>15714</v>
      </c>
      <c r="U6" s="30">
        <v>0.6</v>
      </c>
      <c r="V6" s="26">
        <f>T6*(1-U6)</f>
        <v>6285.6</v>
      </c>
      <c r="W6" s="26">
        <f>V6*S6*M6</f>
        <v>12571.2</v>
      </c>
      <c r="X6" s="6"/>
      <c r="Y6" s="22"/>
      <c r="Z6" s="1"/>
    </row>
    <row r="7" spans="1:32" x14ac:dyDescent="0.3">
      <c r="A7" t="s">
        <v>327</v>
      </c>
      <c r="B7" t="s">
        <v>386</v>
      </c>
      <c r="C7" t="s">
        <v>392</v>
      </c>
      <c r="D7" t="s">
        <v>393</v>
      </c>
      <c r="E7" s="1" t="s">
        <v>143</v>
      </c>
      <c r="F7" s="1" t="s">
        <v>144</v>
      </c>
      <c r="G7" s="2186">
        <v>4</v>
      </c>
      <c r="H7" s="2186">
        <f>VLOOKUP(G7,Pesos!A:B,2,0)</f>
        <v>0.6</v>
      </c>
      <c r="I7" s="1" t="s">
        <v>305</v>
      </c>
      <c r="K7" s="1">
        <v>2</v>
      </c>
      <c r="L7" s="1">
        <v>6</v>
      </c>
      <c r="M7" s="1">
        <v>1</v>
      </c>
      <c r="N7" s="1" t="s">
        <v>24</v>
      </c>
      <c r="O7" s="1">
        <v>1</v>
      </c>
      <c r="S7" s="1">
        <v>1</v>
      </c>
      <c r="T7" s="7">
        <v>18570</v>
      </c>
      <c r="U7" s="30">
        <v>0.6</v>
      </c>
      <c r="V7" s="26">
        <f t="shared" ref="V7:V24" si="1">T7*(1-U7)</f>
        <v>7428</v>
      </c>
      <c r="W7" s="26">
        <f t="shared" ref="W7:W24" si="2">V7*S7*M7</f>
        <v>7428</v>
      </c>
      <c r="X7" s="6"/>
      <c r="Y7" s="22"/>
      <c r="Z7" s="1"/>
    </row>
    <row r="8" spans="1:32" x14ac:dyDescent="0.3">
      <c r="A8" t="s">
        <v>327</v>
      </c>
      <c r="B8" t="s">
        <v>386</v>
      </c>
      <c r="C8" t="s">
        <v>392</v>
      </c>
      <c r="D8" t="s">
        <v>393</v>
      </c>
      <c r="E8" s="1" t="s">
        <v>143</v>
      </c>
      <c r="F8" s="1" t="s">
        <v>21</v>
      </c>
      <c r="G8" s="2186">
        <v>3</v>
      </c>
      <c r="H8" s="2186">
        <f>VLOOKUP(G8,Pesos!A:B,2,0)</f>
        <v>0.7</v>
      </c>
      <c r="J8" s="1" t="s">
        <v>305</v>
      </c>
      <c r="K8" s="1">
        <v>4</v>
      </c>
      <c r="L8" s="1">
        <v>10</v>
      </c>
      <c r="M8" s="1">
        <v>3</v>
      </c>
      <c r="N8" s="1" t="s">
        <v>24</v>
      </c>
      <c r="O8" s="1">
        <v>3</v>
      </c>
      <c r="S8" s="1">
        <v>1</v>
      </c>
      <c r="T8" s="7">
        <f>(28572*60%)/2</f>
        <v>8571.6</v>
      </c>
      <c r="U8" s="30">
        <v>0.6</v>
      </c>
      <c r="V8" s="26">
        <f t="shared" si="1"/>
        <v>3428.6400000000003</v>
      </c>
      <c r="W8" s="26">
        <f t="shared" si="2"/>
        <v>10285.920000000002</v>
      </c>
      <c r="X8" s="6"/>
      <c r="Y8" s="22"/>
      <c r="Z8" s="1"/>
    </row>
    <row r="9" spans="1:32" x14ac:dyDescent="0.3">
      <c r="A9" t="s">
        <v>327</v>
      </c>
      <c r="B9" t="s">
        <v>386</v>
      </c>
      <c r="C9" t="s">
        <v>392</v>
      </c>
      <c r="D9" t="s">
        <v>393</v>
      </c>
      <c r="E9" s="1" t="s">
        <v>145</v>
      </c>
      <c r="F9" s="1" t="s">
        <v>11</v>
      </c>
      <c r="G9" s="2186">
        <v>1</v>
      </c>
      <c r="H9" s="2186">
        <f>VLOOKUP(G9,Pesos!A:B,2,0)</f>
        <v>0.9</v>
      </c>
      <c r="J9" s="1" t="s">
        <v>305</v>
      </c>
      <c r="K9" s="1">
        <v>60</v>
      </c>
      <c r="L9" s="1">
        <v>60</v>
      </c>
      <c r="M9" s="1">
        <v>1</v>
      </c>
      <c r="N9" s="1" t="s">
        <v>22</v>
      </c>
      <c r="O9" s="1">
        <v>60</v>
      </c>
      <c r="Q9" s="1">
        <v>60</v>
      </c>
      <c r="S9" s="1">
        <v>2</v>
      </c>
      <c r="T9" s="7">
        <v>115074</v>
      </c>
      <c r="U9" s="30">
        <v>0.5</v>
      </c>
      <c r="V9" s="26">
        <f t="shared" si="1"/>
        <v>57537</v>
      </c>
      <c r="W9" s="26">
        <f t="shared" si="2"/>
        <v>115074</v>
      </c>
      <c r="X9" s="6"/>
      <c r="Y9" s="22"/>
      <c r="Z9" s="1"/>
    </row>
    <row r="10" spans="1:32" x14ac:dyDescent="0.3">
      <c r="A10" t="s">
        <v>327</v>
      </c>
      <c r="B10" t="s">
        <v>386</v>
      </c>
      <c r="C10" t="s">
        <v>392</v>
      </c>
      <c r="D10" t="s">
        <v>393</v>
      </c>
      <c r="E10" s="1" t="s">
        <v>145</v>
      </c>
      <c r="F10" s="1" t="s">
        <v>11</v>
      </c>
      <c r="G10" s="2186">
        <v>1</v>
      </c>
      <c r="H10" s="2186">
        <f>VLOOKUP(G10,Pesos!A:B,2,0)</f>
        <v>0.9</v>
      </c>
      <c r="I10" s="1" t="s">
        <v>305</v>
      </c>
      <c r="K10" s="1">
        <v>20</v>
      </c>
      <c r="L10" s="1">
        <v>35</v>
      </c>
      <c r="M10" s="1">
        <v>25</v>
      </c>
      <c r="N10" s="1" t="s">
        <v>22</v>
      </c>
      <c r="P10" s="1">
        <v>25</v>
      </c>
      <c r="Q10" s="1">
        <v>25</v>
      </c>
      <c r="S10" s="1">
        <v>2</v>
      </c>
      <c r="T10" s="7">
        <v>2117</v>
      </c>
      <c r="U10" s="30">
        <v>0.5</v>
      </c>
      <c r="V10" s="26">
        <f t="shared" si="1"/>
        <v>1058.5</v>
      </c>
      <c r="W10" s="26">
        <f t="shared" si="2"/>
        <v>52925</v>
      </c>
      <c r="X10" s="6"/>
      <c r="Y10" s="22"/>
      <c r="Z10" s="1"/>
    </row>
    <row r="11" spans="1:32" x14ac:dyDescent="0.3">
      <c r="A11" t="s">
        <v>327</v>
      </c>
      <c r="B11" t="s">
        <v>386</v>
      </c>
      <c r="C11" t="s">
        <v>392</v>
      </c>
      <c r="D11" t="s">
        <v>393</v>
      </c>
      <c r="E11" s="1" t="s">
        <v>146</v>
      </c>
      <c r="F11" s="1" t="s">
        <v>21</v>
      </c>
      <c r="G11" s="2186">
        <v>3</v>
      </c>
      <c r="H11" s="2186">
        <f>VLOOKUP(G11,Pesos!A:B,2,0)</f>
        <v>0.7</v>
      </c>
      <c r="J11" s="1" t="s">
        <v>305</v>
      </c>
      <c r="K11" s="1">
        <v>5</v>
      </c>
      <c r="L11" s="1">
        <v>10</v>
      </c>
      <c r="M11" s="1">
        <v>2</v>
      </c>
      <c r="N11" s="1" t="s">
        <v>24</v>
      </c>
      <c r="O11" s="1">
        <v>2</v>
      </c>
      <c r="S11" s="1">
        <v>1</v>
      </c>
      <c r="T11" s="5">
        <v>25500</v>
      </c>
      <c r="U11" s="30">
        <v>0.8</v>
      </c>
      <c r="V11" s="26">
        <f t="shared" si="1"/>
        <v>5099.9999999999991</v>
      </c>
      <c r="W11" s="26">
        <f t="shared" si="2"/>
        <v>10199.999999999998</v>
      </c>
      <c r="X11" s="6"/>
      <c r="Y11" s="22"/>
      <c r="Z11" s="1"/>
    </row>
    <row r="12" spans="1:32" x14ac:dyDescent="0.3">
      <c r="A12" t="s">
        <v>327</v>
      </c>
      <c r="B12" t="s">
        <v>386</v>
      </c>
      <c r="C12" t="s">
        <v>392</v>
      </c>
      <c r="D12" t="s">
        <v>393</v>
      </c>
      <c r="E12" s="1" t="s">
        <v>146</v>
      </c>
      <c r="F12" s="1" t="s">
        <v>103</v>
      </c>
      <c r="G12" s="2186">
        <v>4</v>
      </c>
      <c r="H12" s="2186">
        <f>VLOOKUP(G12,Pesos!A:B,2,0)</f>
        <v>0.6</v>
      </c>
      <c r="J12" s="1" t="s">
        <v>305</v>
      </c>
      <c r="K12" s="1">
        <v>2</v>
      </c>
      <c r="L12" s="1">
        <v>5</v>
      </c>
      <c r="M12" s="1">
        <v>1</v>
      </c>
      <c r="N12" s="1" t="s">
        <v>24</v>
      </c>
      <c r="O12" s="1">
        <v>1</v>
      </c>
      <c r="S12" s="1">
        <v>1</v>
      </c>
      <c r="T12" s="5">
        <v>104400</v>
      </c>
      <c r="U12" s="30">
        <v>0.8</v>
      </c>
      <c r="V12" s="26">
        <f t="shared" si="1"/>
        <v>20879.999999999996</v>
      </c>
      <c r="W12" s="26">
        <f t="shared" si="2"/>
        <v>20879.999999999996</v>
      </c>
      <c r="X12" s="6"/>
      <c r="Y12" s="22"/>
      <c r="Z12" s="1"/>
    </row>
    <row r="13" spans="1:32" x14ac:dyDescent="0.3">
      <c r="A13" t="s">
        <v>327</v>
      </c>
      <c r="B13" t="s">
        <v>386</v>
      </c>
      <c r="C13" t="s">
        <v>392</v>
      </c>
      <c r="D13" t="s">
        <v>393</v>
      </c>
      <c r="E13" s="1" t="s">
        <v>146</v>
      </c>
      <c r="F13" s="1" t="s">
        <v>26</v>
      </c>
      <c r="G13" s="2186">
        <v>5</v>
      </c>
      <c r="H13" s="2186">
        <f>VLOOKUP(G13,Pesos!A:B,2,0)</f>
        <v>0.5</v>
      </c>
      <c r="I13" s="1" t="s">
        <v>305</v>
      </c>
      <c r="K13" s="1">
        <v>3</v>
      </c>
      <c r="L13" s="1">
        <v>7</v>
      </c>
      <c r="M13" s="1">
        <v>1</v>
      </c>
      <c r="N13" s="1" t="s">
        <v>24</v>
      </c>
      <c r="O13" s="1">
        <v>1</v>
      </c>
      <c r="S13" s="1">
        <v>1</v>
      </c>
      <c r="T13" s="5">
        <v>14500</v>
      </c>
      <c r="U13" s="30">
        <v>0.8</v>
      </c>
      <c r="V13" s="26">
        <f t="shared" si="1"/>
        <v>2899.9999999999995</v>
      </c>
      <c r="W13" s="26">
        <f t="shared" si="2"/>
        <v>2899.9999999999995</v>
      </c>
      <c r="X13" s="6"/>
      <c r="Y13" s="22"/>
      <c r="Z13" s="1"/>
    </row>
    <row r="14" spans="1:32" x14ac:dyDescent="0.3">
      <c r="G14" s="2186"/>
      <c r="H14" s="2186"/>
      <c r="L14" s="2"/>
      <c r="M14" s="1"/>
      <c r="T14" s="5"/>
      <c r="U14" s="24"/>
      <c r="V14" s="26"/>
      <c r="W14" s="26"/>
      <c r="X14" s="6"/>
      <c r="Y14" s="22"/>
      <c r="Z14" s="1"/>
    </row>
    <row r="15" spans="1:32" x14ac:dyDescent="0.3">
      <c r="A15" t="s">
        <v>340</v>
      </c>
      <c r="B15" t="s">
        <v>386</v>
      </c>
      <c r="C15" t="s">
        <v>392</v>
      </c>
      <c r="D15" t="s">
        <v>393</v>
      </c>
      <c r="E15" s="1" t="s">
        <v>141</v>
      </c>
      <c r="F15" s="1" t="s">
        <v>142</v>
      </c>
      <c r="G15" s="2186">
        <v>2</v>
      </c>
      <c r="H15" s="2186">
        <f>VLOOKUP(G15,Pesos!A:B,2,0)</f>
        <v>0.8</v>
      </c>
      <c r="J15" s="1" t="s">
        <v>305</v>
      </c>
      <c r="K15" s="1">
        <v>15</v>
      </c>
      <c r="L15" s="1">
        <v>23</v>
      </c>
      <c r="M15" s="1">
        <v>17</v>
      </c>
      <c r="N15" s="1" t="s">
        <v>24</v>
      </c>
      <c r="O15" s="1">
        <v>17</v>
      </c>
      <c r="S15" s="1">
        <v>1</v>
      </c>
      <c r="T15" s="7">
        <v>22440</v>
      </c>
      <c r="U15" s="24">
        <v>0.65</v>
      </c>
      <c r="V15" s="26">
        <f t="shared" si="1"/>
        <v>7853.9999999999991</v>
      </c>
      <c r="W15" s="26">
        <f t="shared" si="2"/>
        <v>133517.99999999997</v>
      </c>
      <c r="X15" s="6"/>
      <c r="Y15" s="22"/>
      <c r="Z15" s="1"/>
    </row>
    <row r="16" spans="1:32" x14ac:dyDescent="0.3">
      <c r="A16" t="s">
        <v>340</v>
      </c>
      <c r="B16" t="s">
        <v>386</v>
      </c>
      <c r="C16" t="s">
        <v>392</v>
      </c>
      <c r="D16" t="s">
        <v>393</v>
      </c>
      <c r="E16" s="1" t="s">
        <v>135</v>
      </c>
      <c r="F16" s="1" t="s">
        <v>21</v>
      </c>
      <c r="G16" s="2186">
        <v>4</v>
      </c>
      <c r="H16" s="2186">
        <f>VLOOKUP(G16,Pesos!A:B,2,0)</f>
        <v>0.6</v>
      </c>
      <c r="J16" s="1" t="s">
        <v>305</v>
      </c>
      <c r="K16" s="1">
        <v>5</v>
      </c>
      <c r="L16" s="1">
        <v>10</v>
      </c>
      <c r="M16" s="1">
        <v>2</v>
      </c>
      <c r="N16" s="1" t="s">
        <v>147</v>
      </c>
      <c r="Q16" s="1">
        <v>2</v>
      </c>
      <c r="S16" s="1">
        <v>1</v>
      </c>
      <c r="T16" s="7">
        <f>15552*60%</f>
        <v>9331.1999999999989</v>
      </c>
      <c r="U16" s="24">
        <v>0.4</v>
      </c>
      <c r="V16" s="26">
        <f t="shared" si="1"/>
        <v>5598.7199999999993</v>
      </c>
      <c r="W16" s="26">
        <f t="shared" si="2"/>
        <v>11197.439999999999</v>
      </c>
      <c r="X16" s="6"/>
      <c r="Y16" s="22"/>
      <c r="Z16" s="1"/>
    </row>
    <row r="17" spans="1:30" x14ac:dyDescent="0.3">
      <c r="A17" t="s">
        <v>340</v>
      </c>
      <c r="B17" t="s">
        <v>386</v>
      </c>
      <c r="C17" t="s">
        <v>392</v>
      </c>
      <c r="D17" t="s">
        <v>393</v>
      </c>
      <c r="E17" s="1" t="s">
        <v>143</v>
      </c>
      <c r="F17" s="1" t="s">
        <v>26</v>
      </c>
      <c r="G17" s="2186">
        <v>5</v>
      </c>
      <c r="H17" s="2186">
        <f>VLOOKUP(G17,Pesos!A:B,2,0)</f>
        <v>0.5</v>
      </c>
      <c r="I17" s="1" t="s">
        <v>305</v>
      </c>
      <c r="K17" s="1">
        <v>3</v>
      </c>
      <c r="L17" s="1">
        <v>7</v>
      </c>
      <c r="M17" s="1">
        <v>3</v>
      </c>
      <c r="N17" s="1" t="s">
        <v>24</v>
      </c>
      <c r="O17" s="1">
        <v>3</v>
      </c>
      <c r="S17" s="1">
        <v>1</v>
      </c>
      <c r="T17" s="7">
        <v>15714</v>
      </c>
      <c r="U17" s="24">
        <v>0.6</v>
      </c>
      <c r="V17" s="26">
        <f t="shared" si="1"/>
        <v>6285.6</v>
      </c>
      <c r="W17" s="26">
        <f t="shared" si="2"/>
        <v>18856.800000000003</v>
      </c>
      <c r="X17" s="6"/>
      <c r="Y17" s="22"/>
      <c r="Z17" s="1"/>
    </row>
    <row r="18" spans="1:30" x14ac:dyDescent="0.3">
      <c r="A18" t="s">
        <v>340</v>
      </c>
      <c r="B18" t="s">
        <v>386</v>
      </c>
      <c r="C18" t="s">
        <v>392</v>
      </c>
      <c r="D18" t="s">
        <v>393</v>
      </c>
      <c r="E18" s="1" t="s">
        <v>143</v>
      </c>
      <c r="F18" s="1" t="s">
        <v>21</v>
      </c>
      <c r="G18" s="2186">
        <v>4</v>
      </c>
      <c r="H18" s="2186">
        <f>VLOOKUP(G18,Pesos!A:B,2,0)</f>
        <v>0.6</v>
      </c>
      <c r="J18" s="1" t="s">
        <v>305</v>
      </c>
      <c r="K18" s="1">
        <v>5</v>
      </c>
      <c r="L18" s="1">
        <v>10</v>
      </c>
      <c r="M18" s="1">
        <v>2</v>
      </c>
      <c r="N18" s="1" t="s">
        <v>24</v>
      </c>
      <c r="O18" s="1">
        <v>2</v>
      </c>
      <c r="S18" s="1">
        <v>1</v>
      </c>
      <c r="T18" s="7">
        <f>(28572*60%)/2</f>
        <v>8571.6</v>
      </c>
      <c r="U18" s="24">
        <v>0.6</v>
      </c>
      <c r="V18" s="26">
        <f t="shared" si="1"/>
        <v>3428.6400000000003</v>
      </c>
      <c r="W18" s="26">
        <f t="shared" si="2"/>
        <v>6857.2800000000007</v>
      </c>
      <c r="X18" s="6"/>
      <c r="Y18" s="22"/>
      <c r="Z18" s="1"/>
    </row>
    <row r="19" spans="1:30" x14ac:dyDescent="0.3">
      <c r="A19" t="s">
        <v>340</v>
      </c>
      <c r="B19" t="s">
        <v>386</v>
      </c>
      <c r="C19" t="s">
        <v>392</v>
      </c>
      <c r="D19" t="s">
        <v>393</v>
      </c>
      <c r="E19" s="1" t="s">
        <v>145</v>
      </c>
      <c r="F19" s="1" t="s">
        <v>11</v>
      </c>
      <c r="G19" s="2186">
        <v>1</v>
      </c>
      <c r="H19" s="2186">
        <f>VLOOKUP(G19,Pesos!A:B,2,0)</f>
        <v>0.9</v>
      </c>
      <c r="J19" s="1" t="s">
        <v>305</v>
      </c>
      <c r="K19" s="1">
        <v>60</v>
      </c>
      <c r="L19" s="1">
        <v>60</v>
      </c>
      <c r="M19" s="1">
        <v>1</v>
      </c>
      <c r="N19" s="1" t="s">
        <v>22</v>
      </c>
      <c r="O19" s="1">
        <v>60</v>
      </c>
      <c r="Q19" s="1">
        <v>60</v>
      </c>
      <c r="S19" s="1">
        <v>2</v>
      </c>
      <c r="T19" s="7">
        <v>115074</v>
      </c>
      <c r="U19" s="24">
        <v>0.5</v>
      </c>
      <c r="V19" s="26">
        <f t="shared" si="1"/>
        <v>57537</v>
      </c>
      <c r="W19" s="26">
        <f t="shared" si="2"/>
        <v>115074</v>
      </c>
      <c r="X19" s="6"/>
      <c r="Y19" s="22"/>
      <c r="Z19" s="1"/>
    </row>
    <row r="20" spans="1:30" x14ac:dyDescent="0.3">
      <c r="A20" t="s">
        <v>340</v>
      </c>
      <c r="B20" t="s">
        <v>386</v>
      </c>
      <c r="C20" t="s">
        <v>392</v>
      </c>
      <c r="D20" t="s">
        <v>393</v>
      </c>
      <c r="E20" s="1" t="s">
        <v>145</v>
      </c>
      <c r="F20" s="1" t="s">
        <v>11</v>
      </c>
      <c r="G20" s="2186">
        <v>1</v>
      </c>
      <c r="H20" s="2186">
        <f>VLOOKUP(G20,Pesos!A:B,2,0)</f>
        <v>0.9</v>
      </c>
      <c r="I20" s="1" t="s">
        <v>305</v>
      </c>
      <c r="K20" s="1">
        <v>20</v>
      </c>
      <c r="L20" s="1">
        <v>35</v>
      </c>
      <c r="M20" s="1">
        <v>25</v>
      </c>
      <c r="N20" s="1" t="s">
        <v>22</v>
      </c>
      <c r="P20" s="1">
        <v>25</v>
      </c>
      <c r="Q20" s="1">
        <v>25</v>
      </c>
      <c r="S20" s="1">
        <v>2</v>
      </c>
      <c r="T20" s="7">
        <v>2117</v>
      </c>
      <c r="U20" s="24">
        <v>0.5</v>
      </c>
      <c r="V20" s="26">
        <f t="shared" si="1"/>
        <v>1058.5</v>
      </c>
      <c r="W20" s="26">
        <f t="shared" si="2"/>
        <v>52925</v>
      </c>
      <c r="X20" s="6"/>
      <c r="Y20" s="22"/>
      <c r="Z20" s="1"/>
    </row>
    <row r="21" spans="1:30" x14ac:dyDescent="0.3">
      <c r="A21" t="s">
        <v>340</v>
      </c>
      <c r="B21" t="s">
        <v>386</v>
      </c>
      <c r="C21" t="s">
        <v>392</v>
      </c>
      <c r="D21" t="s">
        <v>393</v>
      </c>
      <c r="E21" s="1" t="s">
        <v>146</v>
      </c>
      <c r="F21" s="1" t="s">
        <v>21</v>
      </c>
      <c r="G21" s="2186">
        <v>4</v>
      </c>
      <c r="H21" s="2186">
        <f>VLOOKUP(G21,Pesos!A:B,2,0)</f>
        <v>0.6</v>
      </c>
      <c r="J21" s="1" t="s">
        <v>305</v>
      </c>
      <c r="K21" s="1">
        <v>5</v>
      </c>
      <c r="L21" s="1">
        <v>10</v>
      </c>
      <c r="M21" s="1">
        <v>2</v>
      </c>
      <c r="N21" s="1" t="s">
        <v>24</v>
      </c>
      <c r="O21" s="1">
        <v>2</v>
      </c>
      <c r="S21" s="1">
        <v>1</v>
      </c>
      <c r="T21" s="5">
        <v>25500</v>
      </c>
      <c r="U21" s="24">
        <v>0.8</v>
      </c>
      <c r="V21" s="26">
        <f t="shared" si="1"/>
        <v>5099.9999999999991</v>
      </c>
      <c r="W21" s="26">
        <f t="shared" si="2"/>
        <v>10199.999999999998</v>
      </c>
      <c r="X21" s="6"/>
      <c r="Y21" s="22"/>
      <c r="Z21" s="1"/>
    </row>
    <row r="22" spans="1:30" x14ac:dyDescent="0.3">
      <c r="A22" t="s">
        <v>340</v>
      </c>
      <c r="B22" t="s">
        <v>386</v>
      </c>
      <c r="C22" t="s">
        <v>392</v>
      </c>
      <c r="D22" t="s">
        <v>393</v>
      </c>
      <c r="E22" s="1" t="s">
        <v>130</v>
      </c>
      <c r="F22" s="1" t="s">
        <v>148</v>
      </c>
      <c r="G22" s="2186">
        <v>6</v>
      </c>
      <c r="H22" s="2186">
        <f>VLOOKUP(G22,Pesos!A:B,2,0)</f>
        <v>0.4</v>
      </c>
      <c r="I22" s="1" t="s">
        <v>305</v>
      </c>
      <c r="K22" s="1">
        <v>12</v>
      </c>
      <c r="L22" s="1">
        <v>24</v>
      </c>
      <c r="M22" s="1">
        <v>13</v>
      </c>
      <c r="N22" s="1" t="s">
        <v>24</v>
      </c>
      <c r="O22" s="1">
        <v>13</v>
      </c>
      <c r="S22" s="1">
        <v>1</v>
      </c>
      <c r="T22" s="5">
        <v>12169</v>
      </c>
      <c r="U22" s="24">
        <v>0.82</v>
      </c>
      <c r="V22" s="26">
        <f t="shared" si="1"/>
        <v>2190.4200000000005</v>
      </c>
      <c r="W22" s="26">
        <f t="shared" si="2"/>
        <v>28475.460000000006</v>
      </c>
      <c r="X22" s="6"/>
      <c r="Y22" s="22"/>
      <c r="Z22" s="1"/>
    </row>
    <row r="23" spans="1:30" x14ac:dyDescent="0.3">
      <c r="A23" t="s">
        <v>340</v>
      </c>
      <c r="B23" t="s">
        <v>386</v>
      </c>
      <c r="C23" t="s">
        <v>392</v>
      </c>
      <c r="D23" t="s">
        <v>393</v>
      </c>
      <c r="E23" s="1" t="s">
        <v>41</v>
      </c>
      <c r="F23" s="1" t="s">
        <v>149</v>
      </c>
      <c r="G23" s="2186">
        <v>7</v>
      </c>
      <c r="H23" s="2186">
        <f>VLOOKUP(G23,Pesos!A:B,2,0)</f>
        <v>0.3</v>
      </c>
      <c r="I23" s="1" t="s">
        <v>305</v>
      </c>
      <c r="K23" s="1">
        <v>12</v>
      </c>
      <c r="L23" s="1">
        <v>25</v>
      </c>
      <c r="M23" s="1">
        <v>13</v>
      </c>
      <c r="N23" s="1" t="s">
        <v>24</v>
      </c>
      <c r="O23" s="1">
        <v>13</v>
      </c>
      <c r="S23" s="1">
        <v>1</v>
      </c>
      <c r="T23" s="5">
        <v>1600</v>
      </c>
      <c r="U23" s="24">
        <v>0.7</v>
      </c>
      <c r="V23" s="26">
        <f t="shared" si="1"/>
        <v>480.00000000000006</v>
      </c>
      <c r="W23" s="26">
        <f t="shared" si="2"/>
        <v>6240.0000000000009</v>
      </c>
      <c r="X23" s="6"/>
      <c r="Y23" s="22"/>
      <c r="Z23" s="1"/>
    </row>
    <row r="24" spans="1:30" x14ac:dyDescent="0.3">
      <c r="A24" t="s">
        <v>340</v>
      </c>
      <c r="B24" t="s">
        <v>386</v>
      </c>
      <c r="C24" t="s">
        <v>392</v>
      </c>
      <c r="D24" t="s">
        <v>393</v>
      </c>
      <c r="E24" s="1" t="s">
        <v>150</v>
      </c>
      <c r="F24" s="1" t="s">
        <v>68</v>
      </c>
      <c r="G24" s="2186">
        <v>3</v>
      </c>
      <c r="H24" s="2186">
        <f>VLOOKUP(G24,Pesos!A:B,2,0)</f>
        <v>0.7</v>
      </c>
      <c r="I24" s="1" t="s">
        <v>305</v>
      </c>
      <c r="K24" s="1">
        <v>14</v>
      </c>
      <c r="L24" s="1">
        <v>20</v>
      </c>
      <c r="M24" s="1">
        <v>17</v>
      </c>
      <c r="N24" s="1" t="s">
        <v>24</v>
      </c>
      <c r="O24" s="1">
        <v>17</v>
      </c>
      <c r="S24" s="1">
        <v>1</v>
      </c>
      <c r="T24" s="5">
        <v>9292</v>
      </c>
      <c r="U24" s="24">
        <v>0.55000000000000004</v>
      </c>
      <c r="V24" s="26">
        <f t="shared" si="1"/>
        <v>4181.3999999999996</v>
      </c>
      <c r="W24" s="26">
        <f t="shared" si="2"/>
        <v>71083.799999999988</v>
      </c>
      <c r="X24" s="6"/>
      <c r="Y24" s="22"/>
      <c r="Z24" s="1"/>
    </row>
    <row r="25" spans="1:30" x14ac:dyDescent="0.3">
      <c r="G25" s="2186"/>
      <c r="H25" s="2186"/>
      <c r="M25" s="1"/>
      <c r="T25" s="9"/>
      <c r="U25" s="29"/>
      <c r="V25" s="26"/>
      <c r="W25" s="26"/>
      <c r="X25" s="6"/>
      <c r="Y25" s="22"/>
      <c r="Z25" s="1"/>
    </row>
    <row r="26" spans="1:30" x14ac:dyDescent="0.3">
      <c r="A26" t="s">
        <v>342</v>
      </c>
      <c r="B26" t="s">
        <v>386</v>
      </c>
      <c r="C26" t="s">
        <v>392</v>
      </c>
      <c r="D26" t="s">
        <v>393</v>
      </c>
      <c r="E26" s="1" t="s">
        <v>141</v>
      </c>
      <c r="F26" s="1" t="s">
        <v>142</v>
      </c>
      <c r="G26" s="2186">
        <v>2</v>
      </c>
      <c r="H26" s="2186">
        <f>VLOOKUP(G26,Pesos!A:B,2,0)</f>
        <v>0.8</v>
      </c>
      <c r="J26" s="1" t="s">
        <v>305</v>
      </c>
      <c r="K26" s="1">
        <v>13</v>
      </c>
      <c r="L26" s="2" t="s">
        <v>51</v>
      </c>
      <c r="M26" s="1">
        <v>15</v>
      </c>
      <c r="N26" s="1" t="s">
        <v>22</v>
      </c>
      <c r="O26" s="1">
        <v>15</v>
      </c>
      <c r="S26" s="1">
        <v>1</v>
      </c>
      <c r="T26" s="7">
        <v>22440</v>
      </c>
      <c r="U26" s="24">
        <v>0.65</v>
      </c>
      <c r="V26" s="25">
        <f>T26*(1-U26)</f>
        <v>7853.9999999999991</v>
      </c>
      <c r="W26" s="25">
        <f>V26*S26*M26</f>
        <v>117809.99999999999</v>
      </c>
      <c r="X26" s="18"/>
    </row>
    <row r="27" spans="1:30" x14ac:dyDescent="0.3">
      <c r="A27" t="s">
        <v>342</v>
      </c>
      <c r="B27" t="s">
        <v>386</v>
      </c>
      <c r="C27" t="s">
        <v>392</v>
      </c>
      <c r="D27" t="s">
        <v>393</v>
      </c>
      <c r="E27" s="1" t="s">
        <v>135</v>
      </c>
      <c r="F27" s="1" t="s">
        <v>21</v>
      </c>
      <c r="G27" s="2186">
        <v>4</v>
      </c>
      <c r="H27" s="2186">
        <f>VLOOKUP(G27,Pesos!A:B,2,0)</f>
        <v>0.6</v>
      </c>
      <c r="I27" s="8"/>
      <c r="J27" s="1" t="s">
        <v>305</v>
      </c>
      <c r="K27" s="1">
        <v>4</v>
      </c>
      <c r="L27" s="2" t="s">
        <v>330</v>
      </c>
      <c r="M27" s="1">
        <v>1</v>
      </c>
      <c r="N27" s="1" t="s">
        <v>24</v>
      </c>
      <c r="P27" s="1">
        <v>1</v>
      </c>
      <c r="S27" s="1">
        <v>1</v>
      </c>
      <c r="T27" s="7">
        <f>15552*60%</f>
        <v>9331.1999999999989</v>
      </c>
      <c r="U27" s="24">
        <v>0.4</v>
      </c>
      <c r="V27" s="26">
        <f>T27*(1-U27)</f>
        <v>5598.7199999999993</v>
      </c>
      <c r="W27" s="26">
        <f>V27*S27*M27</f>
        <v>5598.7199999999993</v>
      </c>
      <c r="X27" s="6"/>
    </row>
    <row r="28" spans="1:30" x14ac:dyDescent="0.3">
      <c r="A28" t="s">
        <v>342</v>
      </c>
      <c r="B28" t="s">
        <v>386</v>
      </c>
      <c r="C28" t="s">
        <v>392</v>
      </c>
      <c r="D28" t="s">
        <v>393</v>
      </c>
      <c r="E28" s="1" t="s">
        <v>143</v>
      </c>
      <c r="F28" s="1" t="s">
        <v>26</v>
      </c>
      <c r="G28" s="2186">
        <v>5</v>
      </c>
      <c r="H28" s="2186">
        <f>VLOOKUP(G28,Pesos!A:B,2,0)</f>
        <v>0.5</v>
      </c>
      <c r="I28" s="1" t="s">
        <v>305</v>
      </c>
      <c r="J28" s="1"/>
      <c r="K28" s="1">
        <v>2</v>
      </c>
      <c r="L28" s="2" t="s">
        <v>354</v>
      </c>
      <c r="M28" s="1">
        <v>3</v>
      </c>
      <c r="N28" s="1" t="s">
        <v>24</v>
      </c>
      <c r="O28" s="1">
        <v>3</v>
      </c>
      <c r="P28" s="1"/>
      <c r="Q28" s="1"/>
      <c r="R28" s="1"/>
      <c r="S28" s="1">
        <v>1</v>
      </c>
      <c r="T28" s="7">
        <v>15714</v>
      </c>
      <c r="U28" s="24">
        <v>0.6</v>
      </c>
      <c r="V28" s="26">
        <f t="shared" ref="V28:V29" si="3">T28*(1-U28)</f>
        <v>6285.6</v>
      </c>
      <c r="W28" s="26">
        <f t="shared" ref="W28:W46" si="4">V28*S28*M28</f>
        <v>18856.800000000003</v>
      </c>
      <c r="X28" s="6"/>
      <c r="AB28" s="1"/>
      <c r="AD28" s="1"/>
    </row>
    <row r="29" spans="1:30" x14ac:dyDescent="0.3">
      <c r="A29" t="s">
        <v>342</v>
      </c>
      <c r="B29" t="s">
        <v>386</v>
      </c>
      <c r="C29" t="s">
        <v>392</v>
      </c>
      <c r="D29" t="s">
        <v>393</v>
      </c>
      <c r="E29" s="1" t="s">
        <v>143</v>
      </c>
      <c r="F29" s="1" t="s">
        <v>144</v>
      </c>
      <c r="G29" s="2186">
        <v>3</v>
      </c>
      <c r="H29" s="2186">
        <f>VLOOKUP(G29,Pesos!A:B,2,0)</f>
        <v>0.7</v>
      </c>
      <c r="I29" s="1" t="s">
        <v>305</v>
      </c>
      <c r="J29" s="1"/>
      <c r="K29" s="1">
        <v>1</v>
      </c>
      <c r="L29" s="2" t="s">
        <v>333</v>
      </c>
      <c r="M29" s="1">
        <v>1</v>
      </c>
      <c r="N29" s="1" t="s">
        <v>24</v>
      </c>
      <c r="O29" s="1">
        <v>1</v>
      </c>
      <c r="P29" s="1"/>
      <c r="Q29" s="1"/>
      <c r="R29" s="1"/>
      <c r="S29" s="1">
        <v>1</v>
      </c>
      <c r="T29" s="7">
        <v>18570</v>
      </c>
      <c r="U29" s="24">
        <v>0.6</v>
      </c>
      <c r="V29" s="26">
        <f t="shared" si="3"/>
        <v>7428</v>
      </c>
      <c r="W29" s="26">
        <f t="shared" si="4"/>
        <v>7428</v>
      </c>
      <c r="X29" s="6"/>
      <c r="AB29" s="1"/>
      <c r="AD29" s="1"/>
    </row>
    <row r="30" spans="1:30" x14ac:dyDescent="0.3">
      <c r="A30" t="s">
        <v>342</v>
      </c>
      <c r="B30" t="s">
        <v>386</v>
      </c>
      <c r="C30" t="s">
        <v>392</v>
      </c>
      <c r="D30" t="s">
        <v>393</v>
      </c>
      <c r="E30" s="1" t="s">
        <v>143</v>
      </c>
      <c r="F30" s="1" t="s">
        <v>21</v>
      </c>
      <c r="G30" s="2186">
        <v>4</v>
      </c>
      <c r="H30" s="2186">
        <f>VLOOKUP(G30,Pesos!A:B,2,0)</f>
        <v>0.6</v>
      </c>
      <c r="I30" s="1"/>
      <c r="J30" s="1" t="s">
        <v>305</v>
      </c>
      <c r="K30" s="1">
        <v>4</v>
      </c>
      <c r="L30" s="2" t="s">
        <v>330</v>
      </c>
      <c r="M30" s="1">
        <v>3</v>
      </c>
      <c r="N30" s="1" t="s">
        <v>24</v>
      </c>
      <c r="O30" s="1">
        <v>4</v>
      </c>
      <c r="P30" s="1"/>
      <c r="Q30" s="1"/>
      <c r="R30" s="1"/>
      <c r="S30" s="1">
        <v>1</v>
      </c>
      <c r="T30" s="7">
        <f>(28572*60%)/2</f>
        <v>8571.6</v>
      </c>
      <c r="U30" s="24">
        <v>0.6</v>
      </c>
      <c r="V30" s="26">
        <f>T30*(1-U30)</f>
        <v>3428.6400000000003</v>
      </c>
      <c r="W30" s="26">
        <f t="shared" si="4"/>
        <v>10285.920000000002</v>
      </c>
      <c r="X30" s="6"/>
      <c r="AB30" s="1"/>
      <c r="AD30" s="1"/>
    </row>
    <row r="31" spans="1:30" x14ac:dyDescent="0.3">
      <c r="A31" t="s">
        <v>342</v>
      </c>
      <c r="B31" t="s">
        <v>386</v>
      </c>
      <c r="C31" t="s">
        <v>392</v>
      </c>
      <c r="D31" t="s">
        <v>393</v>
      </c>
      <c r="E31" s="1" t="s">
        <v>145</v>
      </c>
      <c r="F31" s="1" t="s">
        <v>11</v>
      </c>
      <c r="G31" s="2186">
        <v>1</v>
      </c>
      <c r="H31" s="2186">
        <f>VLOOKUP(G31,Pesos!A:B,2,0)</f>
        <v>0.9</v>
      </c>
      <c r="I31" s="1"/>
      <c r="J31" s="1" t="s">
        <v>305</v>
      </c>
      <c r="K31" s="1">
        <v>50</v>
      </c>
      <c r="L31" s="2" t="s">
        <v>151</v>
      </c>
      <c r="M31" s="1">
        <v>1</v>
      </c>
      <c r="N31" s="1" t="s">
        <v>22</v>
      </c>
      <c r="O31" s="1">
        <v>50</v>
      </c>
      <c r="P31" s="1"/>
      <c r="Q31" s="1">
        <v>50</v>
      </c>
      <c r="R31" s="1"/>
      <c r="S31" s="1">
        <v>2</v>
      </c>
      <c r="T31" s="7">
        <v>115074</v>
      </c>
      <c r="U31" s="24">
        <v>0.5</v>
      </c>
      <c r="V31" s="26">
        <f>T31*(1-U31)</f>
        <v>57537</v>
      </c>
      <c r="W31" s="26">
        <f t="shared" si="4"/>
        <v>115074</v>
      </c>
      <c r="X31" s="6"/>
      <c r="AB31" s="1"/>
      <c r="AD31" s="1"/>
    </row>
    <row r="32" spans="1:30" x14ac:dyDescent="0.3">
      <c r="A32" t="s">
        <v>342</v>
      </c>
      <c r="B32" t="s">
        <v>386</v>
      </c>
      <c r="C32" t="s">
        <v>392</v>
      </c>
      <c r="D32" t="s">
        <v>393</v>
      </c>
      <c r="E32" s="1" t="s">
        <v>145</v>
      </c>
      <c r="F32" s="1" t="s">
        <v>11</v>
      </c>
      <c r="G32" s="2186">
        <v>1</v>
      </c>
      <c r="H32" s="2186">
        <f>VLOOKUP(G32,Pesos!A:B,2,0)</f>
        <v>0.9</v>
      </c>
      <c r="I32" s="1" t="s">
        <v>305</v>
      </c>
      <c r="J32" s="1"/>
      <c r="K32" s="1">
        <v>15</v>
      </c>
      <c r="L32" s="2" t="s">
        <v>83</v>
      </c>
      <c r="M32" s="1">
        <v>20</v>
      </c>
      <c r="N32" s="1" t="s">
        <v>22</v>
      </c>
      <c r="O32" s="1"/>
      <c r="P32" s="1">
        <v>20</v>
      </c>
      <c r="Q32" s="1">
        <v>20</v>
      </c>
      <c r="R32" s="1"/>
      <c r="S32" s="1">
        <v>2</v>
      </c>
      <c r="T32" s="7">
        <v>2117</v>
      </c>
      <c r="U32" s="24">
        <v>0.5</v>
      </c>
      <c r="V32" s="26">
        <f t="shared" ref="V32:V46" si="5">T32*(1-U32)</f>
        <v>1058.5</v>
      </c>
      <c r="W32" s="26">
        <f t="shared" si="4"/>
        <v>42340</v>
      </c>
      <c r="X32" s="6"/>
      <c r="AB32" s="1"/>
      <c r="AD32" s="1"/>
    </row>
    <row r="33" spans="1:30" x14ac:dyDescent="0.3">
      <c r="A33" t="s">
        <v>342</v>
      </c>
      <c r="B33" t="s">
        <v>386</v>
      </c>
      <c r="C33" t="s">
        <v>392</v>
      </c>
      <c r="D33" t="s">
        <v>393</v>
      </c>
      <c r="E33" s="1" t="s">
        <v>146</v>
      </c>
      <c r="F33" s="1" t="s">
        <v>21</v>
      </c>
      <c r="G33" s="2186">
        <v>4</v>
      </c>
      <c r="H33" s="2186">
        <f>VLOOKUP(G33,Pesos!A:B,2,0)</f>
        <v>0.6</v>
      </c>
      <c r="I33" s="1"/>
      <c r="J33" s="1" t="s">
        <v>305</v>
      </c>
      <c r="K33" s="1">
        <v>4</v>
      </c>
      <c r="L33" s="2" t="s">
        <v>330</v>
      </c>
      <c r="M33" s="1">
        <v>1</v>
      </c>
      <c r="N33" s="1" t="s">
        <v>24</v>
      </c>
      <c r="O33" s="1">
        <v>1</v>
      </c>
      <c r="P33" s="1"/>
      <c r="Q33" s="1"/>
      <c r="R33" s="1"/>
      <c r="S33" s="1">
        <v>1</v>
      </c>
      <c r="T33" s="5">
        <v>25500</v>
      </c>
      <c r="U33" s="24">
        <v>0.8</v>
      </c>
      <c r="V33" s="26">
        <f t="shared" si="5"/>
        <v>5099.9999999999991</v>
      </c>
      <c r="W33" s="26">
        <f t="shared" si="4"/>
        <v>5099.9999999999991</v>
      </c>
      <c r="X33" s="6"/>
      <c r="AB33" s="1"/>
      <c r="AD33" s="1"/>
    </row>
    <row r="34" spans="1:30" x14ac:dyDescent="0.3">
      <c r="A34" t="s">
        <v>342</v>
      </c>
      <c r="B34" t="s">
        <v>386</v>
      </c>
      <c r="C34" t="s">
        <v>392</v>
      </c>
      <c r="D34" t="s">
        <v>393</v>
      </c>
      <c r="E34" s="1" t="s">
        <v>146</v>
      </c>
      <c r="F34" s="1" t="s">
        <v>103</v>
      </c>
      <c r="G34" s="2186">
        <v>3</v>
      </c>
      <c r="H34" s="2186">
        <f>VLOOKUP(G34,Pesos!A:B,2,0)</f>
        <v>0.7</v>
      </c>
      <c r="I34" s="1"/>
      <c r="J34" s="1" t="s">
        <v>305</v>
      </c>
      <c r="K34" s="1">
        <v>1</v>
      </c>
      <c r="L34" s="2" t="s">
        <v>333</v>
      </c>
      <c r="M34" s="1">
        <v>1</v>
      </c>
      <c r="N34" s="1" t="s">
        <v>24</v>
      </c>
      <c r="O34" s="1">
        <v>1</v>
      </c>
      <c r="P34" s="1"/>
      <c r="Q34" s="1"/>
      <c r="R34" s="18"/>
      <c r="S34" s="1">
        <v>1</v>
      </c>
      <c r="T34" s="5">
        <v>104400</v>
      </c>
      <c r="U34" s="24">
        <v>0.8</v>
      </c>
      <c r="V34" s="26">
        <f t="shared" si="5"/>
        <v>20879.999999999996</v>
      </c>
      <c r="W34" s="26">
        <f t="shared" si="4"/>
        <v>20879.999999999996</v>
      </c>
      <c r="X34" s="6"/>
      <c r="AB34" s="1"/>
      <c r="AD34" s="1"/>
    </row>
    <row r="35" spans="1:30" x14ac:dyDescent="0.3">
      <c r="A35" t="s">
        <v>342</v>
      </c>
      <c r="B35" t="s">
        <v>386</v>
      </c>
      <c r="C35" t="s">
        <v>392</v>
      </c>
      <c r="D35" t="s">
        <v>393</v>
      </c>
      <c r="E35" s="1" t="s">
        <v>146</v>
      </c>
      <c r="F35" s="1" t="s">
        <v>26</v>
      </c>
      <c r="G35" s="2186">
        <v>5</v>
      </c>
      <c r="H35" s="2186">
        <f>VLOOKUP(G35,Pesos!A:B,2,0)</f>
        <v>0.5</v>
      </c>
      <c r="I35" s="1" t="s">
        <v>305</v>
      </c>
      <c r="J35" s="1"/>
      <c r="K35" s="1">
        <v>2</v>
      </c>
      <c r="L35" s="2" t="s">
        <v>354</v>
      </c>
      <c r="M35" s="1">
        <v>2</v>
      </c>
      <c r="N35" s="1" t="s">
        <v>24</v>
      </c>
      <c r="O35" s="1">
        <v>2</v>
      </c>
      <c r="P35" s="1"/>
      <c r="Q35" s="1"/>
      <c r="R35" s="6"/>
      <c r="S35" s="1">
        <v>1</v>
      </c>
      <c r="T35" s="5">
        <v>14500</v>
      </c>
      <c r="U35" s="24">
        <v>0.8</v>
      </c>
      <c r="V35" s="26">
        <f t="shared" si="5"/>
        <v>2899.9999999999995</v>
      </c>
      <c r="W35" s="26">
        <f t="shared" si="4"/>
        <v>5799.9999999999991</v>
      </c>
      <c r="X35" s="6"/>
      <c r="AB35" s="1"/>
      <c r="AD35" s="1"/>
    </row>
    <row r="36" spans="1:30" x14ac:dyDescent="0.3">
      <c r="E36" s="1"/>
      <c r="F36" s="1"/>
      <c r="G36" s="2186"/>
      <c r="H36" s="2186"/>
      <c r="I36" s="1"/>
      <c r="J36" s="1"/>
      <c r="K36" s="1"/>
      <c r="L36" s="1"/>
      <c r="M36" s="1"/>
      <c r="N36" s="1"/>
      <c r="O36" s="1"/>
      <c r="P36" s="1"/>
      <c r="Q36" s="1"/>
      <c r="R36" s="6"/>
      <c r="S36" s="1"/>
      <c r="T36" s="5"/>
      <c r="U36" s="24"/>
      <c r="V36" s="26"/>
      <c r="W36" s="26"/>
      <c r="X36" s="6"/>
      <c r="AB36" s="1"/>
      <c r="AD36" s="1"/>
    </row>
    <row r="37" spans="1:30" x14ac:dyDescent="0.3">
      <c r="A37" t="s">
        <v>343</v>
      </c>
      <c r="B37" t="s">
        <v>386</v>
      </c>
      <c r="C37" t="s">
        <v>392</v>
      </c>
      <c r="D37" t="s">
        <v>393</v>
      </c>
      <c r="E37" s="1" t="s">
        <v>141</v>
      </c>
      <c r="F37" s="1" t="s">
        <v>142</v>
      </c>
      <c r="G37" s="2186">
        <v>2</v>
      </c>
      <c r="H37" s="2186">
        <f>VLOOKUP(G37,Pesos!A:B,2,0)</f>
        <v>0.8</v>
      </c>
      <c r="I37" s="1"/>
      <c r="J37" s="1" t="s">
        <v>305</v>
      </c>
      <c r="K37" s="1">
        <v>13</v>
      </c>
      <c r="L37" s="2" t="s">
        <v>51</v>
      </c>
      <c r="M37" s="1">
        <v>15</v>
      </c>
      <c r="N37" s="1" t="s">
        <v>24</v>
      </c>
      <c r="O37" s="1">
        <v>15</v>
      </c>
      <c r="P37" s="1"/>
      <c r="Q37" s="1"/>
      <c r="R37" s="18"/>
      <c r="S37" s="1">
        <v>1</v>
      </c>
      <c r="T37" s="7">
        <v>22440</v>
      </c>
      <c r="U37" s="24">
        <v>0.65</v>
      </c>
      <c r="V37" s="26">
        <f t="shared" si="5"/>
        <v>7853.9999999999991</v>
      </c>
      <c r="W37" s="26">
        <f t="shared" si="4"/>
        <v>117809.99999999999</v>
      </c>
      <c r="X37" s="6"/>
      <c r="AB37" s="1"/>
      <c r="AD37" s="1"/>
    </row>
    <row r="38" spans="1:30" x14ac:dyDescent="0.3">
      <c r="A38" t="s">
        <v>343</v>
      </c>
      <c r="B38" t="s">
        <v>386</v>
      </c>
      <c r="C38" t="s">
        <v>392</v>
      </c>
      <c r="D38" t="s">
        <v>393</v>
      </c>
      <c r="E38" s="1" t="s">
        <v>135</v>
      </c>
      <c r="F38" s="1" t="s">
        <v>21</v>
      </c>
      <c r="G38" s="2186">
        <v>4</v>
      </c>
      <c r="H38" s="2186">
        <f>VLOOKUP(G38,Pesos!A:B,2,0)</f>
        <v>0.6</v>
      </c>
      <c r="I38" s="1"/>
      <c r="J38" s="1" t="s">
        <v>305</v>
      </c>
      <c r="K38" s="1">
        <v>4</v>
      </c>
      <c r="L38" s="2" t="s">
        <v>330</v>
      </c>
      <c r="M38" s="1">
        <v>1</v>
      </c>
      <c r="N38" s="1" t="s">
        <v>147</v>
      </c>
      <c r="O38" s="1"/>
      <c r="P38" s="1">
        <v>1</v>
      </c>
      <c r="Q38" s="1"/>
      <c r="R38" s="18"/>
      <c r="S38" s="1">
        <v>1</v>
      </c>
      <c r="T38" s="7">
        <f>15552*60%</f>
        <v>9331.1999999999989</v>
      </c>
      <c r="U38" s="24">
        <v>0.4</v>
      </c>
      <c r="V38" s="26">
        <f t="shared" si="5"/>
        <v>5598.7199999999993</v>
      </c>
      <c r="W38" s="26">
        <f t="shared" si="4"/>
        <v>5598.7199999999993</v>
      </c>
      <c r="X38" s="6"/>
      <c r="AB38" s="1"/>
      <c r="AD38" s="1"/>
    </row>
    <row r="39" spans="1:30" x14ac:dyDescent="0.3">
      <c r="A39" t="s">
        <v>343</v>
      </c>
      <c r="B39" t="s">
        <v>386</v>
      </c>
      <c r="C39" t="s">
        <v>392</v>
      </c>
      <c r="D39" t="s">
        <v>393</v>
      </c>
      <c r="E39" s="1" t="s">
        <v>143</v>
      </c>
      <c r="F39" s="1" t="s">
        <v>26</v>
      </c>
      <c r="G39" s="2186">
        <v>6</v>
      </c>
      <c r="H39" s="2186">
        <f>VLOOKUP(G39,Pesos!A:B,2,0)</f>
        <v>0.4</v>
      </c>
      <c r="I39" s="1" t="s">
        <v>305</v>
      </c>
      <c r="J39" s="1"/>
      <c r="K39" s="1">
        <v>2</v>
      </c>
      <c r="L39" s="2" t="s">
        <v>354</v>
      </c>
      <c r="M39" s="1">
        <v>2</v>
      </c>
      <c r="N39" s="1" t="s">
        <v>24</v>
      </c>
      <c r="O39" s="1">
        <v>2</v>
      </c>
      <c r="P39" s="1"/>
      <c r="Q39" s="1"/>
      <c r="R39" s="1"/>
      <c r="S39" s="1">
        <v>1</v>
      </c>
      <c r="T39" s="7">
        <v>15714</v>
      </c>
      <c r="U39" s="24">
        <v>0.6</v>
      </c>
      <c r="V39" s="26">
        <f t="shared" si="5"/>
        <v>6285.6</v>
      </c>
      <c r="W39" s="26">
        <f t="shared" si="4"/>
        <v>12571.2</v>
      </c>
      <c r="AB39" s="1"/>
      <c r="AD39" s="1"/>
    </row>
    <row r="40" spans="1:30" x14ac:dyDescent="0.3">
      <c r="A40" t="s">
        <v>343</v>
      </c>
      <c r="B40" t="s">
        <v>386</v>
      </c>
      <c r="C40" t="s">
        <v>392</v>
      </c>
      <c r="D40" t="s">
        <v>393</v>
      </c>
      <c r="E40" s="1" t="s">
        <v>143</v>
      </c>
      <c r="F40" s="1" t="s">
        <v>21</v>
      </c>
      <c r="G40" s="2186">
        <v>4</v>
      </c>
      <c r="H40" s="2186">
        <f>VLOOKUP(G40,Pesos!A:B,2,0)</f>
        <v>0.6</v>
      </c>
      <c r="I40" s="1"/>
      <c r="J40" s="1" t="s">
        <v>305</v>
      </c>
      <c r="K40" s="1">
        <v>4</v>
      </c>
      <c r="L40" s="2" t="s">
        <v>330</v>
      </c>
      <c r="M40" s="1">
        <v>1</v>
      </c>
      <c r="N40" s="1" t="s">
        <v>24</v>
      </c>
      <c r="O40" s="1">
        <v>1</v>
      </c>
      <c r="P40" s="1"/>
      <c r="Q40" s="1"/>
      <c r="R40" s="1"/>
      <c r="S40" s="1">
        <v>1</v>
      </c>
      <c r="T40" s="7">
        <f>(28572*60%)/2</f>
        <v>8571.6</v>
      </c>
      <c r="U40" s="24">
        <v>0.6</v>
      </c>
      <c r="V40" s="26">
        <f t="shared" si="5"/>
        <v>3428.6400000000003</v>
      </c>
      <c r="W40" s="26">
        <f t="shared" si="4"/>
        <v>3428.6400000000003</v>
      </c>
      <c r="AB40" s="1"/>
      <c r="AD40" s="1"/>
    </row>
    <row r="41" spans="1:30" x14ac:dyDescent="0.3">
      <c r="A41" t="s">
        <v>343</v>
      </c>
      <c r="B41" t="s">
        <v>386</v>
      </c>
      <c r="C41" t="s">
        <v>392</v>
      </c>
      <c r="D41" t="s">
        <v>393</v>
      </c>
      <c r="E41" s="1" t="s">
        <v>145</v>
      </c>
      <c r="F41" s="1" t="s">
        <v>11</v>
      </c>
      <c r="G41" s="2186">
        <v>1</v>
      </c>
      <c r="H41" s="2186">
        <f>VLOOKUP(G41,Pesos!A:B,2,0)</f>
        <v>0.9</v>
      </c>
      <c r="I41" s="1"/>
      <c r="J41" s="1" t="s">
        <v>305</v>
      </c>
      <c r="K41" s="1">
        <v>50</v>
      </c>
      <c r="L41" s="2" t="s">
        <v>151</v>
      </c>
      <c r="M41" s="1">
        <v>1</v>
      </c>
      <c r="N41" s="1" t="s">
        <v>22</v>
      </c>
      <c r="O41" s="1">
        <v>50</v>
      </c>
      <c r="P41" s="1"/>
      <c r="Q41" s="1">
        <v>50</v>
      </c>
      <c r="R41" s="1"/>
      <c r="S41" s="1">
        <v>2</v>
      </c>
      <c r="T41" s="7">
        <v>115074</v>
      </c>
      <c r="U41" s="24">
        <v>0.5</v>
      </c>
      <c r="V41" s="26">
        <f t="shared" si="5"/>
        <v>57537</v>
      </c>
      <c r="W41" s="26">
        <f t="shared" si="4"/>
        <v>115074</v>
      </c>
      <c r="AB41" s="1"/>
      <c r="AD41" s="1"/>
    </row>
    <row r="42" spans="1:30" x14ac:dyDescent="0.3">
      <c r="A42" t="s">
        <v>343</v>
      </c>
      <c r="B42" t="s">
        <v>386</v>
      </c>
      <c r="C42" t="s">
        <v>392</v>
      </c>
      <c r="D42" t="s">
        <v>393</v>
      </c>
      <c r="E42" s="1" t="s">
        <v>145</v>
      </c>
      <c r="F42" s="1" t="s">
        <v>11</v>
      </c>
      <c r="G42" s="2186">
        <v>1</v>
      </c>
      <c r="H42" s="2186">
        <f>VLOOKUP(G42,Pesos!A:B,2,0)</f>
        <v>0.9</v>
      </c>
      <c r="I42" s="1" t="s">
        <v>305</v>
      </c>
      <c r="J42" s="1"/>
      <c r="K42" s="1">
        <v>15</v>
      </c>
      <c r="L42" s="1">
        <v>25</v>
      </c>
      <c r="M42" s="1">
        <v>20</v>
      </c>
      <c r="N42" s="1" t="s">
        <v>22</v>
      </c>
      <c r="O42" s="1"/>
      <c r="P42" s="1">
        <v>20</v>
      </c>
      <c r="Q42" s="1">
        <v>20</v>
      </c>
      <c r="R42" s="1"/>
      <c r="S42" s="1">
        <v>2</v>
      </c>
      <c r="T42" s="7">
        <v>2117</v>
      </c>
      <c r="U42" s="24">
        <v>0.5</v>
      </c>
      <c r="V42" s="26">
        <f t="shared" si="5"/>
        <v>1058.5</v>
      </c>
      <c r="W42" s="26">
        <f t="shared" si="4"/>
        <v>42340</v>
      </c>
      <c r="AB42" s="1"/>
      <c r="AD42" s="1"/>
    </row>
    <row r="43" spans="1:30" x14ac:dyDescent="0.3">
      <c r="A43" t="s">
        <v>343</v>
      </c>
      <c r="B43" t="s">
        <v>386</v>
      </c>
      <c r="C43" t="s">
        <v>392</v>
      </c>
      <c r="D43" t="s">
        <v>393</v>
      </c>
      <c r="E43" s="1" t="s">
        <v>146</v>
      </c>
      <c r="F43" s="1" t="s">
        <v>21</v>
      </c>
      <c r="G43" s="2186">
        <v>4</v>
      </c>
      <c r="H43" s="2186">
        <f>VLOOKUP(G43,Pesos!A:B,2,0)</f>
        <v>0.6</v>
      </c>
      <c r="I43" s="1"/>
      <c r="J43" s="1" t="s">
        <v>305</v>
      </c>
      <c r="K43" s="1">
        <v>4</v>
      </c>
      <c r="L43" s="1">
        <v>8</v>
      </c>
      <c r="M43" s="1">
        <v>2</v>
      </c>
      <c r="N43" s="1" t="s">
        <v>24</v>
      </c>
      <c r="O43" s="1">
        <v>2</v>
      </c>
      <c r="P43" s="1"/>
      <c r="Q43" s="1"/>
      <c r="R43" s="1"/>
      <c r="S43" s="1">
        <v>1</v>
      </c>
      <c r="T43" s="5">
        <v>25500</v>
      </c>
      <c r="U43" s="24">
        <v>0.8</v>
      </c>
      <c r="V43" s="26">
        <f t="shared" si="5"/>
        <v>5099.9999999999991</v>
      </c>
      <c r="W43" s="26">
        <f t="shared" si="4"/>
        <v>10199.999999999998</v>
      </c>
      <c r="X43" s="6"/>
      <c r="AB43" s="1"/>
      <c r="AD43" s="1"/>
    </row>
    <row r="44" spans="1:30" x14ac:dyDescent="0.3">
      <c r="A44" t="s">
        <v>343</v>
      </c>
      <c r="B44" t="s">
        <v>386</v>
      </c>
      <c r="C44" t="s">
        <v>392</v>
      </c>
      <c r="D44" t="s">
        <v>393</v>
      </c>
      <c r="E44" s="1" t="s">
        <v>130</v>
      </c>
      <c r="F44" s="1" t="s">
        <v>148</v>
      </c>
      <c r="G44" s="2186">
        <v>5</v>
      </c>
      <c r="H44" s="2186">
        <f>VLOOKUP(G44,Pesos!A:B,2,0)</f>
        <v>0.5</v>
      </c>
      <c r="I44" s="1" t="s">
        <v>305</v>
      </c>
      <c r="J44" s="1"/>
      <c r="K44" s="1">
        <v>10</v>
      </c>
      <c r="L44" s="1">
        <v>20</v>
      </c>
      <c r="M44" s="1">
        <v>14</v>
      </c>
      <c r="N44" s="1" t="s">
        <v>24</v>
      </c>
      <c r="O44" s="1">
        <v>14</v>
      </c>
      <c r="P44" s="1"/>
      <c r="Q44" s="1"/>
      <c r="R44" s="1"/>
      <c r="S44" s="1">
        <v>1</v>
      </c>
      <c r="T44" s="5">
        <v>12169</v>
      </c>
      <c r="U44" s="24">
        <v>0.82</v>
      </c>
      <c r="V44" s="26">
        <f t="shared" si="5"/>
        <v>2190.4200000000005</v>
      </c>
      <c r="W44" s="26">
        <f t="shared" si="4"/>
        <v>30665.880000000008</v>
      </c>
      <c r="AB44" s="1"/>
      <c r="AD44" s="1"/>
    </row>
    <row r="45" spans="1:30" x14ac:dyDescent="0.3">
      <c r="A45" t="s">
        <v>343</v>
      </c>
      <c r="B45" t="s">
        <v>386</v>
      </c>
      <c r="C45" t="s">
        <v>392</v>
      </c>
      <c r="D45" t="s">
        <v>393</v>
      </c>
      <c r="E45" s="1" t="s">
        <v>41</v>
      </c>
      <c r="F45" s="1" t="s">
        <v>149</v>
      </c>
      <c r="G45" s="2186">
        <v>7</v>
      </c>
      <c r="H45" s="2186">
        <f>VLOOKUP(G45,Pesos!A:B,2,0)</f>
        <v>0.3</v>
      </c>
      <c r="I45" s="1" t="s">
        <v>305</v>
      </c>
      <c r="J45" s="1"/>
      <c r="K45" s="1">
        <v>10</v>
      </c>
      <c r="L45" s="1">
        <v>23</v>
      </c>
      <c r="M45" s="1">
        <v>12</v>
      </c>
      <c r="N45" s="1" t="s">
        <v>24</v>
      </c>
      <c r="O45" s="1">
        <v>12</v>
      </c>
      <c r="P45" s="1"/>
      <c r="Q45" s="1"/>
      <c r="R45" s="1"/>
      <c r="S45" s="1">
        <v>1</v>
      </c>
      <c r="T45" s="5">
        <v>1600</v>
      </c>
      <c r="U45" s="24">
        <v>0.7</v>
      </c>
      <c r="V45" s="26">
        <f t="shared" si="5"/>
        <v>480.00000000000006</v>
      </c>
      <c r="W45" s="26">
        <f t="shared" si="4"/>
        <v>5760.0000000000009</v>
      </c>
      <c r="AB45" s="1"/>
      <c r="AD45" s="1"/>
    </row>
    <row r="46" spans="1:30" x14ac:dyDescent="0.3">
      <c r="A46" t="s">
        <v>343</v>
      </c>
      <c r="B46" t="s">
        <v>386</v>
      </c>
      <c r="C46" t="s">
        <v>392</v>
      </c>
      <c r="D46" t="s">
        <v>393</v>
      </c>
      <c r="E46" s="1" t="s">
        <v>150</v>
      </c>
      <c r="F46" s="1" t="s">
        <v>68</v>
      </c>
      <c r="G46" s="2186">
        <v>3</v>
      </c>
      <c r="H46" s="2186">
        <f>VLOOKUP(G46,Pesos!A:B,2,0)</f>
        <v>0.7</v>
      </c>
      <c r="I46" s="1" t="s">
        <v>305</v>
      </c>
      <c r="J46" s="1"/>
      <c r="K46" s="1">
        <v>8</v>
      </c>
      <c r="L46" s="1">
        <v>16</v>
      </c>
      <c r="M46" s="1">
        <v>13</v>
      </c>
      <c r="N46" s="1" t="s">
        <v>24</v>
      </c>
      <c r="O46" s="1">
        <v>13</v>
      </c>
      <c r="P46" s="1"/>
      <c r="Q46" s="1"/>
      <c r="R46" s="1"/>
      <c r="S46" s="1">
        <v>1</v>
      </c>
      <c r="T46" s="5">
        <v>9292</v>
      </c>
      <c r="U46" s="24">
        <v>0.55000000000000004</v>
      </c>
      <c r="V46" s="26">
        <f t="shared" si="5"/>
        <v>4181.3999999999996</v>
      </c>
      <c r="W46" s="26">
        <f t="shared" si="4"/>
        <v>54358.2</v>
      </c>
      <c r="AB46" s="1"/>
      <c r="AD46" s="1"/>
    </row>
    <row r="47" spans="1:30" x14ac:dyDescent="0.3">
      <c r="E47" s="1"/>
      <c r="F47" s="1"/>
      <c r="G47" s="2186"/>
      <c r="H47" s="218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5"/>
      <c r="U47" s="24"/>
      <c r="V47" s="26"/>
      <c r="W47" s="26"/>
      <c r="AB47" s="1"/>
      <c r="AD47" s="1"/>
    </row>
    <row r="48" spans="1:30" x14ac:dyDescent="0.3">
      <c r="A48" t="s">
        <v>326</v>
      </c>
      <c r="B48" t="s">
        <v>386</v>
      </c>
      <c r="C48" t="s">
        <v>392</v>
      </c>
      <c r="D48" t="s">
        <v>393</v>
      </c>
      <c r="E48" s="1" t="s">
        <v>141</v>
      </c>
      <c r="F48" s="1" t="s">
        <v>142</v>
      </c>
      <c r="G48" s="2186">
        <v>3</v>
      </c>
      <c r="H48" s="2186">
        <f>VLOOKUP(G48,Pesos!A:B,2,0)</f>
        <v>0.7</v>
      </c>
      <c r="I48" s="1"/>
      <c r="J48" s="1" t="s">
        <v>305</v>
      </c>
      <c r="K48" s="1">
        <v>10</v>
      </c>
      <c r="L48" s="1">
        <v>15</v>
      </c>
      <c r="M48" s="1">
        <v>13</v>
      </c>
      <c r="N48" s="1" t="s">
        <v>24</v>
      </c>
      <c r="O48" s="1">
        <v>13</v>
      </c>
      <c r="P48" s="1"/>
      <c r="Q48" s="1"/>
      <c r="R48" s="1"/>
      <c r="S48" s="1">
        <v>1</v>
      </c>
      <c r="T48" s="7">
        <v>22440</v>
      </c>
      <c r="U48" s="24">
        <v>0.65</v>
      </c>
      <c r="V48" s="26">
        <f t="shared" ref="V48:V53" si="6">T48*(1-U48)</f>
        <v>7853.9999999999991</v>
      </c>
      <c r="W48" s="26">
        <f t="shared" ref="W48:W53" si="7">V48*S48*M48</f>
        <v>102101.99999999999</v>
      </c>
      <c r="AB48" s="1"/>
      <c r="AD48" s="1"/>
    </row>
    <row r="49" spans="1:30" x14ac:dyDescent="0.3">
      <c r="A49" t="s">
        <v>326</v>
      </c>
      <c r="B49" t="s">
        <v>386</v>
      </c>
      <c r="C49" t="s">
        <v>392</v>
      </c>
      <c r="D49" t="s">
        <v>393</v>
      </c>
      <c r="E49" s="1" t="s">
        <v>135</v>
      </c>
      <c r="F49" s="1" t="s">
        <v>21</v>
      </c>
      <c r="G49" s="2186">
        <v>2</v>
      </c>
      <c r="H49" s="2186">
        <f>VLOOKUP(G49,Pesos!A:B,2,0)</f>
        <v>0.8</v>
      </c>
      <c r="I49" s="1"/>
      <c r="J49" s="1" t="s">
        <v>305</v>
      </c>
      <c r="K49" s="1">
        <v>2</v>
      </c>
      <c r="L49" s="1">
        <v>5</v>
      </c>
      <c r="M49" s="1">
        <v>1</v>
      </c>
      <c r="N49" s="1" t="s">
        <v>147</v>
      </c>
      <c r="O49" s="1"/>
      <c r="P49" s="1"/>
      <c r="Q49" s="1">
        <v>1</v>
      </c>
      <c r="R49" s="1"/>
      <c r="S49" s="1">
        <v>1</v>
      </c>
      <c r="T49" s="7">
        <f>15552*60%</f>
        <v>9331.1999999999989</v>
      </c>
      <c r="U49" s="24">
        <v>0.4</v>
      </c>
      <c r="V49" s="26">
        <f t="shared" si="6"/>
        <v>5598.7199999999993</v>
      </c>
      <c r="W49" s="26">
        <f t="shared" si="7"/>
        <v>5598.7199999999993</v>
      </c>
      <c r="AB49" s="1"/>
      <c r="AD49" s="1"/>
    </row>
    <row r="50" spans="1:30" x14ac:dyDescent="0.3">
      <c r="A50" t="s">
        <v>326</v>
      </c>
      <c r="B50" t="s">
        <v>386</v>
      </c>
      <c r="C50" t="s">
        <v>392</v>
      </c>
      <c r="D50" t="s">
        <v>393</v>
      </c>
      <c r="E50" s="1" t="s">
        <v>143</v>
      </c>
      <c r="F50" s="1" t="s">
        <v>26</v>
      </c>
      <c r="G50" s="2186">
        <v>4</v>
      </c>
      <c r="H50" s="2186">
        <f>VLOOKUP(G50,Pesos!A:B,2,0)</f>
        <v>0.6</v>
      </c>
      <c r="I50" s="1" t="s">
        <v>305</v>
      </c>
      <c r="J50" s="1"/>
      <c r="K50" s="1">
        <v>1</v>
      </c>
      <c r="L50" s="1">
        <v>2</v>
      </c>
      <c r="M50" s="1">
        <v>2</v>
      </c>
      <c r="N50" s="1" t="s">
        <v>24</v>
      </c>
      <c r="O50" s="1">
        <v>2</v>
      </c>
      <c r="P50" s="1"/>
      <c r="Q50" s="1"/>
      <c r="R50" s="1"/>
      <c r="S50" s="1">
        <v>1</v>
      </c>
      <c r="T50" s="7">
        <v>15714</v>
      </c>
      <c r="U50" s="24">
        <v>0.6</v>
      </c>
      <c r="V50" s="26">
        <f t="shared" si="6"/>
        <v>6285.6</v>
      </c>
      <c r="W50" s="26">
        <f t="shared" si="7"/>
        <v>12571.2</v>
      </c>
      <c r="AB50" s="1"/>
      <c r="AD50" s="1"/>
    </row>
    <row r="51" spans="1:30" x14ac:dyDescent="0.3">
      <c r="A51" t="s">
        <v>326</v>
      </c>
      <c r="B51" t="s">
        <v>386</v>
      </c>
      <c r="C51" t="s">
        <v>392</v>
      </c>
      <c r="D51" t="s">
        <v>393</v>
      </c>
      <c r="E51" s="1" t="s">
        <v>143</v>
      </c>
      <c r="F51" s="1" t="s">
        <v>21</v>
      </c>
      <c r="G51" s="2186">
        <v>2</v>
      </c>
      <c r="H51" s="2186">
        <f>VLOOKUP(G51,Pesos!A:B,2,0)</f>
        <v>0.8</v>
      </c>
      <c r="I51" s="1"/>
      <c r="J51" s="1" t="s">
        <v>305</v>
      </c>
      <c r="K51" s="1">
        <v>2</v>
      </c>
      <c r="L51" s="1">
        <v>5</v>
      </c>
      <c r="M51" s="1">
        <v>2</v>
      </c>
      <c r="N51" s="1" t="s">
        <v>24</v>
      </c>
      <c r="O51" s="1">
        <v>2</v>
      </c>
      <c r="P51" s="1"/>
      <c r="Q51" s="1"/>
      <c r="R51" s="1"/>
      <c r="S51" s="1">
        <v>1</v>
      </c>
      <c r="T51" s="7">
        <f>(28572*60%)/2</f>
        <v>8571.6</v>
      </c>
      <c r="U51" s="24">
        <v>0.6</v>
      </c>
      <c r="V51" s="26">
        <f t="shared" si="6"/>
        <v>3428.6400000000003</v>
      </c>
      <c r="W51" s="26">
        <f t="shared" si="7"/>
        <v>6857.2800000000007</v>
      </c>
      <c r="AB51" s="1"/>
      <c r="AD51" s="1"/>
    </row>
    <row r="52" spans="1:30" x14ac:dyDescent="0.3">
      <c r="A52" t="s">
        <v>326</v>
      </c>
      <c r="B52" t="s">
        <v>386</v>
      </c>
      <c r="C52" t="s">
        <v>392</v>
      </c>
      <c r="D52" t="s">
        <v>393</v>
      </c>
      <c r="E52" s="1" t="s">
        <v>145</v>
      </c>
      <c r="F52" s="1" t="s">
        <v>11</v>
      </c>
      <c r="G52" s="2186">
        <v>1</v>
      </c>
      <c r="H52" s="2186">
        <f>VLOOKUP(G52,Pesos!A:B,2,0)</f>
        <v>0.9</v>
      </c>
      <c r="I52" s="1"/>
      <c r="J52" s="1" t="s">
        <v>305</v>
      </c>
      <c r="K52" s="1">
        <v>50</v>
      </c>
      <c r="L52" s="1">
        <v>50</v>
      </c>
      <c r="M52" s="1">
        <v>1</v>
      </c>
      <c r="N52" s="1" t="s">
        <v>22</v>
      </c>
      <c r="O52" s="1">
        <v>50</v>
      </c>
      <c r="P52" s="1"/>
      <c r="Q52" s="1"/>
      <c r="R52" s="1"/>
      <c r="S52" s="1">
        <v>1</v>
      </c>
      <c r="T52" s="7">
        <v>115074</v>
      </c>
      <c r="U52" s="24">
        <v>0.5</v>
      </c>
      <c r="V52" s="26">
        <f t="shared" si="6"/>
        <v>57537</v>
      </c>
      <c r="W52" s="26">
        <f t="shared" si="7"/>
        <v>57537</v>
      </c>
      <c r="AB52" s="1"/>
      <c r="AD52" s="1"/>
    </row>
    <row r="53" spans="1:30" x14ac:dyDescent="0.3">
      <c r="A53" t="s">
        <v>326</v>
      </c>
      <c r="B53" t="s">
        <v>386</v>
      </c>
      <c r="C53" t="s">
        <v>392</v>
      </c>
      <c r="D53" t="s">
        <v>393</v>
      </c>
      <c r="E53" s="1" t="s">
        <v>145</v>
      </c>
      <c r="F53" s="1" t="s">
        <v>11</v>
      </c>
      <c r="G53" s="2186">
        <v>1</v>
      </c>
      <c r="H53" s="2186">
        <f>VLOOKUP(G53,Pesos!A:B,2,0)</f>
        <v>0.9</v>
      </c>
      <c r="I53" s="1" t="s">
        <v>305</v>
      </c>
      <c r="J53" s="1"/>
      <c r="K53" s="1">
        <v>12</v>
      </c>
      <c r="L53" s="1">
        <v>23</v>
      </c>
      <c r="M53" s="1">
        <v>21</v>
      </c>
      <c r="N53" s="1" t="s">
        <v>22</v>
      </c>
      <c r="O53" s="1"/>
      <c r="P53" s="1">
        <v>21</v>
      </c>
      <c r="Q53" s="1">
        <v>21</v>
      </c>
      <c r="R53" s="1"/>
      <c r="S53" s="1">
        <v>2</v>
      </c>
      <c r="T53" s="7">
        <v>2117</v>
      </c>
      <c r="U53" s="24">
        <v>0.5</v>
      </c>
      <c r="V53" s="26">
        <f t="shared" si="6"/>
        <v>1058.5</v>
      </c>
      <c r="W53" s="26">
        <f t="shared" si="7"/>
        <v>44457</v>
      </c>
      <c r="AB53" s="1"/>
      <c r="AD53" s="1"/>
    </row>
    <row r="54" spans="1:30" x14ac:dyDescent="0.3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5"/>
      <c r="U54" s="24"/>
      <c r="V54" s="26"/>
      <c r="W54" s="26"/>
      <c r="AB54" s="1"/>
      <c r="AD54" s="1"/>
    </row>
    <row r="55" spans="1:30" x14ac:dyDescent="0.3"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"/>
      <c r="U55" s="29"/>
      <c r="V55" s="26"/>
      <c r="W55" s="26"/>
      <c r="AB55" s="1"/>
      <c r="AD55" s="1"/>
    </row>
    <row r="56" spans="1:30" x14ac:dyDescent="0.3"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"/>
      <c r="U56" s="29"/>
      <c r="V56" s="26"/>
      <c r="W56" s="26"/>
      <c r="AB56" s="1"/>
      <c r="AD56" s="1"/>
    </row>
    <row r="57" spans="1:30" x14ac:dyDescent="0.3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"/>
      <c r="U57" s="29"/>
      <c r="V57" s="26"/>
      <c r="W57" s="26"/>
      <c r="AB57" s="1"/>
      <c r="AD57" s="1"/>
    </row>
    <row r="58" spans="1:30" x14ac:dyDescent="0.3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"/>
      <c r="U58" s="29"/>
      <c r="V58" s="26"/>
      <c r="W58" s="26"/>
      <c r="AB58" s="1"/>
      <c r="AD58" s="1"/>
    </row>
    <row r="59" spans="1:30" x14ac:dyDescent="0.3">
      <c r="A59" s="47"/>
      <c r="D59" s="43" t="s">
        <v>1158</v>
      </c>
      <c r="E59" s="43" t="s">
        <v>1159</v>
      </c>
      <c r="F59" s="43" t="s">
        <v>1160</v>
      </c>
      <c r="G59" s="4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"/>
      <c r="U59" s="29"/>
      <c r="V59" s="26"/>
      <c r="W59" s="26"/>
      <c r="AB59" s="1"/>
      <c r="AD59" s="1"/>
    </row>
    <row r="60" spans="1:30" x14ac:dyDescent="0.3">
      <c r="A60" s="47" t="s">
        <v>1161</v>
      </c>
      <c r="B60" s="2174"/>
      <c r="C60" s="2174"/>
      <c r="D60" s="2181">
        <f>E60*(1-10%)</f>
        <v>2441.2571457286431</v>
      </c>
      <c r="E60" s="427">
        <f>'BELO HORIZONTE'!S56</f>
        <v>2712.5079396984925</v>
      </c>
      <c r="F60" s="427">
        <f>E60*(1+15%)</f>
        <v>3119.3841306532663</v>
      </c>
      <c r="G60" s="427"/>
    </row>
    <row r="61" spans="1:30" x14ac:dyDescent="0.3">
      <c r="A61" s="47" t="s">
        <v>1162</v>
      </c>
      <c r="B61" s="2174"/>
      <c r="C61" s="2174"/>
      <c r="D61" s="2181">
        <f>E61*(1-25%)</f>
        <v>1683.3507740585776</v>
      </c>
      <c r="E61" s="427">
        <f>'BELO HORIZONTE'!S88</f>
        <v>2244.4676987447701</v>
      </c>
      <c r="F61" s="427">
        <f>E61*(1+5%)</f>
        <v>2356.6910836820089</v>
      </c>
      <c r="G61" s="42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5"/>
      <c r="U61" s="24"/>
      <c r="V61" s="26"/>
      <c r="W61" s="26"/>
      <c r="AB61" s="1"/>
      <c r="AD61" s="1"/>
    </row>
    <row r="62" spans="1:30" x14ac:dyDescent="0.3">
      <c r="A62" s="47" t="s">
        <v>550</v>
      </c>
      <c r="B62" s="2174"/>
      <c r="C62" s="2174"/>
      <c r="D62" s="2181">
        <f>E62*(1-15%)</f>
        <v>2267.5441904761906</v>
      </c>
      <c r="E62" s="427">
        <f>'BELO HORIZONTE'!S127</f>
        <v>2667.6990476190476</v>
      </c>
      <c r="F62" s="427">
        <f>E62*(1+15%)</f>
        <v>3067.8539047619047</v>
      </c>
      <c r="G62" s="42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5"/>
      <c r="U62" s="24"/>
      <c r="V62" s="26"/>
      <c r="W62" s="26"/>
      <c r="AB62" s="1"/>
      <c r="AD62" s="1"/>
    </row>
    <row r="63" spans="1:30" x14ac:dyDescent="0.3">
      <c r="A63" s="47" t="s">
        <v>679</v>
      </c>
      <c r="B63" s="2174"/>
      <c r="C63" s="2174"/>
      <c r="D63" s="2181">
        <f>E63*(1-25%)</f>
        <v>1683.0248999999999</v>
      </c>
      <c r="E63" s="427">
        <f>'BELO HORIZONTE'!S158</f>
        <v>2244.0331999999999</v>
      </c>
      <c r="F63" s="427">
        <f>E63*(1+5%)</f>
        <v>2356.23486</v>
      </c>
      <c r="G63" s="42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5"/>
      <c r="U63" s="24"/>
      <c r="V63" s="26"/>
      <c r="W63" s="26"/>
      <c r="AB63" s="1"/>
      <c r="AD63" s="1"/>
    </row>
    <row r="64" spans="1:30" x14ac:dyDescent="0.3">
      <c r="A64" s="47" t="s">
        <v>568</v>
      </c>
      <c r="B64" s="2174"/>
      <c r="C64" s="2174"/>
      <c r="D64" s="2181">
        <f>E64*(1-25%)</f>
        <v>1855.3854545454542</v>
      </c>
      <c r="E64" s="427">
        <f>'BELO HORIZONTE'!S191</f>
        <v>2473.8472727272724</v>
      </c>
      <c r="F64" s="427">
        <f>E64*(1+5%)</f>
        <v>2597.539636363636</v>
      </c>
      <c r="G64" s="42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5"/>
      <c r="U64" s="24"/>
      <c r="V64" s="26"/>
      <c r="W64" s="26"/>
      <c r="AB64" s="1"/>
      <c r="AD64" s="1"/>
    </row>
    <row r="65" spans="1:30" x14ac:dyDescent="0.3">
      <c r="A65" s="47"/>
      <c r="B65" s="47"/>
      <c r="C65" s="47"/>
      <c r="D65" s="4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24"/>
      <c r="V65" s="26"/>
      <c r="W65" s="26"/>
      <c r="AB65" s="1"/>
      <c r="AD65" s="1"/>
    </row>
    <row r="66" spans="1:30" x14ac:dyDescent="0.3">
      <c r="A66" s="47"/>
      <c r="B66" s="46"/>
      <c r="C66" s="46"/>
      <c r="D66" s="2314" t="s">
        <v>1163</v>
      </c>
      <c r="E66" s="2315"/>
      <c r="F66" s="2315"/>
      <c r="G66" s="231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5"/>
      <c r="U66" s="24"/>
      <c r="V66" s="26"/>
      <c r="W66" s="26"/>
      <c r="AB66" s="1"/>
      <c r="AD66" s="1"/>
    </row>
    <row r="67" spans="1:30" x14ac:dyDescent="0.3">
      <c r="A67" s="47" t="s">
        <v>1161</v>
      </c>
      <c r="B67" s="2175"/>
      <c r="C67" s="2175"/>
      <c r="D67" s="304">
        <v>0.43216080402010049</v>
      </c>
      <c r="E67" s="3">
        <v>0.12562814070351758</v>
      </c>
      <c r="F67" s="3">
        <v>0.44221105527638194</v>
      </c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29"/>
      <c r="V67" s="26"/>
      <c r="W67" s="26"/>
      <c r="AB67" s="1"/>
      <c r="AD67" s="1"/>
    </row>
    <row r="68" spans="1:30" x14ac:dyDescent="0.3">
      <c r="A68" s="47" t="s">
        <v>1162</v>
      </c>
      <c r="B68" s="2175"/>
      <c r="C68" s="2175"/>
      <c r="D68" s="2175">
        <v>0.53138075313807531</v>
      </c>
      <c r="E68" s="304">
        <v>0.10460251046025104</v>
      </c>
      <c r="F68" s="304">
        <v>0.36401673640167365</v>
      </c>
      <c r="G68" s="30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29"/>
      <c r="V68" s="26"/>
      <c r="W68" s="26"/>
      <c r="AB68" s="1"/>
      <c r="AD68" s="1"/>
    </row>
    <row r="69" spans="1:30" x14ac:dyDescent="0.3">
      <c r="A69" s="47" t="s">
        <v>550</v>
      </c>
      <c r="B69" s="2175"/>
      <c r="C69" s="2175"/>
      <c r="D69" s="2175">
        <v>0.45833333333333331</v>
      </c>
      <c r="E69" s="304">
        <v>0.125</v>
      </c>
      <c r="F69" s="304">
        <v>0.41666666666666669</v>
      </c>
      <c r="G69" s="30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29"/>
      <c r="V69" s="26"/>
      <c r="W69" s="26"/>
      <c r="AB69" s="1"/>
      <c r="AD69" s="1"/>
    </row>
    <row r="70" spans="1:30" x14ac:dyDescent="0.3">
      <c r="A70" s="47" t="s">
        <v>679</v>
      </c>
      <c r="B70" s="2175"/>
      <c r="C70" s="2175"/>
      <c r="D70" s="2175">
        <v>0.54500000000000004</v>
      </c>
      <c r="E70" s="304">
        <v>0.105</v>
      </c>
      <c r="F70" s="304">
        <v>0.35</v>
      </c>
      <c r="G70" s="304"/>
    </row>
    <row r="71" spans="1:30" x14ac:dyDescent="0.3">
      <c r="A71" s="47" t="s">
        <v>568</v>
      </c>
      <c r="B71" s="47"/>
      <c r="C71" s="47"/>
      <c r="D71" s="2175">
        <v>0.60909090909090913</v>
      </c>
      <c r="E71" s="3">
        <v>0.19090909090909092</v>
      </c>
      <c r="F71" s="304">
        <v>0.2</v>
      </c>
    </row>
    <row r="72" spans="1:30" x14ac:dyDescent="0.3">
      <c r="A72" s="47"/>
      <c r="B72" s="47"/>
      <c r="C72" s="47"/>
      <c r="D72" s="48"/>
    </row>
    <row r="73" spans="1:30" x14ac:dyDescent="0.3">
      <c r="A73" s="47"/>
      <c r="B73" s="47"/>
      <c r="C73" s="47"/>
      <c r="D73" s="48"/>
    </row>
    <row r="74" spans="1:30" x14ac:dyDescent="0.3">
      <c r="A74" s="47"/>
      <c r="B74" s="47"/>
      <c r="C74" s="47"/>
      <c r="D74" s="48"/>
    </row>
    <row r="75" spans="1:30" x14ac:dyDescent="0.3">
      <c r="A75" s="47"/>
      <c r="B75" s="46"/>
      <c r="C75" s="46"/>
      <c r="D75" s="2314" t="s">
        <v>1164</v>
      </c>
      <c r="E75" s="2315"/>
      <c r="F75" s="2315"/>
      <c r="G75" s="2316"/>
    </row>
    <row r="76" spans="1:30" x14ac:dyDescent="0.3">
      <c r="A76" s="47" t="s">
        <v>1161</v>
      </c>
      <c r="B76" s="2175"/>
      <c r="C76" s="2175"/>
      <c r="D76" s="2175">
        <v>0.29896907216494845</v>
      </c>
      <c r="E76" s="2175">
        <v>0.18900343642611683</v>
      </c>
      <c r="F76" s="2175">
        <v>0.40206185567010311</v>
      </c>
      <c r="G76" s="2175">
        <v>0.10996563573883161</v>
      </c>
    </row>
    <row r="77" spans="1:30" x14ac:dyDescent="0.3">
      <c r="A77" s="47" t="s">
        <v>1162</v>
      </c>
      <c r="B77" s="6"/>
      <c r="C77" s="6"/>
      <c r="D77" s="6">
        <v>0.28733031674208143</v>
      </c>
      <c r="E77" s="2175">
        <v>0.20814479638009051</v>
      </c>
      <c r="F77" s="2175">
        <v>0.34841628959276016</v>
      </c>
      <c r="G77" s="2175">
        <v>0.15610859728506787</v>
      </c>
    </row>
    <row r="78" spans="1:30" x14ac:dyDescent="0.3">
      <c r="A78" s="47" t="s">
        <v>550</v>
      </c>
      <c r="B78" s="2175"/>
      <c r="C78" s="2175"/>
      <c r="D78" s="2175">
        <v>0.3452914798206278</v>
      </c>
      <c r="E78" s="2175">
        <v>0.21524663677130046</v>
      </c>
      <c r="F78" s="2175">
        <v>0.43946188340807174</v>
      </c>
      <c r="G78" s="2175"/>
    </row>
    <row r="79" spans="1:30" x14ac:dyDescent="0.3">
      <c r="A79" s="47" t="s">
        <v>679</v>
      </c>
      <c r="B79" s="2175"/>
      <c r="C79" s="2175"/>
      <c r="D79" s="6">
        <v>0.34169278996865204</v>
      </c>
      <c r="E79" s="2175">
        <v>0.2507836990595611</v>
      </c>
      <c r="F79" s="2175">
        <v>0.40752351097178685</v>
      </c>
      <c r="G79" s="2175"/>
    </row>
    <row r="80" spans="1:30" x14ac:dyDescent="0.3">
      <c r="A80" s="47" t="s">
        <v>568</v>
      </c>
      <c r="B80" s="47"/>
      <c r="C80" s="47"/>
      <c r="D80" s="6">
        <v>0.46527777777777779</v>
      </c>
      <c r="E80" s="2175">
        <v>0.2638888888888889</v>
      </c>
      <c r="F80" s="2175">
        <v>0.27083333333333331</v>
      </c>
      <c r="G80" s="217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L216"/>
  <sheetViews>
    <sheetView workbookViewId="0"/>
  </sheetViews>
  <sheetFormatPr defaultRowHeight="14.4" x14ac:dyDescent="0.3"/>
  <sheetData>
    <row r="1" spans="1:9" ht="21" x14ac:dyDescent="0.4">
      <c r="A1" s="92" t="s">
        <v>804</v>
      </c>
    </row>
    <row r="2" spans="1:9" x14ac:dyDescent="0.3">
      <c r="A2" t="s">
        <v>452</v>
      </c>
    </row>
    <row r="5" spans="1:9" x14ac:dyDescent="0.3">
      <c r="B5" s="95"/>
    </row>
    <row r="6" spans="1:9" x14ac:dyDescent="0.3">
      <c r="B6" s="96"/>
      <c r="C6" s="603"/>
      <c r="F6" s="98"/>
      <c r="G6" s="98"/>
      <c r="H6" s="98"/>
      <c r="I6" s="99"/>
    </row>
    <row r="7" spans="1:9" x14ac:dyDescent="0.3">
      <c r="A7" s="100" t="s">
        <v>805</v>
      </c>
      <c r="B7" s="101">
        <v>4132230.98</v>
      </c>
      <c r="C7" s="102"/>
      <c r="F7" s="98"/>
      <c r="G7" s="98"/>
      <c r="H7" s="98"/>
      <c r="I7" s="99"/>
    </row>
    <row r="8" spans="1:9" x14ac:dyDescent="0.3">
      <c r="A8" s="100" t="s">
        <v>806</v>
      </c>
      <c r="B8" s="101">
        <v>7670335.549999998</v>
      </c>
      <c r="C8" s="97"/>
      <c r="F8" s="98"/>
      <c r="G8" s="98"/>
      <c r="H8" s="98"/>
      <c r="I8" s="99"/>
    </row>
    <row r="9" spans="1:9" x14ac:dyDescent="0.3">
      <c r="C9" s="97"/>
      <c r="F9" s="98"/>
      <c r="G9" s="98"/>
      <c r="H9" s="98"/>
      <c r="I9" s="99"/>
    </row>
    <row r="10" spans="1:9" x14ac:dyDescent="0.3">
      <c r="A10" s="103" t="s">
        <v>807</v>
      </c>
      <c r="B10" s="104">
        <v>5804713.25</v>
      </c>
      <c r="C10" s="105"/>
      <c r="F10" s="98"/>
      <c r="G10" s="98"/>
      <c r="H10" s="98"/>
      <c r="I10" s="99"/>
    </row>
    <row r="11" spans="1:9" x14ac:dyDescent="0.3">
      <c r="A11" s="100" t="s">
        <v>808</v>
      </c>
      <c r="B11" s="101">
        <v>8292447.5</v>
      </c>
      <c r="C11" s="3"/>
      <c r="F11" s="98"/>
      <c r="G11" s="98"/>
      <c r="H11" s="98"/>
      <c r="I11" s="99"/>
    </row>
    <row r="12" spans="1:9" x14ac:dyDescent="0.3">
      <c r="F12" s="98"/>
      <c r="G12" s="98"/>
      <c r="H12" s="98"/>
      <c r="I12" s="99"/>
    </row>
    <row r="13" spans="1:9" x14ac:dyDescent="0.3">
      <c r="F13" s="98"/>
      <c r="G13" s="98"/>
      <c r="H13" s="98"/>
      <c r="I13" s="99"/>
    </row>
    <row r="14" spans="1:9" x14ac:dyDescent="0.3">
      <c r="A14" s="4" t="s">
        <v>457</v>
      </c>
      <c r="F14" s="98"/>
      <c r="G14" s="98"/>
      <c r="H14" s="98"/>
      <c r="I14" s="99"/>
    </row>
    <row r="15" spans="1:9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  <c r="F15" s="98"/>
      <c r="G15" s="98"/>
      <c r="H15" s="98"/>
      <c r="I15" s="99"/>
    </row>
    <row r="16" spans="1:9" x14ac:dyDescent="0.3">
      <c r="A16" s="107" t="s">
        <v>606</v>
      </c>
      <c r="B16" s="108" t="s">
        <v>463</v>
      </c>
      <c r="C16" s="109">
        <v>0.44</v>
      </c>
      <c r="D16" s="110">
        <v>2554073.83</v>
      </c>
      <c r="E16" s="110">
        <v>851357.94333333336</v>
      </c>
      <c r="F16" s="98"/>
      <c r="G16" s="98"/>
      <c r="H16" s="98"/>
      <c r="I16" s="99"/>
    </row>
    <row r="17" spans="1:36" x14ac:dyDescent="0.3">
      <c r="A17" s="107" t="s">
        <v>607</v>
      </c>
      <c r="B17" s="108" t="s">
        <v>809</v>
      </c>
      <c r="C17" s="109">
        <v>0.4</v>
      </c>
      <c r="D17" s="110">
        <v>2321885.3000000003</v>
      </c>
      <c r="E17" s="110">
        <v>580471.32500000007</v>
      </c>
      <c r="F17" s="98"/>
      <c r="G17" s="98"/>
      <c r="H17" s="98"/>
      <c r="I17" s="99"/>
    </row>
    <row r="18" spans="1:36" x14ac:dyDescent="0.3">
      <c r="A18" s="107" t="s">
        <v>608</v>
      </c>
      <c r="B18" s="108">
        <v>4</v>
      </c>
      <c r="C18" s="109">
        <v>0.16</v>
      </c>
      <c r="D18" s="110">
        <v>928754.12</v>
      </c>
      <c r="E18" s="110">
        <v>232188.53</v>
      </c>
      <c r="F18" s="98"/>
      <c r="G18" s="98"/>
      <c r="H18" s="98"/>
      <c r="I18" s="99"/>
    </row>
    <row r="19" spans="1:36" x14ac:dyDescent="0.3">
      <c r="B19" s="1" t="s">
        <v>467</v>
      </c>
      <c r="C19" s="3">
        <v>1</v>
      </c>
      <c r="D19" s="112">
        <v>5804713.2500000009</v>
      </c>
      <c r="F19" s="98"/>
      <c r="G19" s="98"/>
      <c r="H19" s="98"/>
      <c r="I19" s="99"/>
    </row>
    <row r="20" spans="1:36" x14ac:dyDescent="0.3">
      <c r="F20" s="98"/>
      <c r="G20" s="98"/>
      <c r="H20" s="98"/>
      <c r="I20" s="99"/>
    </row>
    <row r="21" spans="1:36" x14ac:dyDescent="0.3">
      <c r="A21" s="100" t="s">
        <v>769</v>
      </c>
      <c r="B21" s="769">
        <v>6211223</v>
      </c>
      <c r="F21" s="98"/>
      <c r="G21" s="98"/>
      <c r="H21" s="98"/>
      <c r="I21" s="99"/>
    </row>
    <row r="22" spans="1:36" x14ac:dyDescent="0.3">
      <c r="A22" s="714" t="s">
        <v>579</v>
      </c>
      <c r="B22" s="770">
        <v>3469260</v>
      </c>
      <c r="R22" s="115"/>
    </row>
    <row r="23" spans="1:36" x14ac:dyDescent="0.3">
      <c r="E23" s="1" t="s">
        <v>470</v>
      </c>
      <c r="F23" s="2" t="s">
        <v>642</v>
      </c>
      <c r="H23" s="1" t="s">
        <v>472</v>
      </c>
      <c r="J23" s="304">
        <v>0.42</v>
      </c>
      <c r="K23" s="304"/>
      <c r="L23" s="304"/>
    </row>
    <row r="24" spans="1:36" x14ac:dyDescent="0.3">
      <c r="E24" s="1" t="s">
        <v>473</v>
      </c>
      <c r="F24" s="2" t="s">
        <v>152</v>
      </c>
      <c r="H24" s="1" t="s">
        <v>473</v>
      </c>
      <c r="J24" s="1">
        <v>43</v>
      </c>
      <c r="K24" s="1"/>
      <c r="L24" s="1"/>
    </row>
    <row r="25" spans="1:36" x14ac:dyDescent="0.3">
      <c r="E25" s="1" t="s">
        <v>475</v>
      </c>
      <c r="F25" s="2" t="s">
        <v>810</v>
      </c>
      <c r="H25" s="1" t="s">
        <v>475</v>
      </c>
      <c r="J25" s="95">
        <v>1824</v>
      </c>
      <c r="K25" s="95"/>
      <c r="L25" s="95"/>
      <c r="Q25" s="115"/>
    </row>
    <row r="26" spans="1:36" x14ac:dyDescent="0.3">
      <c r="E26" s="1" t="s">
        <v>477</v>
      </c>
      <c r="F26" s="2" t="s">
        <v>811</v>
      </c>
      <c r="H26" s="1" t="s">
        <v>477</v>
      </c>
      <c r="J26" s="95">
        <v>63269733</v>
      </c>
      <c r="K26" s="95"/>
      <c r="L26" s="95"/>
      <c r="T26" s="116"/>
    </row>
    <row r="27" spans="1:36" ht="18" x14ac:dyDescent="0.35">
      <c r="A27" s="118" t="s">
        <v>479</v>
      </c>
      <c r="O27" s="3"/>
      <c r="P27" s="115"/>
      <c r="R27" s="3"/>
      <c r="S27" s="99"/>
    </row>
    <row r="28" spans="1:36" x14ac:dyDescent="0.3">
      <c r="O28" s="3"/>
      <c r="P28" s="99"/>
      <c r="R28" s="3"/>
      <c r="S28" s="99"/>
    </row>
    <row r="29" spans="1:36" x14ac:dyDescent="0.3">
      <c r="A29" s="2446" t="s">
        <v>480</v>
      </c>
      <c r="B29" s="2447"/>
      <c r="C29" s="2447"/>
      <c r="D29" s="2447"/>
      <c r="E29" s="2447"/>
      <c r="F29" s="2447"/>
      <c r="G29" s="2447"/>
      <c r="H29" s="2447"/>
      <c r="I29" s="2447"/>
      <c r="J29" s="2447"/>
      <c r="K29" s="2447"/>
      <c r="L29" s="2447"/>
      <c r="M29" s="2447"/>
      <c r="N29" s="2447"/>
      <c r="O29" s="2447"/>
      <c r="P29" s="2447"/>
      <c r="Q29" s="2447"/>
      <c r="R29" s="2447"/>
      <c r="S29" s="2448"/>
      <c r="T29" s="2374" t="s">
        <v>584</v>
      </c>
      <c r="U29" s="2375"/>
      <c r="V29" s="2375"/>
      <c r="W29" s="2375"/>
      <c r="X29" s="2375"/>
      <c r="Y29" s="2375"/>
      <c r="Z29" s="2375"/>
      <c r="AA29" s="2375"/>
      <c r="AB29" s="2375"/>
      <c r="AC29" s="2375"/>
      <c r="AD29" s="2375"/>
      <c r="AE29" s="2375"/>
      <c r="AF29" s="2375"/>
      <c r="AG29" s="2375"/>
      <c r="AH29" s="2375"/>
      <c r="AI29" s="2375"/>
      <c r="AJ29" s="2376"/>
    </row>
    <row r="30" spans="1:36" ht="18" x14ac:dyDescent="0.35">
      <c r="A30" s="2284" t="s">
        <v>482</v>
      </c>
      <c r="B30" s="2286" t="s">
        <v>483</v>
      </c>
      <c r="C30" s="2286" t="s">
        <v>484</v>
      </c>
      <c r="D30" s="2286" t="s">
        <v>485</v>
      </c>
      <c r="E30" s="2286" t="s">
        <v>486</v>
      </c>
      <c r="F30" s="2288" t="s">
        <v>487</v>
      </c>
      <c r="G30" s="2286" t="s">
        <v>488</v>
      </c>
      <c r="H30" s="2286" t="s">
        <v>489</v>
      </c>
      <c r="I30" s="805" t="s">
        <v>490</v>
      </c>
      <c r="J30" s="213"/>
      <c r="K30" s="213"/>
      <c r="L30" s="2473"/>
      <c r="M30" s="265" t="s">
        <v>491</v>
      </c>
      <c r="N30" s="266" t="s">
        <v>492</v>
      </c>
      <c r="O30" s="266" t="s">
        <v>812</v>
      </c>
      <c r="P30" s="267" t="s">
        <v>493</v>
      </c>
      <c r="Q30" s="266" t="s">
        <v>492</v>
      </c>
      <c r="R30" s="266" t="s">
        <v>494</v>
      </c>
      <c r="S30" s="2267" t="s">
        <v>495</v>
      </c>
      <c r="T30" s="692" t="s">
        <v>496</v>
      </c>
      <c r="U30" s="2424" t="s">
        <v>497</v>
      </c>
      <c r="V30" s="2425"/>
      <c r="W30" s="2425"/>
      <c r="X30" s="2425"/>
      <c r="Y30" s="2425"/>
      <c r="Z30" s="2418" t="s">
        <v>498</v>
      </c>
      <c r="AA30" s="2419"/>
      <c r="AB30" s="2422"/>
      <c r="AC30" s="2422"/>
      <c r="AD30" s="2422"/>
      <c r="AE30" s="2422"/>
      <c r="AF30" s="2422"/>
      <c r="AG30" s="2422"/>
      <c r="AH30" s="2422"/>
      <c r="AI30" s="2422"/>
      <c r="AJ30" s="2419"/>
    </row>
    <row r="31" spans="1:36" ht="18" x14ac:dyDescent="0.35">
      <c r="A31" s="2285"/>
      <c r="B31" s="2287"/>
      <c r="C31" s="2287"/>
      <c r="D31" s="2287"/>
      <c r="E31" s="2287"/>
      <c r="F31" s="2289"/>
      <c r="G31" s="2287"/>
      <c r="H31" s="2287"/>
      <c r="I31" s="269" t="s">
        <v>500</v>
      </c>
      <c r="J31" s="269" t="s">
        <v>501</v>
      </c>
      <c r="K31" s="269" t="s">
        <v>502</v>
      </c>
      <c r="L31" s="269" t="s">
        <v>503</v>
      </c>
      <c r="M31" s="270" t="s">
        <v>504</v>
      </c>
      <c r="N31" s="271" t="s">
        <v>505</v>
      </c>
      <c r="O31" s="271" t="s">
        <v>813</v>
      </c>
      <c r="P31" s="272" t="s">
        <v>506</v>
      </c>
      <c r="Q31" s="271" t="s">
        <v>507</v>
      </c>
      <c r="R31" s="271" t="s">
        <v>507</v>
      </c>
      <c r="S31" s="2268"/>
      <c r="T31" s="671" t="s">
        <v>508</v>
      </c>
      <c r="U31" s="2427"/>
      <c r="V31" s="2428"/>
      <c r="W31" s="2428"/>
      <c r="X31" s="2428"/>
      <c r="Y31" s="2428"/>
      <c r="Z31" s="2420"/>
      <c r="AA31" s="2421"/>
      <c r="AB31" s="2423"/>
      <c r="AC31" s="2423"/>
      <c r="AD31" s="2423"/>
      <c r="AE31" s="2423"/>
      <c r="AF31" s="2423"/>
      <c r="AG31" s="2423"/>
      <c r="AH31" s="2423"/>
      <c r="AI31" s="2423"/>
      <c r="AJ31" s="2421"/>
    </row>
    <row r="32" spans="1:36" ht="18" x14ac:dyDescent="0.35">
      <c r="A32" s="2359" t="s">
        <v>509</v>
      </c>
      <c r="B32" s="2360"/>
      <c r="C32" s="2360"/>
      <c r="D32" s="2360"/>
      <c r="E32" s="2360"/>
      <c r="F32" s="2360"/>
      <c r="G32" s="2360"/>
      <c r="H32" s="2360"/>
      <c r="I32" s="2360"/>
      <c r="J32" s="2360"/>
      <c r="K32" s="2360"/>
      <c r="L32" s="2360"/>
      <c r="M32" s="2360"/>
      <c r="N32" s="2360"/>
      <c r="O32" s="2360"/>
      <c r="P32" s="2360"/>
      <c r="Q32" s="2360"/>
      <c r="R32" s="2360"/>
      <c r="S32" s="2360"/>
      <c r="T32" s="771"/>
      <c r="U32" s="719" t="s">
        <v>510</v>
      </c>
      <c r="V32" s="717" t="s">
        <v>11</v>
      </c>
      <c r="W32" s="717" t="s">
        <v>511</v>
      </c>
      <c r="X32" s="717" t="s">
        <v>512</v>
      </c>
      <c r="Y32" s="718" t="s">
        <v>513</v>
      </c>
      <c r="Z32" s="719" t="s">
        <v>514</v>
      </c>
      <c r="AA32" s="718" t="s">
        <v>515</v>
      </c>
      <c r="AB32" s="719" t="s">
        <v>0</v>
      </c>
      <c r="AC32" s="717" t="s">
        <v>4</v>
      </c>
      <c r="AD32" s="717" t="s">
        <v>2</v>
      </c>
      <c r="AE32" s="717" t="s">
        <v>153</v>
      </c>
      <c r="AF32" s="717" t="s">
        <v>154</v>
      </c>
      <c r="AG32" s="717" t="s">
        <v>155</v>
      </c>
      <c r="AH32" s="717" t="s">
        <v>156</v>
      </c>
      <c r="AI32" s="717" t="s">
        <v>5</v>
      </c>
      <c r="AJ32" s="718" t="s">
        <v>814</v>
      </c>
    </row>
    <row r="33" spans="1:36" x14ac:dyDescent="0.3">
      <c r="A33" s="154"/>
      <c r="B33" s="462"/>
      <c r="C33" s="462"/>
      <c r="D33" s="462"/>
      <c r="E33" s="462"/>
      <c r="F33" s="463"/>
      <c r="G33" s="462"/>
      <c r="H33" s="462"/>
      <c r="I33" s="464"/>
      <c r="J33" s="465"/>
      <c r="K33" s="465"/>
      <c r="L33" s="466"/>
      <c r="M33" s="467"/>
      <c r="N33" s="468"/>
      <c r="O33" s="468"/>
      <c r="P33" s="469"/>
      <c r="Q33" s="468"/>
      <c r="R33" s="468"/>
      <c r="S33" s="501"/>
      <c r="T33" s="149"/>
      <c r="U33" s="280"/>
      <c r="Y33" s="152"/>
      <c r="Z33" s="280"/>
      <c r="AA33" s="152"/>
      <c r="AB33" s="280"/>
      <c r="AC33" s="172"/>
      <c r="AD33" s="172"/>
      <c r="AE33" s="154"/>
      <c r="AF33" s="154"/>
      <c r="AG33" s="154"/>
      <c r="AH33" s="154"/>
      <c r="AI33" s="154"/>
      <c r="AJ33" s="152"/>
    </row>
    <row r="34" spans="1:36" x14ac:dyDescent="0.3">
      <c r="A34" s="157"/>
      <c r="B34" s="157"/>
      <c r="C34" s="157"/>
      <c r="D34" s="157"/>
      <c r="E34" s="157"/>
      <c r="F34" s="158"/>
      <c r="G34" s="157"/>
      <c r="H34" s="157"/>
      <c r="I34" s="188"/>
      <c r="L34" s="286"/>
      <c r="M34" s="163"/>
      <c r="N34" s="166"/>
      <c r="O34" s="166"/>
      <c r="P34" s="173"/>
      <c r="Q34" s="166"/>
      <c r="R34" s="166"/>
      <c r="S34" s="6"/>
      <c r="T34" s="168"/>
      <c r="U34" s="280"/>
      <c r="X34" s="169"/>
      <c r="Y34" s="152"/>
      <c r="Z34" s="280"/>
      <c r="AA34" s="152"/>
      <c r="AB34" s="280"/>
      <c r="AC34" s="172"/>
      <c r="AD34" s="172"/>
      <c r="AE34" s="172"/>
      <c r="AF34" s="172"/>
      <c r="AG34" s="172"/>
      <c r="AH34" s="172"/>
      <c r="AI34" s="172"/>
      <c r="AJ34" s="152"/>
    </row>
    <row r="35" spans="1:36" x14ac:dyDescent="0.3">
      <c r="A35" s="157" t="s">
        <v>815</v>
      </c>
      <c r="B35" s="157" t="s">
        <v>157</v>
      </c>
      <c r="C35" s="157" t="s">
        <v>695</v>
      </c>
      <c r="D35" s="157" t="s">
        <v>433</v>
      </c>
      <c r="E35" s="157" t="s">
        <v>520</v>
      </c>
      <c r="F35" s="157" t="s">
        <v>816</v>
      </c>
      <c r="G35" s="1">
        <v>50</v>
      </c>
      <c r="H35" s="157" t="s">
        <v>22</v>
      </c>
      <c r="I35" s="188"/>
      <c r="J35" s="806">
        <v>50</v>
      </c>
      <c r="K35" s="807">
        <v>50</v>
      </c>
      <c r="L35" s="286"/>
      <c r="M35" s="163">
        <v>2</v>
      </c>
      <c r="N35" s="166">
        <v>1398.6</v>
      </c>
      <c r="O35" s="166">
        <f>N35*M35*G35</f>
        <v>139860</v>
      </c>
      <c r="P35" s="165">
        <v>0.7</v>
      </c>
      <c r="Q35" s="186">
        <f t="shared" ref="Q35:Q49" si="0">N35*(1-P35)</f>
        <v>419.58000000000004</v>
      </c>
      <c r="R35" s="166">
        <f>Q35*M35*G35</f>
        <v>41958.000000000007</v>
      </c>
      <c r="S35" s="178">
        <f t="shared" ref="S35:S49" si="1">R35/$R$57</f>
        <v>4.9438062972436733E-2</v>
      </c>
      <c r="T35" s="168">
        <f t="shared" ref="T35:T49" si="2">R35*2</f>
        <v>83916.000000000015</v>
      </c>
      <c r="U35" s="280"/>
      <c r="V35" s="169">
        <f>T35</f>
        <v>83916.000000000015</v>
      </c>
      <c r="Y35" s="152"/>
      <c r="Z35" s="282"/>
      <c r="AA35" s="171">
        <f>T35</f>
        <v>83916.000000000015</v>
      </c>
      <c r="AB35" s="282">
        <f>T35</f>
        <v>83916.000000000015</v>
      </c>
      <c r="AC35" s="172"/>
      <c r="AD35" s="172"/>
      <c r="AE35" s="174"/>
      <c r="AF35" s="172"/>
      <c r="AG35" s="172"/>
      <c r="AH35" s="172"/>
      <c r="AI35" s="172"/>
      <c r="AJ35" s="152"/>
    </row>
    <row r="36" spans="1:36" x14ac:dyDescent="0.3">
      <c r="A36" s="157" t="s">
        <v>815</v>
      </c>
      <c r="B36" s="157" t="s">
        <v>141</v>
      </c>
      <c r="C36" s="157" t="s">
        <v>817</v>
      </c>
      <c r="D36" s="157" t="s">
        <v>434</v>
      </c>
      <c r="E36" s="157" t="s">
        <v>518</v>
      </c>
      <c r="F36" s="808" t="s">
        <v>818</v>
      </c>
      <c r="G36" s="1">
        <v>1</v>
      </c>
      <c r="H36" s="157" t="s">
        <v>22</v>
      </c>
      <c r="I36" s="474"/>
      <c r="K36" s="726">
        <v>1</v>
      </c>
      <c r="L36" s="286"/>
      <c r="M36" s="163">
        <v>1</v>
      </c>
      <c r="N36" s="473">
        <v>396000</v>
      </c>
      <c r="O36" s="166">
        <f t="shared" ref="O36:O49" si="3">N36*M36*G36</f>
        <v>396000</v>
      </c>
      <c r="P36" s="165">
        <v>0.76</v>
      </c>
      <c r="Q36" s="186">
        <f t="shared" si="0"/>
        <v>95040</v>
      </c>
      <c r="R36" s="166">
        <f t="shared" ref="R36:R49" si="4">Q36*M36*G36</f>
        <v>95040</v>
      </c>
      <c r="S36" s="167">
        <f t="shared" si="1"/>
        <v>0.11198325718338306</v>
      </c>
      <c r="T36" s="168">
        <f t="shared" si="2"/>
        <v>190080</v>
      </c>
      <c r="U36" s="282">
        <f>T36</f>
        <v>190080</v>
      </c>
      <c r="Y36" s="152"/>
      <c r="Z36" s="282">
        <f>T36</f>
        <v>190080</v>
      </c>
      <c r="AA36" s="171"/>
      <c r="AB36" s="280"/>
      <c r="AC36" s="174">
        <f>R36</f>
        <v>95040</v>
      </c>
      <c r="AD36" s="172"/>
      <c r="AE36" s="172"/>
      <c r="AF36" s="172"/>
      <c r="AG36" s="172"/>
      <c r="AH36" s="172"/>
      <c r="AI36" s="172"/>
      <c r="AJ36" s="152"/>
    </row>
    <row r="37" spans="1:36" x14ac:dyDescent="0.3">
      <c r="A37" s="157" t="s">
        <v>815</v>
      </c>
      <c r="B37" s="157" t="s">
        <v>141</v>
      </c>
      <c r="C37" s="157" t="s">
        <v>817</v>
      </c>
      <c r="D37" s="157" t="s">
        <v>435</v>
      </c>
      <c r="E37" s="157" t="s">
        <v>518</v>
      </c>
      <c r="F37" s="157" t="s">
        <v>818</v>
      </c>
      <c r="G37" s="157">
        <v>1</v>
      </c>
      <c r="H37" s="157" t="s">
        <v>22</v>
      </c>
      <c r="I37" s="474"/>
      <c r="J37" s="726">
        <v>1</v>
      </c>
      <c r="L37" s="286"/>
      <c r="M37" s="163">
        <v>1</v>
      </c>
      <c r="N37" s="166">
        <v>633000</v>
      </c>
      <c r="O37" s="166">
        <f t="shared" si="3"/>
        <v>633000</v>
      </c>
      <c r="P37" s="173">
        <v>0.76</v>
      </c>
      <c r="Q37" s="166">
        <f t="shared" si="0"/>
        <v>151920</v>
      </c>
      <c r="R37" s="166">
        <f t="shared" si="4"/>
        <v>151920</v>
      </c>
      <c r="S37" s="167">
        <f t="shared" si="1"/>
        <v>0.17900353989161991</v>
      </c>
      <c r="T37" s="168">
        <f t="shared" si="2"/>
        <v>303840</v>
      </c>
      <c r="U37" s="282">
        <f>T37</f>
        <v>303840</v>
      </c>
      <c r="Y37" s="152"/>
      <c r="Z37" s="282">
        <f t="shared" ref="Z37:Z40" si="5">T37</f>
        <v>303840</v>
      </c>
      <c r="AA37" s="171"/>
      <c r="AB37" s="280"/>
      <c r="AC37" s="174">
        <f>R37</f>
        <v>151920</v>
      </c>
      <c r="AD37" s="174"/>
      <c r="AE37" s="174"/>
      <c r="AF37" s="172"/>
      <c r="AG37" s="172"/>
      <c r="AH37" s="172"/>
      <c r="AI37" s="172"/>
      <c r="AJ37" s="152"/>
    </row>
    <row r="38" spans="1:36" x14ac:dyDescent="0.3">
      <c r="A38" s="157" t="s">
        <v>815</v>
      </c>
      <c r="B38" s="157" t="s">
        <v>141</v>
      </c>
      <c r="C38" s="157" t="s">
        <v>819</v>
      </c>
      <c r="D38" s="157" t="s">
        <v>142</v>
      </c>
      <c r="E38" s="157" t="s">
        <v>518</v>
      </c>
      <c r="F38" s="157" t="s">
        <v>779</v>
      </c>
      <c r="G38" s="1">
        <v>25</v>
      </c>
      <c r="H38" s="157" t="s">
        <v>22</v>
      </c>
      <c r="I38" s="474"/>
      <c r="L38" s="809">
        <v>25</v>
      </c>
      <c r="M38" s="163">
        <v>1</v>
      </c>
      <c r="N38" s="166">
        <v>26400</v>
      </c>
      <c r="O38" s="166">
        <f t="shared" si="3"/>
        <v>660000</v>
      </c>
      <c r="P38" s="173">
        <v>0.76</v>
      </c>
      <c r="Q38" s="186">
        <f t="shared" si="0"/>
        <v>6336</v>
      </c>
      <c r="R38" s="166">
        <f t="shared" si="4"/>
        <v>158400</v>
      </c>
      <c r="S38" s="167">
        <f t="shared" si="1"/>
        <v>0.18663876197230511</v>
      </c>
      <c r="T38" s="168">
        <f t="shared" si="2"/>
        <v>316800</v>
      </c>
      <c r="U38" s="280"/>
      <c r="V38" s="169">
        <f>T38</f>
        <v>316800</v>
      </c>
      <c r="Y38" s="152"/>
      <c r="Z38" s="282">
        <f t="shared" si="5"/>
        <v>316800</v>
      </c>
      <c r="AA38" s="171"/>
      <c r="AB38" s="280"/>
      <c r="AC38" s="174">
        <f>T38</f>
        <v>316800</v>
      </c>
      <c r="AD38" s="172"/>
      <c r="AE38" s="172"/>
      <c r="AF38" s="172"/>
      <c r="AG38" s="172"/>
      <c r="AH38" s="172"/>
      <c r="AI38" s="172"/>
      <c r="AJ38" s="152"/>
    </row>
    <row r="39" spans="1:36" x14ac:dyDescent="0.3">
      <c r="A39" s="157" t="s">
        <v>815</v>
      </c>
      <c r="B39" s="157" t="s">
        <v>99</v>
      </c>
      <c r="C39" s="157" t="s">
        <v>695</v>
      </c>
      <c r="D39" s="810" t="s">
        <v>820</v>
      </c>
      <c r="E39" s="157" t="s">
        <v>518</v>
      </c>
      <c r="F39" s="157">
        <v>16</v>
      </c>
      <c r="G39" s="1">
        <v>1</v>
      </c>
      <c r="H39" s="157" t="s">
        <v>22</v>
      </c>
      <c r="I39" s="175">
        <v>16</v>
      </c>
      <c r="L39" s="286"/>
      <c r="M39" s="163">
        <v>1</v>
      </c>
      <c r="N39" s="166">
        <v>67000</v>
      </c>
      <c r="O39" s="166">
        <f t="shared" si="3"/>
        <v>67000</v>
      </c>
      <c r="P39" s="173">
        <v>0.85</v>
      </c>
      <c r="Q39" s="186">
        <f t="shared" si="0"/>
        <v>10050.000000000002</v>
      </c>
      <c r="R39" s="166">
        <f t="shared" si="4"/>
        <v>10050.000000000002</v>
      </c>
      <c r="S39" s="167">
        <f t="shared" si="1"/>
        <v>1.1841663875136785E-2</v>
      </c>
      <c r="T39" s="168">
        <f t="shared" si="2"/>
        <v>20100.000000000004</v>
      </c>
      <c r="U39" s="280"/>
      <c r="V39" s="169">
        <f>T39</f>
        <v>20100.000000000004</v>
      </c>
      <c r="Y39" s="152"/>
      <c r="Z39" s="282">
        <f t="shared" si="5"/>
        <v>20100.000000000004</v>
      </c>
      <c r="AA39" s="171"/>
      <c r="AB39" s="280"/>
      <c r="AC39" s="172"/>
      <c r="AD39" s="174">
        <f>T39</f>
        <v>20100.000000000004</v>
      </c>
      <c r="AE39" s="172"/>
      <c r="AF39" s="172"/>
      <c r="AG39" s="172"/>
      <c r="AH39" s="172"/>
      <c r="AI39" s="172"/>
      <c r="AJ39" s="152"/>
    </row>
    <row r="40" spans="1:36" x14ac:dyDescent="0.3">
      <c r="A40" s="157" t="s">
        <v>815</v>
      </c>
      <c r="B40" s="157" t="s">
        <v>99</v>
      </c>
      <c r="C40" s="157" t="s">
        <v>695</v>
      </c>
      <c r="D40" s="810" t="s">
        <v>821</v>
      </c>
      <c r="E40" s="157" t="s">
        <v>518</v>
      </c>
      <c r="F40" s="157">
        <v>16</v>
      </c>
      <c r="G40" s="1">
        <v>1</v>
      </c>
      <c r="H40" s="157" t="s">
        <v>22</v>
      </c>
      <c r="I40" s="188"/>
      <c r="J40" s="1"/>
      <c r="L40" s="727">
        <v>16</v>
      </c>
      <c r="M40" s="163">
        <v>1</v>
      </c>
      <c r="N40" s="166">
        <v>189142</v>
      </c>
      <c r="O40" s="166">
        <f t="shared" si="3"/>
        <v>189142</v>
      </c>
      <c r="P40" s="173">
        <v>0.85</v>
      </c>
      <c r="Q40" s="186">
        <f t="shared" si="0"/>
        <v>28371.300000000003</v>
      </c>
      <c r="R40" s="166">
        <f t="shared" si="4"/>
        <v>28371.300000000003</v>
      </c>
      <c r="S40" s="167">
        <f t="shared" si="1"/>
        <v>3.3429193860763005E-2</v>
      </c>
      <c r="T40" s="168">
        <f t="shared" si="2"/>
        <v>56742.600000000006</v>
      </c>
      <c r="U40" s="280"/>
      <c r="V40" s="169">
        <f>T40</f>
        <v>56742.600000000006</v>
      </c>
      <c r="Y40" s="152"/>
      <c r="Z40" s="282">
        <f t="shared" si="5"/>
        <v>56742.600000000006</v>
      </c>
      <c r="AA40" s="171"/>
      <c r="AB40" s="280"/>
      <c r="AC40" s="172"/>
      <c r="AD40" s="174">
        <f>T40</f>
        <v>56742.600000000006</v>
      </c>
      <c r="AE40" s="172"/>
      <c r="AF40" s="172"/>
      <c r="AG40" s="172"/>
      <c r="AH40" s="172"/>
      <c r="AI40" s="172"/>
      <c r="AJ40" s="152"/>
    </row>
    <row r="41" spans="1:36" x14ac:dyDescent="0.3">
      <c r="A41" s="157" t="s">
        <v>815</v>
      </c>
      <c r="B41" s="157" t="s">
        <v>99</v>
      </c>
      <c r="C41" s="157" t="s">
        <v>695</v>
      </c>
      <c r="D41" s="810" t="s">
        <v>822</v>
      </c>
      <c r="E41" s="157" t="s">
        <v>520</v>
      </c>
      <c r="F41" s="157">
        <v>28</v>
      </c>
      <c r="G41" s="1">
        <v>1</v>
      </c>
      <c r="H41" s="157" t="s">
        <v>22</v>
      </c>
      <c r="I41" s="188"/>
      <c r="J41" s="811">
        <v>28</v>
      </c>
      <c r="K41" s="812"/>
      <c r="L41" s="286"/>
      <c r="M41" s="163">
        <v>1</v>
      </c>
      <c r="N41" s="166">
        <v>67000</v>
      </c>
      <c r="O41" s="166">
        <f t="shared" si="3"/>
        <v>67000</v>
      </c>
      <c r="P41" s="173">
        <v>0.85</v>
      </c>
      <c r="Q41" s="186">
        <f t="shared" si="0"/>
        <v>10050.000000000002</v>
      </c>
      <c r="R41" s="166">
        <f t="shared" si="4"/>
        <v>10050.000000000002</v>
      </c>
      <c r="S41" s="178">
        <f t="shared" si="1"/>
        <v>1.1841663875136785E-2</v>
      </c>
      <c r="T41" s="168">
        <f t="shared" si="2"/>
        <v>20100.000000000004</v>
      </c>
      <c r="U41" s="280"/>
      <c r="V41" s="169">
        <f>T41</f>
        <v>20100.000000000004</v>
      </c>
      <c r="Y41" s="152"/>
      <c r="Z41" s="282"/>
      <c r="AA41" s="171">
        <f t="shared" ref="AA41:AA46" si="6">T41</f>
        <v>20100.000000000004</v>
      </c>
      <c r="AB41" s="280"/>
      <c r="AC41" s="172"/>
      <c r="AD41" s="174">
        <f>T41</f>
        <v>20100.000000000004</v>
      </c>
      <c r="AE41" s="172"/>
      <c r="AF41" s="172"/>
      <c r="AG41" s="172"/>
      <c r="AH41" s="172"/>
      <c r="AI41" s="172"/>
      <c r="AJ41" s="152"/>
    </row>
    <row r="42" spans="1:36" x14ac:dyDescent="0.3">
      <c r="A42" s="157" t="s">
        <v>815</v>
      </c>
      <c r="B42" s="157" t="s">
        <v>99</v>
      </c>
      <c r="C42" s="157" t="s">
        <v>695</v>
      </c>
      <c r="D42" s="810" t="s">
        <v>439</v>
      </c>
      <c r="E42" s="157" t="s">
        <v>520</v>
      </c>
      <c r="F42" s="157">
        <v>100</v>
      </c>
      <c r="G42" s="1">
        <v>100</v>
      </c>
      <c r="H42" s="157" t="s">
        <v>22</v>
      </c>
      <c r="I42" s="188"/>
      <c r="J42" s="813"/>
      <c r="K42" s="811">
        <v>100</v>
      </c>
      <c r="L42" s="286"/>
      <c r="M42" s="163">
        <v>1</v>
      </c>
      <c r="N42" s="166">
        <v>4427</v>
      </c>
      <c r="O42" s="166">
        <f t="shared" si="3"/>
        <v>442700</v>
      </c>
      <c r="P42" s="173">
        <v>0.85</v>
      </c>
      <c r="Q42" s="186">
        <f t="shared" si="0"/>
        <v>664.05000000000007</v>
      </c>
      <c r="R42" s="166">
        <f t="shared" si="4"/>
        <v>66405</v>
      </c>
      <c r="S42" s="178">
        <f t="shared" si="1"/>
        <v>7.8243352201836619E-2</v>
      </c>
      <c r="T42" s="168">
        <f t="shared" si="2"/>
        <v>132810</v>
      </c>
      <c r="U42" s="282">
        <f>T42</f>
        <v>132810</v>
      </c>
      <c r="V42" s="169"/>
      <c r="Y42" s="152"/>
      <c r="Z42" s="282"/>
      <c r="AA42" s="171">
        <f t="shared" si="6"/>
        <v>132810</v>
      </c>
      <c r="AB42" s="280"/>
      <c r="AC42" s="172"/>
      <c r="AD42" s="174">
        <f>T42</f>
        <v>132810</v>
      </c>
      <c r="AE42" s="172"/>
      <c r="AF42" s="172"/>
      <c r="AG42" s="172"/>
      <c r="AH42" s="172"/>
      <c r="AI42" s="172"/>
      <c r="AJ42" s="152"/>
    </row>
    <row r="43" spans="1:36" x14ac:dyDescent="0.3">
      <c r="A43" s="157" t="s">
        <v>815</v>
      </c>
      <c r="B43" s="157" t="s">
        <v>440</v>
      </c>
      <c r="C43" s="157" t="s">
        <v>696</v>
      </c>
      <c r="D43" s="814" t="s">
        <v>441</v>
      </c>
      <c r="E43" s="157" t="s">
        <v>520</v>
      </c>
      <c r="F43" s="157" t="s">
        <v>823</v>
      </c>
      <c r="G43" s="1">
        <v>20</v>
      </c>
      <c r="H43" s="157" t="s">
        <v>63</v>
      </c>
      <c r="I43" s="159">
        <v>20</v>
      </c>
      <c r="J43" s="161"/>
      <c r="L43" s="286"/>
      <c r="M43" s="163">
        <v>1</v>
      </c>
      <c r="N43" s="166">
        <v>2300</v>
      </c>
      <c r="O43" s="166">
        <f t="shared" si="3"/>
        <v>46000</v>
      </c>
      <c r="P43" s="173">
        <v>0.5</v>
      </c>
      <c r="Q43" s="186">
        <f t="shared" si="0"/>
        <v>1150</v>
      </c>
      <c r="R43" s="166">
        <f t="shared" si="4"/>
        <v>23000</v>
      </c>
      <c r="S43" s="178">
        <f t="shared" si="1"/>
        <v>2.7100325286382686E-2</v>
      </c>
      <c r="T43" s="168">
        <f t="shared" si="2"/>
        <v>46000</v>
      </c>
      <c r="U43" s="282">
        <f>T43</f>
        <v>46000</v>
      </c>
      <c r="Y43" s="152"/>
      <c r="Z43" s="282"/>
      <c r="AA43" s="171">
        <f t="shared" si="6"/>
        <v>46000</v>
      </c>
      <c r="AB43" s="280"/>
      <c r="AC43" s="172"/>
      <c r="AD43" s="172"/>
      <c r="AE43" s="174">
        <f>T43</f>
        <v>46000</v>
      </c>
      <c r="AF43" s="172"/>
      <c r="AG43" s="172"/>
      <c r="AH43" s="172"/>
      <c r="AI43" s="172"/>
      <c r="AJ43" s="152"/>
    </row>
    <row r="44" spans="1:36" x14ac:dyDescent="0.3">
      <c r="A44" s="157" t="s">
        <v>815</v>
      </c>
      <c r="B44" s="157" t="s">
        <v>440</v>
      </c>
      <c r="C44" s="157" t="s">
        <v>696</v>
      </c>
      <c r="D44" s="157" t="s">
        <v>442</v>
      </c>
      <c r="E44" s="157" t="s">
        <v>520</v>
      </c>
      <c r="F44" s="157" t="s">
        <v>823</v>
      </c>
      <c r="G44" s="1">
        <v>20</v>
      </c>
      <c r="H44" s="157" t="s">
        <v>63</v>
      </c>
      <c r="I44" s="175">
        <v>20</v>
      </c>
      <c r="J44" s="176"/>
      <c r="L44" s="162"/>
      <c r="M44" s="163">
        <v>1</v>
      </c>
      <c r="N44" s="166">
        <v>2300</v>
      </c>
      <c r="O44" s="166">
        <f t="shared" si="3"/>
        <v>46000</v>
      </c>
      <c r="P44" s="173">
        <v>0.5</v>
      </c>
      <c r="Q44" s="186">
        <f t="shared" si="0"/>
        <v>1150</v>
      </c>
      <c r="R44" s="166">
        <f t="shared" si="4"/>
        <v>23000</v>
      </c>
      <c r="S44" s="178">
        <f t="shared" si="1"/>
        <v>2.7100325286382686E-2</v>
      </c>
      <c r="T44" s="168">
        <f t="shared" si="2"/>
        <v>46000</v>
      </c>
      <c r="U44" s="282">
        <f>T44</f>
        <v>46000</v>
      </c>
      <c r="Y44" s="152"/>
      <c r="Z44" s="282"/>
      <c r="AA44" s="171">
        <f t="shared" si="6"/>
        <v>46000</v>
      </c>
      <c r="AB44" s="280"/>
      <c r="AC44" s="172"/>
      <c r="AD44" s="172"/>
      <c r="AE44" s="174">
        <f>T44</f>
        <v>46000</v>
      </c>
      <c r="AF44" s="172"/>
      <c r="AG44" s="172"/>
      <c r="AH44" s="172"/>
      <c r="AI44" s="172"/>
      <c r="AJ44" s="152"/>
    </row>
    <row r="45" spans="1:36" x14ac:dyDescent="0.3">
      <c r="A45" s="157" t="s">
        <v>815</v>
      </c>
      <c r="B45" s="157" t="s">
        <v>443</v>
      </c>
      <c r="C45" s="157" t="s">
        <v>817</v>
      </c>
      <c r="D45" s="157" t="s">
        <v>26</v>
      </c>
      <c r="E45" s="157" t="s">
        <v>520</v>
      </c>
      <c r="F45" s="808" t="s">
        <v>824</v>
      </c>
      <c r="G45" s="1">
        <v>4</v>
      </c>
      <c r="H45" s="157" t="s">
        <v>24</v>
      </c>
      <c r="I45" s="175">
        <v>4</v>
      </c>
      <c r="J45" s="176"/>
      <c r="K45" s="176"/>
      <c r="L45" s="177"/>
      <c r="M45" s="163">
        <v>1</v>
      </c>
      <c r="N45" s="166">
        <v>8500</v>
      </c>
      <c r="O45" s="166">
        <f t="shared" si="3"/>
        <v>34000</v>
      </c>
      <c r="P45" s="173">
        <v>0.35</v>
      </c>
      <c r="Q45" s="186">
        <f t="shared" si="0"/>
        <v>5525</v>
      </c>
      <c r="R45" s="166">
        <f t="shared" si="4"/>
        <v>22100</v>
      </c>
      <c r="S45" s="178">
        <f t="shared" si="1"/>
        <v>2.6039877775176409E-2</v>
      </c>
      <c r="T45" s="168">
        <f t="shared" si="2"/>
        <v>44200</v>
      </c>
      <c r="U45" s="282">
        <f>T45</f>
        <v>44200</v>
      </c>
      <c r="Y45" s="152"/>
      <c r="Z45" s="282"/>
      <c r="AA45" s="171">
        <f t="shared" si="6"/>
        <v>44200</v>
      </c>
      <c r="AB45" s="280"/>
      <c r="AC45" s="172"/>
      <c r="AD45" s="172"/>
      <c r="AE45" s="172"/>
      <c r="AF45" s="174">
        <f>T45</f>
        <v>44200</v>
      </c>
      <c r="AG45" s="172"/>
      <c r="AH45" s="172"/>
      <c r="AI45" s="172"/>
      <c r="AJ45" s="152"/>
    </row>
    <row r="46" spans="1:36" x14ac:dyDescent="0.3">
      <c r="A46" s="157" t="s">
        <v>815</v>
      </c>
      <c r="B46" s="157" t="s">
        <v>444</v>
      </c>
      <c r="C46" s="157" t="s">
        <v>817</v>
      </c>
      <c r="D46" s="157" t="s">
        <v>445</v>
      </c>
      <c r="E46" s="157" t="s">
        <v>524</v>
      </c>
      <c r="F46" s="157" t="s">
        <v>818</v>
      </c>
      <c r="G46" s="1">
        <v>1</v>
      </c>
      <c r="H46" s="157" t="s">
        <v>24</v>
      </c>
      <c r="I46" s="175">
        <v>1</v>
      </c>
      <c r="J46" s="688"/>
      <c r="K46" s="773">
        <v>1</v>
      </c>
      <c r="L46" s="177"/>
      <c r="M46" s="163">
        <v>2</v>
      </c>
      <c r="N46" s="166">
        <v>65200</v>
      </c>
      <c r="O46" s="166">
        <f t="shared" si="3"/>
        <v>130400</v>
      </c>
      <c r="P46" s="173">
        <v>0.49</v>
      </c>
      <c r="Q46" s="186">
        <f t="shared" si="0"/>
        <v>33252</v>
      </c>
      <c r="R46" s="166">
        <f t="shared" si="4"/>
        <v>66504</v>
      </c>
      <c r="S46" s="178">
        <f t="shared" si="1"/>
        <v>7.8360001428069315E-2</v>
      </c>
      <c r="T46" s="168">
        <f t="shared" si="2"/>
        <v>133008</v>
      </c>
      <c r="U46" s="282"/>
      <c r="V46" s="169">
        <f>T46</f>
        <v>133008</v>
      </c>
      <c r="Y46" s="152"/>
      <c r="Z46" s="282"/>
      <c r="AA46" s="171">
        <f t="shared" si="6"/>
        <v>133008</v>
      </c>
      <c r="AB46" s="280"/>
      <c r="AC46" s="172"/>
      <c r="AD46" s="172"/>
      <c r="AE46" s="172"/>
      <c r="AF46" s="172"/>
      <c r="AG46" s="174">
        <f>T46</f>
        <v>133008</v>
      </c>
      <c r="AH46" s="172"/>
      <c r="AI46" s="172"/>
      <c r="AJ46" s="152"/>
    </row>
    <row r="47" spans="1:36" x14ac:dyDescent="0.3">
      <c r="A47" s="157" t="s">
        <v>815</v>
      </c>
      <c r="B47" s="157" t="s">
        <v>158</v>
      </c>
      <c r="C47" s="157" t="s">
        <v>695</v>
      </c>
      <c r="D47" s="157" t="s">
        <v>446</v>
      </c>
      <c r="E47" s="157" t="s">
        <v>518</v>
      </c>
      <c r="F47" s="157">
        <v>88</v>
      </c>
      <c r="G47" s="1">
        <v>1</v>
      </c>
      <c r="H47" s="157" t="s">
        <v>22</v>
      </c>
      <c r="K47" s="176">
        <v>88</v>
      </c>
      <c r="L47" s="286"/>
      <c r="M47" s="157">
        <v>1</v>
      </c>
      <c r="N47" s="166">
        <v>338800</v>
      </c>
      <c r="O47" s="166">
        <f t="shared" si="3"/>
        <v>338800</v>
      </c>
      <c r="P47" s="815">
        <v>0.75</v>
      </c>
      <c r="Q47" s="186">
        <f t="shared" si="0"/>
        <v>84700</v>
      </c>
      <c r="R47" s="166">
        <f t="shared" si="4"/>
        <v>84700</v>
      </c>
      <c r="S47" s="167">
        <f t="shared" si="1"/>
        <v>9.9799893554635366E-2</v>
      </c>
      <c r="T47" s="168">
        <f t="shared" si="2"/>
        <v>169400</v>
      </c>
      <c r="U47" s="282">
        <f>T47</f>
        <v>169400</v>
      </c>
      <c r="V47" s="169"/>
      <c r="Y47" s="152"/>
      <c r="Z47" s="282">
        <f t="shared" ref="Z47:Z49" si="7">T47</f>
        <v>169400</v>
      </c>
      <c r="AA47" s="171"/>
      <c r="AB47" s="280"/>
      <c r="AC47" s="172"/>
      <c r="AD47" s="172"/>
      <c r="AE47" s="172"/>
      <c r="AF47" s="172"/>
      <c r="AG47" s="172"/>
      <c r="AH47" s="174">
        <f>T47</f>
        <v>169400</v>
      </c>
      <c r="AI47" s="172"/>
      <c r="AJ47" s="152"/>
    </row>
    <row r="48" spans="1:36" x14ac:dyDescent="0.3">
      <c r="A48" s="157" t="s">
        <v>815</v>
      </c>
      <c r="B48" s="157" t="s">
        <v>108</v>
      </c>
      <c r="C48" s="157" t="s">
        <v>696</v>
      </c>
      <c r="D48" s="157" t="s">
        <v>448</v>
      </c>
      <c r="E48" s="157" t="s">
        <v>518</v>
      </c>
      <c r="F48" s="808" t="s">
        <v>825</v>
      </c>
      <c r="G48" s="1">
        <v>1</v>
      </c>
      <c r="H48" s="157" t="s">
        <v>63</v>
      </c>
      <c r="I48" s="159">
        <v>1</v>
      </c>
      <c r="J48" s="806"/>
      <c r="K48" s="161">
        <v>1</v>
      </c>
      <c r="L48" s="2209"/>
      <c r="M48" s="157">
        <v>2</v>
      </c>
      <c r="N48" s="166">
        <v>12000</v>
      </c>
      <c r="O48" s="166">
        <f t="shared" si="3"/>
        <v>24000</v>
      </c>
      <c r="P48" s="173">
        <v>0.3</v>
      </c>
      <c r="Q48" s="186">
        <f t="shared" si="0"/>
        <v>8400</v>
      </c>
      <c r="R48" s="166">
        <f t="shared" si="4"/>
        <v>16800</v>
      </c>
      <c r="S48" s="167">
        <f t="shared" si="1"/>
        <v>1.9795020209183875E-2</v>
      </c>
      <c r="T48" s="168">
        <f t="shared" si="2"/>
        <v>33600</v>
      </c>
      <c r="U48" s="282">
        <f>T48</f>
        <v>33600</v>
      </c>
      <c r="Y48" s="152"/>
      <c r="Z48" s="282">
        <f t="shared" si="7"/>
        <v>33600</v>
      </c>
      <c r="AA48" s="171"/>
      <c r="AB48" s="280"/>
      <c r="AC48" s="172"/>
      <c r="AD48" s="172"/>
      <c r="AE48" s="172"/>
      <c r="AF48" s="172"/>
      <c r="AG48" s="172"/>
      <c r="AH48" s="172"/>
      <c r="AI48" s="174">
        <f>T48</f>
        <v>33600</v>
      </c>
      <c r="AJ48" s="152"/>
    </row>
    <row r="49" spans="1:36" x14ac:dyDescent="0.3">
      <c r="A49" s="157" t="s">
        <v>815</v>
      </c>
      <c r="B49" s="157" t="s">
        <v>108</v>
      </c>
      <c r="C49" s="157" t="s">
        <v>696</v>
      </c>
      <c r="D49" s="157" t="s">
        <v>449</v>
      </c>
      <c r="E49" s="157" t="s">
        <v>518</v>
      </c>
      <c r="F49" s="157" t="s">
        <v>825</v>
      </c>
      <c r="G49" s="1">
        <v>1</v>
      </c>
      <c r="H49" s="157" t="s">
        <v>63</v>
      </c>
      <c r="I49" s="159">
        <v>1</v>
      </c>
      <c r="J49" s="806"/>
      <c r="K49" s="161">
        <v>1</v>
      </c>
      <c r="L49" s="2209"/>
      <c r="M49" s="157">
        <v>2</v>
      </c>
      <c r="N49" s="166">
        <v>36000</v>
      </c>
      <c r="O49" s="166">
        <f t="shared" si="3"/>
        <v>72000</v>
      </c>
      <c r="P49" s="173">
        <v>0.3</v>
      </c>
      <c r="Q49" s="186">
        <f t="shared" si="0"/>
        <v>25200</v>
      </c>
      <c r="R49" s="166">
        <f t="shared" si="4"/>
        <v>50400</v>
      </c>
      <c r="S49" s="167">
        <f t="shared" si="1"/>
        <v>5.9385060627551625E-2</v>
      </c>
      <c r="T49" s="168">
        <f t="shared" si="2"/>
        <v>100800</v>
      </c>
      <c r="U49" s="282">
        <f>T49</f>
        <v>100800</v>
      </c>
      <c r="Y49" s="152"/>
      <c r="Z49" s="282">
        <f t="shared" si="7"/>
        <v>100800</v>
      </c>
      <c r="AA49" s="171"/>
      <c r="AB49" s="280"/>
      <c r="AC49" s="172"/>
      <c r="AD49" s="172"/>
      <c r="AE49" s="172"/>
      <c r="AF49" s="172"/>
      <c r="AG49" s="172"/>
      <c r="AH49" s="172"/>
      <c r="AI49" s="174">
        <f>T49</f>
        <v>100800</v>
      </c>
      <c r="AJ49" s="152"/>
    </row>
    <row r="50" spans="1:36" x14ac:dyDescent="0.3">
      <c r="A50" s="157"/>
      <c r="B50" s="157"/>
      <c r="C50" s="157"/>
      <c r="D50" s="157"/>
      <c r="E50" s="157"/>
      <c r="F50" s="158"/>
      <c r="G50" s="157"/>
      <c r="H50" s="157"/>
      <c r="L50" s="286"/>
      <c r="M50" s="157"/>
      <c r="N50" s="166"/>
      <c r="O50" s="166"/>
      <c r="P50" s="173"/>
      <c r="Q50" s="166"/>
      <c r="R50" s="166"/>
      <c r="S50" s="6"/>
      <c r="T50" s="168"/>
      <c r="U50" s="280"/>
      <c r="X50" s="169"/>
      <c r="Y50" s="152"/>
      <c r="Z50" s="280"/>
      <c r="AA50" s="152"/>
      <c r="AB50" s="280"/>
      <c r="AC50" s="172"/>
      <c r="AD50" s="172"/>
      <c r="AE50" s="172"/>
      <c r="AF50" s="172"/>
      <c r="AG50" s="172"/>
      <c r="AH50" s="172"/>
      <c r="AI50" s="172"/>
      <c r="AJ50" s="152"/>
    </row>
    <row r="51" spans="1:36" x14ac:dyDescent="0.3">
      <c r="A51" s="157"/>
      <c r="B51" s="157"/>
      <c r="C51" s="157"/>
      <c r="D51" s="157"/>
      <c r="E51" s="157"/>
      <c r="F51" s="158"/>
      <c r="G51" s="157"/>
      <c r="H51" s="157"/>
      <c r="L51" s="286"/>
      <c r="M51" s="157"/>
      <c r="N51" s="166"/>
      <c r="O51" s="166"/>
      <c r="P51" s="173"/>
      <c r="Q51" s="166"/>
      <c r="R51" s="166"/>
      <c r="S51" s="6"/>
      <c r="T51" s="168"/>
      <c r="U51" s="280"/>
      <c r="X51" s="169"/>
      <c r="Y51" s="152"/>
      <c r="Z51" s="280"/>
      <c r="AA51" s="152"/>
      <c r="AB51" s="280"/>
      <c r="AC51" s="172"/>
      <c r="AD51" s="172"/>
      <c r="AE51" s="172"/>
      <c r="AF51" s="172"/>
      <c r="AG51" s="172"/>
      <c r="AH51" s="172"/>
      <c r="AI51" s="172"/>
      <c r="AJ51" s="152"/>
    </row>
    <row r="52" spans="1:36" x14ac:dyDescent="0.3">
      <c r="A52" s="157"/>
      <c r="B52" s="157"/>
      <c r="C52" s="157"/>
      <c r="D52" s="157"/>
      <c r="E52" s="157"/>
      <c r="F52" s="158"/>
      <c r="G52" s="157"/>
      <c r="H52" s="157"/>
      <c r="L52" s="286"/>
      <c r="M52" s="157"/>
      <c r="N52" s="166"/>
      <c r="O52" s="166"/>
      <c r="P52" s="173"/>
      <c r="Q52" s="166"/>
      <c r="R52" s="166"/>
      <c r="S52" s="6"/>
      <c r="T52" s="168"/>
      <c r="U52" s="280"/>
      <c r="X52" s="169"/>
      <c r="Y52" s="152"/>
      <c r="Z52" s="280"/>
      <c r="AA52" s="152"/>
      <c r="AB52" s="280"/>
      <c r="AC52" s="172"/>
      <c r="AD52" s="172"/>
      <c r="AE52" s="172"/>
      <c r="AF52" s="172"/>
      <c r="AG52" s="172"/>
      <c r="AH52" s="172"/>
      <c r="AI52" s="172"/>
      <c r="AJ52" s="152"/>
    </row>
    <row r="53" spans="1:36" x14ac:dyDescent="0.3">
      <c r="A53" s="157"/>
      <c r="B53" s="157"/>
      <c r="C53" s="157"/>
      <c r="D53" s="157"/>
      <c r="E53" s="157"/>
      <c r="F53" s="158"/>
      <c r="G53" s="157"/>
      <c r="H53" s="157"/>
      <c r="L53" s="286"/>
      <c r="M53" s="157"/>
      <c r="N53" s="166"/>
      <c r="O53" s="166"/>
      <c r="P53" s="173"/>
      <c r="Q53" s="166"/>
      <c r="R53" s="166"/>
      <c r="S53" s="6"/>
      <c r="T53" s="168"/>
      <c r="U53" s="280"/>
      <c r="X53" s="169"/>
      <c r="Y53" s="152"/>
      <c r="Z53" s="280"/>
      <c r="AA53" s="152"/>
      <c r="AB53" s="280"/>
      <c r="AC53" s="172"/>
      <c r="AD53" s="172"/>
      <c r="AE53" s="172"/>
      <c r="AF53" s="172"/>
      <c r="AG53" s="172"/>
      <c r="AH53" s="172"/>
      <c r="AI53" s="172"/>
      <c r="AJ53" s="152"/>
    </row>
    <row r="54" spans="1:36" x14ac:dyDescent="0.3">
      <c r="A54" s="108" t="s">
        <v>815</v>
      </c>
      <c r="B54" s="108" t="s">
        <v>528</v>
      </c>
      <c r="C54" s="108"/>
      <c r="D54" s="108"/>
      <c r="E54" s="108"/>
      <c r="F54" s="479"/>
      <c r="G54" s="108"/>
      <c r="H54" s="108"/>
      <c r="I54" s="254"/>
      <c r="J54" s="254"/>
      <c r="K54" s="254"/>
      <c r="L54" s="736"/>
      <c r="M54" s="108"/>
      <c r="N54" s="257"/>
      <c r="O54" s="257"/>
      <c r="P54" s="109"/>
      <c r="Q54" s="257"/>
      <c r="R54" s="257"/>
      <c r="S54" s="256">
        <f>R54/R57</f>
        <v>0</v>
      </c>
      <c r="T54" s="168">
        <f t="shared" ref="T54:T55" si="8">R54*2</f>
        <v>0</v>
      </c>
      <c r="U54" s="280"/>
      <c r="X54" s="169">
        <f>T54</f>
        <v>0</v>
      </c>
      <c r="Y54" s="152"/>
      <c r="Z54" s="280"/>
      <c r="AA54" s="152"/>
      <c r="AB54" s="280"/>
      <c r="AC54" s="172"/>
      <c r="AD54" s="172"/>
      <c r="AE54" s="172"/>
      <c r="AF54" s="172"/>
      <c r="AG54" s="172"/>
      <c r="AH54" s="172"/>
      <c r="AI54" s="172"/>
      <c r="AJ54" s="152"/>
    </row>
    <row r="55" spans="1:36" x14ac:dyDescent="0.3">
      <c r="A55" s="190" t="s">
        <v>815</v>
      </c>
      <c r="B55" s="190" t="s">
        <v>529</v>
      </c>
      <c r="C55" s="190"/>
      <c r="D55" s="190"/>
      <c r="E55" s="190"/>
      <c r="F55" s="191"/>
      <c r="G55" s="190"/>
      <c r="H55" s="190"/>
      <c r="I55" s="245"/>
      <c r="J55" s="245"/>
      <c r="K55" s="245"/>
      <c r="L55" s="287"/>
      <c r="M55" s="190"/>
      <c r="N55" s="194"/>
      <c r="O55" s="194"/>
      <c r="P55" s="195"/>
      <c r="Q55" s="194"/>
      <c r="R55" s="194"/>
      <c r="S55" s="196">
        <f>R55/R57</f>
        <v>0</v>
      </c>
      <c r="T55" s="168">
        <f t="shared" si="8"/>
        <v>0</v>
      </c>
      <c r="U55" s="280"/>
      <c r="Y55" s="171">
        <f>T55</f>
        <v>0</v>
      </c>
      <c r="Z55" s="280"/>
      <c r="AA55" s="152"/>
      <c r="AB55" s="280"/>
      <c r="AC55" s="172"/>
      <c r="AD55" s="172"/>
      <c r="AE55" s="172"/>
      <c r="AF55" s="172"/>
      <c r="AG55" s="172"/>
      <c r="AH55" s="172"/>
      <c r="AI55" s="172"/>
      <c r="AJ55" s="152"/>
    </row>
    <row r="56" spans="1:36" x14ac:dyDescent="0.3">
      <c r="A56" s="286"/>
      <c r="B56" s="157"/>
      <c r="C56" s="157"/>
      <c r="D56" s="157"/>
      <c r="E56" s="157"/>
      <c r="F56" s="158"/>
      <c r="G56" s="157"/>
      <c r="H56" s="157"/>
      <c r="I56" s="115">
        <f>I57/$M$57</f>
        <v>0.14823529411764705</v>
      </c>
      <c r="J56" s="115">
        <f t="shared" ref="J56:L56" si="9">J57/$M$57</f>
        <v>0.18588235294117647</v>
      </c>
      <c r="K56" s="115">
        <f t="shared" si="9"/>
        <v>0.56941176470588239</v>
      </c>
      <c r="L56" s="115">
        <f t="shared" si="9"/>
        <v>9.6470588235294114E-2</v>
      </c>
      <c r="M56" s="157"/>
      <c r="N56" s="166"/>
      <c r="O56" s="166"/>
      <c r="P56" s="173"/>
      <c r="Q56" s="166"/>
      <c r="R56" s="166"/>
      <c r="T56" s="645"/>
      <c r="U56" s="566"/>
      <c r="V56" s="245"/>
      <c r="W56" s="245"/>
      <c r="X56" s="245"/>
      <c r="Y56" s="567"/>
      <c r="Z56" s="566"/>
      <c r="AA56" s="567"/>
      <c r="AB56" s="566"/>
      <c r="AC56" s="738"/>
      <c r="AD56" s="738"/>
      <c r="AE56" s="738"/>
      <c r="AF56" s="738"/>
      <c r="AG56" s="738"/>
      <c r="AH56" s="738"/>
      <c r="AI56" s="738"/>
      <c r="AJ56" s="567"/>
    </row>
    <row r="57" spans="1:36" x14ac:dyDescent="0.3">
      <c r="A57" s="212" t="s">
        <v>531</v>
      </c>
      <c r="B57" s="213"/>
      <c r="C57" s="213"/>
      <c r="D57" s="213"/>
      <c r="E57" s="213"/>
      <c r="F57" s="214"/>
      <c r="G57" s="213"/>
      <c r="H57" s="213"/>
      <c r="I57" s="213">
        <f>+I43+I44+I45+I46+I48+I49+I39</f>
        <v>63</v>
      </c>
      <c r="J57" s="213">
        <f>J35+J37+J41</f>
        <v>79</v>
      </c>
      <c r="K57" s="213">
        <f>K49+K48+K47+K46+K42+K36+K35</f>
        <v>242</v>
      </c>
      <c r="L57" s="213">
        <f>L40+L38</f>
        <v>41</v>
      </c>
      <c r="M57" s="213">
        <f>SUM(I57:L57)</f>
        <v>425</v>
      </c>
      <c r="N57" s="215"/>
      <c r="O57" s="215">
        <f>SUM(O35:O56)</f>
        <v>3285902</v>
      </c>
      <c r="P57" s="216">
        <f>1-R57/O57</f>
        <v>0.74171527331003784</v>
      </c>
      <c r="Q57" s="215"/>
      <c r="R57" s="481">
        <f>SUM(R34:R56)</f>
        <v>848698.3</v>
      </c>
      <c r="S57" s="218">
        <f>SUM(S34:S55)</f>
        <v>1</v>
      </c>
      <c r="T57" s="610">
        <f>SUM(T33:T56)</f>
        <v>1697396.6</v>
      </c>
      <c r="U57" s="220">
        <f>SUM(U33:U56)</f>
        <v>1066730</v>
      </c>
      <c r="V57" s="221">
        <f>SUM(V33:V55)</f>
        <v>630666.6</v>
      </c>
      <c r="W57" s="221">
        <f t="shared" ref="W57:Y57" si="10">SUM(W36:W55)</f>
        <v>0</v>
      </c>
      <c r="X57" s="221">
        <f t="shared" si="10"/>
        <v>0</v>
      </c>
      <c r="Y57" s="223">
        <f t="shared" si="10"/>
        <v>0</v>
      </c>
      <c r="Z57" s="222">
        <f>SUM(Z33:Z55)</f>
        <v>1191362.6000000001</v>
      </c>
      <c r="AA57" s="223">
        <f>SUM(AA33:AA55)</f>
        <v>506034</v>
      </c>
      <c r="AB57" s="222">
        <f>SUM(AB33:AB56)</f>
        <v>83916.000000000015</v>
      </c>
      <c r="AC57" s="816">
        <f>SUM(AC33:AC56)</f>
        <v>563760</v>
      </c>
      <c r="AD57" s="816">
        <f>SUM(AD33:AD56)</f>
        <v>229752.6</v>
      </c>
      <c r="AE57" s="816">
        <f t="shared" ref="AE57:AI57" si="11">SUM(AE33:AE56)</f>
        <v>92000</v>
      </c>
      <c r="AF57" s="816">
        <f t="shared" si="11"/>
        <v>44200</v>
      </c>
      <c r="AG57" s="816">
        <f t="shared" si="11"/>
        <v>133008</v>
      </c>
      <c r="AH57" s="816">
        <f t="shared" si="11"/>
        <v>169400</v>
      </c>
      <c r="AI57" s="816">
        <f t="shared" si="11"/>
        <v>134400</v>
      </c>
      <c r="AJ57" s="817">
        <f t="shared" ref="AJ57" si="12">SUM(AJ37:AJ56)</f>
        <v>0</v>
      </c>
    </row>
    <row r="58" spans="1:36" x14ac:dyDescent="0.3">
      <c r="A58" s="228" t="s">
        <v>532</v>
      </c>
      <c r="B58" s="229"/>
      <c r="C58" s="229"/>
      <c r="D58" s="229"/>
      <c r="E58" s="229"/>
      <c r="F58" s="230"/>
      <c r="G58" s="229"/>
      <c r="H58" s="229"/>
      <c r="I58" s="229">
        <f>I38+I39+I43+I44+I45+I46+I48+I49</f>
        <v>63</v>
      </c>
      <c r="J58" s="229">
        <f>J35+J37+J41+I43+I44+I45+I46+I48+I49</f>
        <v>126</v>
      </c>
      <c r="K58" s="229">
        <f>K35+K36+L38+L40+K42+I45+K46+K47+K48+K49</f>
        <v>287</v>
      </c>
      <c r="L58" s="229">
        <f>I45+K46+K48+K49+L40+L38</f>
        <v>48</v>
      </c>
      <c r="M58" s="229">
        <f>SUM(I58:L58)</f>
        <v>524</v>
      </c>
      <c r="N58" s="231"/>
      <c r="O58" s="231"/>
      <c r="P58" s="232"/>
      <c r="Q58" s="231"/>
      <c r="R58" s="231"/>
      <c r="S58" s="233"/>
      <c r="T58" s="234"/>
      <c r="U58" s="235">
        <f>U57/T57</f>
        <v>0.62845065201615224</v>
      </c>
      <c r="V58" s="236">
        <f>V57/T57</f>
        <v>0.3715493479838477</v>
      </c>
      <c r="W58" s="236">
        <f>W57/T57</f>
        <v>0</v>
      </c>
      <c r="X58" s="236">
        <f>X57/T57</f>
        <v>0</v>
      </c>
      <c r="Y58" s="297">
        <f>Y57/T57</f>
        <v>0</v>
      </c>
      <c r="Z58" s="298">
        <f>Z57/T57</f>
        <v>0.70187639117457878</v>
      </c>
      <c r="AA58" s="297">
        <f>AA57/T57</f>
        <v>0.29812360882542122</v>
      </c>
      <c r="AB58" s="240"/>
      <c r="AC58" s="241"/>
      <c r="AD58" s="241"/>
      <c r="AE58" s="241"/>
      <c r="AF58" s="241"/>
      <c r="AG58" s="241"/>
      <c r="AH58" s="241"/>
      <c r="AI58" s="241"/>
      <c r="AJ58" s="242"/>
    </row>
    <row r="59" spans="1:36" x14ac:dyDescent="0.3">
      <c r="A59" s="243" t="s">
        <v>533</v>
      </c>
      <c r="B59" s="193"/>
      <c r="C59" s="193"/>
      <c r="D59" s="193"/>
      <c r="E59" s="193"/>
      <c r="F59" s="244"/>
      <c r="G59" s="193"/>
      <c r="H59" s="193"/>
      <c r="I59" s="2182">
        <f>I58/$M$58</f>
        <v>0.12022900763358779</v>
      </c>
      <c r="J59" s="2182">
        <f t="shared" ref="J59:L59" si="13">J58/$M$58</f>
        <v>0.24045801526717558</v>
      </c>
      <c r="K59" s="2182">
        <f t="shared" si="13"/>
        <v>0.54770992366412219</v>
      </c>
      <c r="L59" s="2182">
        <f t="shared" si="13"/>
        <v>9.1603053435114504E-2</v>
      </c>
      <c r="M59" s="193"/>
      <c r="N59" s="246"/>
      <c r="O59" s="246"/>
      <c r="P59" s="196"/>
      <c r="Q59" s="246"/>
      <c r="R59" s="194">
        <f>U57/2</f>
        <v>533365</v>
      </c>
      <c r="S59" s="247">
        <f>R59/R64</f>
        <v>0.62845065201615224</v>
      </c>
      <c r="Y59" s="248"/>
      <c r="Z59" s="357">
        <f>K36+J37+L38+I39+L40+K47+I48+K48+I49+K49</f>
        <v>151</v>
      </c>
      <c r="AA59" s="358">
        <f>J35+K35+J41+K42+I43+I44+I45+I46+K46</f>
        <v>274</v>
      </c>
      <c r="AB59" s="143"/>
      <c r="AC59" s="143"/>
      <c r="AD59" s="143"/>
      <c r="AE59" s="143"/>
      <c r="AF59" s="143"/>
      <c r="AG59" s="143"/>
    </row>
    <row r="60" spans="1:36" x14ac:dyDescent="0.3">
      <c r="A60" s="251" t="s">
        <v>11</v>
      </c>
      <c r="B60" s="252"/>
      <c r="C60" s="252"/>
      <c r="D60" s="252"/>
      <c r="E60" s="252"/>
      <c r="F60" s="253"/>
      <c r="G60" s="252"/>
      <c r="H60" s="252"/>
      <c r="I60" s="254"/>
      <c r="J60" s="254"/>
      <c r="K60" s="254"/>
      <c r="L60" s="254"/>
      <c r="M60" s="252"/>
      <c r="N60" s="255"/>
      <c r="O60" s="255"/>
      <c r="P60" s="256"/>
      <c r="Q60" s="255"/>
      <c r="R60" s="257">
        <f>V57/2</f>
        <v>315333.3</v>
      </c>
      <c r="S60" s="262">
        <f>R60/R64</f>
        <v>0.3715493479838477</v>
      </c>
      <c r="T60" s="574">
        <f>R57/M57</f>
        <v>1996.9371764705884</v>
      </c>
      <c r="U60" s="489" t="s">
        <v>535</v>
      </c>
      <c r="Z60" s="195">
        <f>Z59/M57</f>
        <v>0.35529411764705882</v>
      </c>
      <c r="AA60" s="247">
        <f>AA59/M57</f>
        <v>0.64470588235294113</v>
      </c>
    </row>
    <row r="61" spans="1:36" x14ac:dyDescent="0.3">
      <c r="A61" s="251" t="s">
        <v>536</v>
      </c>
      <c r="B61" s="252"/>
      <c r="C61" s="252"/>
      <c r="D61" s="252"/>
      <c r="E61" s="252"/>
      <c r="F61" s="253"/>
      <c r="G61" s="252"/>
      <c r="H61" s="252"/>
      <c r="I61" s="254"/>
      <c r="J61" s="254"/>
      <c r="K61" s="254"/>
      <c r="L61" s="254"/>
      <c r="M61" s="252"/>
      <c r="N61" s="255"/>
      <c r="O61" s="255"/>
      <c r="P61" s="256"/>
      <c r="Q61" s="255"/>
      <c r="R61" s="257"/>
      <c r="S61" s="262">
        <f>R61/R64</f>
        <v>0</v>
      </c>
      <c r="X61" s="99"/>
      <c r="Z61" s="2265" t="s">
        <v>537</v>
      </c>
      <c r="AA61" s="2265"/>
    </row>
    <row r="62" spans="1:36" x14ac:dyDescent="0.3">
      <c r="A62" s="251" t="s">
        <v>529</v>
      </c>
      <c r="B62" s="252"/>
      <c r="C62" s="252"/>
      <c r="D62" s="252"/>
      <c r="E62" s="252"/>
      <c r="F62" s="253"/>
      <c r="G62" s="252"/>
      <c r="H62" s="252"/>
      <c r="I62" s="254"/>
      <c r="J62" s="254"/>
      <c r="K62" s="254"/>
      <c r="L62" s="254"/>
      <c r="M62" s="252"/>
      <c r="N62" s="255"/>
      <c r="O62" s="255"/>
      <c r="P62" s="256"/>
      <c r="Q62" s="255"/>
      <c r="R62" s="257">
        <f>Y57/2</f>
        <v>0</v>
      </c>
      <c r="S62" s="262">
        <f>R62/R64</f>
        <v>0</v>
      </c>
      <c r="U62" s="263"/>
    </row>
    <row r="63" spans="1:36" x14ac:dyDescent="0.3">
      <c r="A63" s="251" t="s">
        <v>528</v>
      </c>
      <c r="B63" s="252"/>
      <c r="C63" s="252"/>
      <c r="D63" s="252"/>
      <c r="E63" s="252"/>
      <c r="F63" s="253"/>
      <c r="G63" s="252"/>
      <c r="H63" s="252"/>
      <c r="I63" s="254"/>
      <c r="J63" s="254"/>
      <c r="K63" s="254"/>
      <c r="L63" s="254"/>
      <c r="M63" s="252"/>
      <c r="N63" s="255"/>
      <c r="O63" s="255"/>
      <c r="P63" s="256"/>
      <c r="Q63" s="255"/>
      <c r="R63" s="257">
        <f>X57/2</f>
        <v>0</v>
      </c>
      <c r="S63" s="262">
        <f>R63/R64</f>
        <v>0</v>
      </c>
    </row>
    <row r="64" spans="1:36" x14ac:dyDescent="0.3">
      <c r="A64" s="251"/>
      <c r="B64" s="252"/>
      <c r="C64" s="252"/>
      <c r="D64" s="252"/>
      <c r="E64" s="252"/>
      <c r="F64" s="253"/>
      <c r="G64" s="252"/>
      <c r="H64" s="252"/>
      <c r="I64" s="254"/>
      <c r="J64" s="254"/>
      <c r="K64" s="254"/>
      <c r="L64" s="254"/>
      <c r="M64" s="252"/>
      <c r="N64" s="255"/>
      <c r="O64" s="255"/>
      <c r="P64" s="256"/>
      <c r="Q64" s="255"/>
      <c r="R64" s="264">
        <f>SUM(R59:R63)</f>
        <v>848698.3</v>
      </c>
      <c r="S64" s="262">
        <f>SUM(S59:S63)</f>
        <v>1</v>
      </c>
    </row>
    <row r="65" spans="1:36" x14ac:dyDescent="0.3">
      <c r="N65" s="5"/>
      <c r="O65" s="5"/>
      <c r="P65" s="6"/>
      <c r="Q65" s="5"/>
      <c r="R65" s="7"/>
      <c r="S65" s="6"/>
    </row>
    <row r="66" spans="1:36" ht="18" x14ac:dyDescent="0.35">
      <c r="A66" s="118" t="s">
        <v>479</v>
      </c>
      <c r="O66" s="3"/>
      <c r="P66" s="115"/>
      <c r="R66" s="3"/>
      <c r="S66" s="99"/>
    </row>
    <row r="67" spans="1:36" x14ac:dyDescent="0.3">
      <c r="O67" s="3"/>
      <c r="P67" s="99"/>
      <c r="R67" s="3"/>
      <c r="S67" s="99"/>
    </row>
    <row r="68" spans="1:36" x14ac:dyDescent="0.3">
      <c r="A68" s="2446" t="s">
        <v>480</v>
      </c>
      <c r="B68" s="2447"/>
      <c r="C68" s="2447"/>
      <c r="D68" s="2447"/>
      <c r="E68" s="2447"/>
      <c r="F68" s="2447"/>
      <c r="G68" s="2447"/>
      <c r="H68" s="2447"/>
      <c r="I68" s="2447"/>
      <c r="J68" s="2447"/>
      <c r="K68" s="2447"/>
      <c r="L68" s="2447"/>
      <c r="M68" s="2447"/>
      <c r="N68" s="2447"/>
      <c r="O68" s="2447"/>
      <c r="P68" s="2447"/>
      <c r="Q68" s="2447"/>
      <c r="R68" s="2447"/>
      <c r="S68" s="2448"/>
      <c r="T68" s="2374" t="s">
        <v>584</v>
      </c>
      <c r="U68" s="2375"/>
      <c r="V68" s="2375"/>
      <c r="W68" s="2375"/>
      <c r="X68" s="2375"/>
      <c r="Y68" s="2375"/>
      <c r="Z68" s="2375"/>
      <c r="AA68" s="2375"/>
      <c r="AB68" s="2375"/>
      <c r="AC68" s="2375"/>
      <c r="AD68" s="2375"/>
      <c r="AE68" s="2375"/>
      <c r="AF68" s="2375"/>
      <c r="AG68" s="2375"/>
      <c r="AH68" s="2375"/>
      <c r="AI68" s="2375"/>
      <c r="AJ68" s="2376"/>
    </row>
    <row r="69" spans="1:36" ht="18" x14ac:dyDescent="0.35">
      <c r="A69" s="2284" t="s">
        <v>482</v>
      </c>
      <c r="B69" s="2286" t="s">
        <v>483</v>
      </c>
      <c r="C69" s="2286" t="s">
        <v>484</v>
      </c>
      <c r="D69" s="2286" t="s">
        <v>485</v>
      </c>
      <c r="E69" s="2286" t="s">
        <v>486</v>
      </c>
      <c r="F69" s="2288" t="s">
        <v>487</v>
      </c>
      <c r="G69" s="2286" t="s">
        <v>488</v>
      </c>
      <c r="H69" s="2286" t="s">
        <v>489</v>
      </c>
      <c r="I69" s="805" t="s">
        <v>490</v>
      </c>
      <c r="J69" s="213"/>
      <c r="K69" s="213"/>
      <c r="L69" s="2473"/>
      <c r="M69" s="265" t="s">
        <v>491</v>
      </c>
      <c r="N69" s="266" t="s">
        <v>492</v>
      </c>
      <c r="O69" s="266" t="s">
        <v>812</v>
      </c>
      <c r="P69" s="267" t="s">
        <v>493</v>
      </c>
      <c r="Q69" s="266" t="s">
        <v>492</v>
      </c>
      <c r="R69" s="266" t="s">
        <v>494</v>
      </c>
      <c r="S69" s="2267" t="s">
        <v>495</v>
      </c>
      <c r="T69" s="692" t="s">
        <v>496</v>
      </c>
      <c r="U69" s="2424" t="s">
        <v>497</v>
      </c>
      <c r="V69" s="2425"/>
      <c r="W69" s="2425"/>
      <c r="X69" s="2425"/>
      <c r="Y69" s="2425"/>
      <c r="Z69" s="2418" t="s">
        <v>498</v>
      </c>
      <c r="AA69" s="2419"/>
      <c r="AB69" s="2422"/>
      <c r="AC69" s="2422"/>
      <c r="AD69" s="2422"/>
      <c r="AE69" s="2422"/>
      <c r="AF69" s="2422"/>
      <c r="AG69" s="2422"/>
      <c r="AH69" s="2422"/>
      <c r="AI69" s="2422"/>
      <c r="AJ69" s="2419"/>
    </row>
    <row r="70" spans="1:36" ht="18" x14ac:dyDescent="0.35">
      <c r="A70" s="2285"/>
      <c r="B70" s="2287"/>
      <c r="C70" s="2287"/>
      <c r="D70" s="2287"/>
      <c r="E70" s="2287"/>
      <c r="F70" s="2289"/>
      <c r="G70" s="2287"/>
      <c r="H70" s="2287"/>
      <c r="I70" s="269" t="s">
        <v>500</v>
      </c>
      <c r="J70" s="269" t="s">
        <v>501</v>
      </c>
      <c r="K70" s="269" t="s">
        <v>502</v>
      </c>
      <c r="L70" s="269" t="s">
        <v>503</v>
      </c>
      <c r="M70" s="270" t="s">
        <v>504</v>
      </c>
      <c r="N70" s="271" t="s">
        <v>505</v>
      </c>
      <c r="O70" s="271" t="s">
        <v>813</v>
      </c>
      <c r="P70" s="272" t="s">
        <v>506</v>
      </c>
      <c r="Q70" s="271" t="s">
        <v>507</v>
      </c>
      <c r="R70" s="271" t="s">
        <v>507</v>
      </c>
      <c r="S70" s="2268"/>
      <c r="T70" s="671" t="s">
        <v>508</v>
      </c>
      <c r="U70" s="2427"/>
      <c r="V70" s="2428"/>
      <c r="W70" s="2428"/>
      <c r="X70" s="2428"/>
      <c r="Y70" s="2428"/>
      <c r="Z70" s="2420"/>
      <c r="AA70" s="2421"/>
      <c r="AB70" s="2423"/>
      <c r="AC70" s="2423"/>
      <c r="AD70" s="2423"/>
      <c r="AE70" s="2423"/>
      <c r="AF70" s="2423"/>
      <c r="AG70" s="2423"/>
      <c r="AH70" s="2423"/>
      <c r="AI70" s="2423"/>
      <c r="AJ70" s="2421"/>
    </row>
    <row r="71" spans="1:36" ht="18" x14ac:dyDescent="0.35">
      <c r="A71" s="2359" t="s">
        <v>509</v>
      </c>
      <c r="B71" s="2360"/>
      <c r="C71" s="2360"/>
      <c r="D71" s="2360"/>
      <c r="E71" s="2360"/>
      <c r="F71" s="2360"/>
      <c r="G71" s="2360"/>
      <c r="H71" s="2360"/>
      <c r="I71" s="2360"/>
      <c r="J71" s="2360"/>
      <c r="K71" s="2360"/>
      <c r="L71" s="2360"/>
      <c r="M71" s="2360"/>
      <c r="N71" s="2360"/>
      <c r="O71" s="2360"/>
      <c r="P71" s="2360"/>
      <c r="Q71" s="2360"/>
      <c r="R71" s="2360"/>
      <c r="S71" s="2360"/>
      <c r="T71" s="771"/>
      <c r="U71" s="719" t="s">
        <v>510</v>
      </c>
      <c r="V71" s="717" t="s">
        <v>11</v>
      </c>
      <c r="W71" s="717" t="s">
        <v>511</v>
      </c>
      <c r="X71" s="717" t="s">
        <v>512</v>
      </c>
      <c r="Y71" s="718" t="s">
        <v>513</v>
      </c>
      <c r="Z71" s="719" t="s">
        <v>514</v>
      </c>
      <c r="AA71" s="718" t="s">
        <v>515</v>
      </c>
      <c r="AB71" s="818" t="s">
        <v>0</v>
      </c>
      <c r="AC71" s="819" t="s">
        <v>4</v>
      </c>
      <c r="AD71" s="819" t="s">
        <v>2</v>
      </c>
      <c r="AE71" s="819" t="s">
        <v>153</v>
      </c>
      <c r="AF71" s="819" t="s">
        <v>154</v>
      </c>
      <c r="AG71" s="819" t="s">
        <v>155</v>
      </c>
      <c r="AH71" s="819" t="s">
        <v>156</v>
      </c>
      <c r="AI71" s="819" t="s">
        <v>5</v>
      </c>
      <c r="AJ71" s="718" t="s">
        <v>814</v>
      </c>
    </row>
    <row r="72" spans="1:36" x14ac:dyDescent="0.3">
      <c r="A72" s="154"/>
      <c r="B72" s="462"/>
      <c r="C72" s="462"/>
      <c r="D72" s="462"/>
      <c r="E72" s="462"/>
      <c r="F72" s="463"/>
      <c r="G72" s="462"/>
      <c r="H72" s="462"/>
      <c r="I72" s="465"/>
      <c r="J72" s="465"/>
      <c r="K72" s="465"/>
      <c r="L72" s="465"/>
      <c r="M72" s="462"/>
      <c r="N72" s="468"/>
      <c r="O72" s="468"/>
      <c r="P72" s="469"/>
      <c r="Q72" s="468"/>
      <c r="R72" s="468"/>
      <c r="S72" s="501"/>
      <c r="T72" s="149"/>
      <c r="U72" s="280"/>
      <c r="Y72" s="152"/>
      <c r="Z72" s="280"/>
      <c r="AA72" s="152"/>
      <c r="AB72" s="151"/>
      <c r="AC72" s="172"/>
      <c r="AD72" s="172"/>
      <c r="AE72" s="172"/>
      <c r="AF72" s="172"/>
      <c r="AG72" s="172"/>
      <c r="AH72" s="172"/>
      <c r="AI72" s="172"/>
      <c r="AJ72" s="152"/>
    </row>
    <row r="73" spans="1:36" x14ac:dyDescent="0.3">
      <c r="A73" s="157" t="s">
        <v>815</v>
      </c>
      <c r="B73" s="157" t="s">
        <v>157</v>
      </c>
      <c r="C73" s="157" t="s">
        <v>695</v>
      </c>
      <c r="D73" s="157" t="s">
        <v>433</v>
      </c>
      <c r="E73" s="157" t="s">
        <v>520</v>
      </c>
      <c r="F73" s="157" t="s">
        <v>816</v>
      </c>
      <c r="G73" s="1">
        <v>50</v>
      </c>
      <c r="H73" s="157" t="s">
        <v>22</v>
      </c>
      <c r="I73" s="188"/>
      <c r="J73" s="806">
        <v>50</v>
      </c>
      <c r="K73" s="807">
        <v>50</v>
      </c>
      <c r="L73" s="286"/>
      <c r="M73" s="163">
        <v>2</v>
      </c>
      <c r="N73" s="166">
        <v>1398.6</v>
      </c>
      <c r="O73" s="166">
        <f t="shared" ref="O73:O86" si="14">N73*M73*G73</f>
        <v>139860</v>
      </c>
      <c r="P73" s="165">
        <v>0.7</v>
      </c>
      <c r="Q73" s="186">
        <f t="shared" ref="Q73:Q86" si="15">N73*(1-P73)</f>
        <v>419.58000000000004</v>
      </c>
      <c r="R73" s="166">
        <f>Q73*M73*G73</f>
        <v>41958.000000000007</v>
      </c>
      <c r="S73" s="178">
        <f t="shared" ref="S73:S86" si="16">R73/$R$93</f>
        <v>4.8974858102124458E-2</v>
      </c>
      <c r="T73" s="168">
        <f>R73</f>
        <v>41958.000000000007</v>
      </c>
      <c r="U73" s="280"/>
      <c r="V73" s="169">
        <f>T73</f>
        <v>41958.000000000007</v>
      </c>
      <c r="Y73" s="152"/>
      <c r="Z73" s="282">
        <f>T73</f>
        <v>41958.000000000007</v>
      </c>
      <c r="AA73" s="152"/>
      <c r="AB73" s="170">
        <f>T73</f>
        <v>41958.000000000007</v>
      </c>
      <c r="AC73" s="172"/>
      <c r="AD73" s="172"/>
      <c r="AE73" s="174"/>
      <c r="AF73" s="172"/>
      <c r="AG73" s="172"/>
      <c r="AH73" s="172"/>
      <c r="AI73" s="172"/>
      <c r="AJ73" s="152"/>
    </row>
    <row r="74" spans="1:36" x14ac:dyDescent="0.3">
      <c r="A74" s="157" t="s">
        <v>815</v>
      </c>
      <c r="B74" s="157" t="s">
        <v>141</v>
      </c>
      <c r="C74" s="157" t="s">
        <v>819</v>
      </c>
      <c r="D74" s="157" t="s">
        <v>142</v>
      </c>
      <c r="E74" s="157" t="s">
        <v>518</v>
      </c>
      <c r="F74" s="157" t="s">
        <v>826</v>
      </c>
      <c r="G74" s="1">
        <v>25</v>
      </c>
      <c r="H74" s="157" t="s">
        <v>22</v>
      </c>
      <c r="I74" s="474"/>
      <c r="J74" s="806">
        <v>25</v>
      </c>
      <c r="L74" s="809">
        <v>25</v>
      </c>
      <c r="M74" s="163">
        <v>2</v>
      </c>
      <c r="N74" s="166">
        <v>26400</v>
      </c>
      <c r="O74" s="166">
        <f t="shared" si="14"/>
        <v>1320000</v>
      </c>
      <c r="P74" s="173">
        <v>0.76</v>
      </c>
      <c r="Q74" s="186">
        <f t="shared" si="15"/>
        <v>6336</v>
      </c>
      <c r="R74" s="166">
        <f t="shared" ref="R74:R86" si="17">Q74*M74*G74</f>
        <v>316800</v>
      </c>
      <c r="S74" s="167">
        <f t="shared" si="16"/>
        <v>0.36978013839441881</v>
      </c>
      <c r="T74" s="168">
        <f t="shared" ref="T74:T86" si="18">R74</f>
        <v>316800</v>
      </c>
      <c r="U74" s="280"/>
      <c r="V74" s="169">
        <f>T74</f>
        <v>316800</v>
      </c>
      <c r="Y74" s="152"/>
      <c r="Z74" s="280"/>
      <c r="AA74" s="171">
        <f t="shared" ref="AA74:AA76" si="19">T74</f>
        <v>316800</v>
      </c>
      <c r="AB74" s="151"/>
      <c r="AC74" s="174">
        <f>R74</f>
        <v>316800</v>
      </c>
      <c r="AD74" s="172"/>
      <c r="AE74" s="172"/>
      <c r="AF74" s="172"/>
      <c r="AG74" s="172"/>
      <c r="AH74" s="172"/>
      <c r="AI74" s="172"/>
      <c r="AJ74" s="152"/>
    </row>
    <row r="75" spans="1:36" x14ac:dyDescent="0.3">
      <c r="A75" s="157" t="s">
        <v>815</v>
      </c>
      <c r="B75" s="157" t="s">
        <v>99</v>
      </c>
      <c r="C75" s="157" t="s">
        <v>695</v>
      </c>
      <c r="D75" s="810" t="s">
        <v>820</v>
      </c>
      <c r="E75" s="157" t="s">
        <v>518</v>
      </c>
      <c r="F75" s="157">
        <v>16</v>
      </c>
      <c r="G75" s="1">
        <v>1</v>
      </c>
      <c r="H75" s="157" t="s">
        <v>22</v>
      </c>
      <c r="I75" s="175">
        <v>16</v>
      </c>
      <c r="L75" s="286"/>
      <c r="M75" s="163">
        <v>1</v>
      </c>
      <c r="N75" s="166">
        <v>67000</v>
      </c>
      <c r="O75" s="166">
        <f t="shared" si="14"/>
        <v>67000</v>
      </c>
      <c r="P75" s="173">
        <v>0.85</v>
      </c>
      <c r="Q75" s="186">
        <f t="shared" si="15"/>
        <v>10050.000000000002</v>
      </c>
      <c r="R75" s="166">
        <f t="shared" si="17"/>
        <v>10050.000000000002</v>
      </c>
      <c r="S75" s="167">
        <f t="shared" si="16"/>
        <v>1.1730714617625978E-2</v>
      </c>
      <c r="T75" s="168">
        <f t="shared" si="18"/>
        <v>10050.000000000002</v>
      </c>
      <c r="U75" s="280"/>
      <c r="V75" s="169">
        <f>T75</f>
        <v>10050.000000000002</v>
      </c>
      <c r="Y75" s="152"/>
      <c r="Z75" s="280"/>
      <c r="AA75" s="171">
        <f t="shared" si="19"/>
        <v>10050.000000000002</v>
      </c>
      <c r="AB75" s="151"/>
      <c r="AC75" s="172"/>
      <c r="AD75" s="174">
        <f>R75</f>
        <v>10050.000000000002</v>
      </c>
      <c r="AE75" s="172"/>
      <c r="AF75" s="172"/>
      <c r="AG75" s="172"/>
      <c r="AH75" s="172"/>
      <c r="AI75" s="172"/>
      <c r="AJ75" s="152"/>
    </row>
    <row r="76" spans="1:36" x14ac:dyDescent="0.3">
      <c r="A76" s="157" t="s">
        <v>815</v>
      </c>
      <c r="B76" s="157" t="s">
        <v>99</v>
      </c>
      <c r="C76" s="157" t="s">
        <v>695</v>
      </c>
      <c r="D76" s="810" t="s">
        <v>821</v>
      </c>
      <c r="E76" s="157" t="s">
        <v>518</v>
      </c>
      <c r="F76" s="157">
        <v>16</v>
      </c>
      <c r="G76" s="1">
        <v>1</v>
      </c>
      <c r="H76" s="157" t="s">
        <v>22</v>
      </c>
      <c r="I76" s="188"/>
      <c r="J76" s="1"/>
      <c r="L76" s="727">
        <v>16</v>
      </c>
      <c r="M76" s="163">
        <v>1</v>
      </c>
      <c r="N76" s="166">
        <v>189142</v>
      </c>
      <c r="O76" s="166">
        <f t="shared" si="14"/>
        <v>189142</v>
      </c>
      <c r="P76" s="173">
        <v>0.85</v>
      </c>
      <c r="Q76" s="186">
        <f t="shared" si="15"/>
        <v>28371.300000000003</v>
      </c>
      <c r="R76" s="166">
        <f t="shared" si="17"/>
        <v>28371.300000000003</v>
      </c>
      <c r="S76" s="167">
        <f t="shared" si="16"/>
        <v>3.3115982450850935E-2</v>
      </c>
      <c r="T76" s="168">
        <f t="shared" si="18"/>
        <v>28371.300000000003</v>
      </c>
      <c r="U76" s="280"/>
      <c r="V76" s="169">
        <f>T76</f>
        <v>28371.300000000003</v>
      </c>
      <c r="Y76" s="152"/>
      <c r="Z76" s="280"/>
      <c r="AA76" s="171">
        <f t="shared" si="19"/>
        <v>28371.300000000003</v>
      </c>
      <c r="AB76" s="151"/>
      <c r="AC76" s="172"/>
      <c r="AD76" s="174">
        <f>R76</f>
        <v>28371.300000000003</v>
      </c>
      <c r="AE76" s="172"/>
      <c r="AF76" s="172"/>
      <c r="AG76" s="172"/>
      <c r="AH76" s="172"/>
      <c r="AI76" s="172"/>
      <c r="AJ76" s="152"/>
    </row>
    <row r="77" spans="1:36" x14ac:dyDescent="0.3">
      <c r="A77" s="157" t="s">
        <v>815</v>
      </c>
      <c r="B77" s="157" t="s">
        <v>99</v>
      </c>
      <c r="C77" s="157" t="s">
        <v>695</v>
      </c>
      <c r="D77" s="810" t="s">
        <v>822</v>
      </c>
      <c r="E77" s="157" t="s">
        <v>520</v>
      </c>
      <c r="F77" s="157">
        <v>28</v>
      </c>
      <c r="G77" s="1">
        <v>1</v>
      </c>
      <c r="H77" s="157" t="s">
        <v>22</v>
      </c>
      <c r="I77" s="188"/>
      <c r="J77" s="811">
        <v>28</v>
      </c>
      <c r="K77" s="812"/>
      <c r="L77" s="286"/>
      <c r="M77" s="163">
        <v>1</v>
      </c>
      <c r="N77" s="166">
        <v>67000</v>
      </c>
      <c r="O77" s="166">
        <f t="shared" si="14"/>
        <v>67000</v>
      </c>
      <c r="P77" s="173">
        <v>0.85</v>
      </c>
      <c r="Q77" s="186">
        <f t="shared" si="15"/>
        <v>10050.000000000002</v>
      </c>
      <c r="R77" s="166">
        <f t="shared" si="17"/>
        <v>10050.000000000002</v>
      </c>
      <c r="S77" s="178">
        <f t="shared" si="16"/>
        <v>1.1730714617625978E-2</v>
      </c>
      <c r="T77" s="168">
        <f t="shared" si="18"/>
        <v>10050.000000000002</v>
      </c>
      <c r="U77" s="280"/>
      <c r="V77" s="169">
        <f t="shared" ref="V77:V78" si="20">T77</f>
        <v>10050.000000000002</v>
      </c>
      <c r="Y77" s="152"/>
      <c r="Z77" s="282">
        <f t="shared" ref="Z77:Z81" si="21">T77</f>
        <v>10050.000000000002</v>
      </c>
      <c r="AA77" s="152"/>
      <c r="AB77" s="151"/>
      <c r="AC77" s="172"/>
      <c r="AD77" s="174">
        <f>R77</f>
        <v>10050.000000000002</v>
      </c>
      <c r="AE77" s="172"/>
      <c r="AF77" s="172"/>
      <c r="AG77" s="172"/>
      <c r="AH77" s="172"/>
      <c r="AI77" s="172"/>
      <c r="AJ77" s="152"/>
    </row>
    <row r="78" spans="1:36" x14ac:dyDescent="0.3">
      <c r="A78" s="157" t="s">
        <v>815</v>
      </c>
      <c r="B78" s="157" t="s">
        <v>99</v>
      </c>
      <c r="C78" s="157" t="s">
        <v>695</v>
      </c>
      <c r="D78" s="810" t="s">
        <v>439</v>
      </c>
      <c r="E78" s="157" t="s">
        <v>520</v>
      </c>
      <c r="F78" s="157">
        <v>100</v>
      </c>
      <c r="G78" s="1">
        <v>100</v>
      </c>
      <c r="H78" s="157" t="s">
        <v>22</v>
      </c>
      <c r="I78" s="188"/>
      <c r="J78" s="813"/>
      <c r="K78" s="811">
        <v>100</v>
      </c>
      <c r="L78" s="811">
        <v>100</v>
      </c>
      <c r="M78" s="163">
        <v>2</v>
      </c>
      <c r="N78" s="166">
        <v>4427</v>
      </c>
      <c r="O78" s="166">
        <f t="shared" si="14"/>
        <v>885400</v>
      </c>
      <c r="P78" s="173">
        <v>0.85</v>
      </c>
      <c r="Q78" s="186">
        <f t="shared" si="15"/>
        <v>664.05000000000007</v>
      </c>
      <c r="R78" s="166">
        <f t="shared" si="17"/>
        <v>132810</v>
      </c>
      <c r="S78" s="178">
        <f t="shared" si="16"/>
        <v>0.15502051824546326</v>
      </c>
      <c r="T78" s="168">
        <f t="shared" si="18"/>
        <v>132810</v>
      </c>
      <c r="U78" s="280"/>
      <c r="V78" s="169">
        <f t="shared" si="20"/>
        <v>132810</v>
      </c>
      <c r="Y78" s="152"/>
      <c r="Z78" s="282">
        <f t="shared" si="21"/>
        <v>132810</v>
      </c>
      <c r="AA78" s="152"/>
      <c r="AB78" s="151"/>
      <c r="AC78" s="172"/>
      <c r="AD78" s="174">
        <f>R78</f>
        <v>132810</v>
      </c>
      <c r="AE78" s="172"/>
      <c r="AF78" s="172"/>
      <c r="AG78" s="172"/>
      <c r="AH78" s="172"/>
      <c r="AI78" s="172"/>
      <c r="AJ78" s="152"/>
    </row>
    <row r="79" spans="1:36" x14ac:dyDescent="0.3">
      <c r="A79" s="157" t="s">
        <v>815</v>
      </c>
      <c r="B79" s="157" t="s">
        <v>440</v>
      </c>
      <c r="C79" s="157" t="s">
        <v>696</v>
      </c>
      <c r="D79" s="814" t="s">
        <v>441</v>
      </c>
      <c r="E79" s="157" t="s">
        <v>520</v>
      </c>
      <c r="F79" s="157" t="s">
        <v>823</v>
      </c>
      <c r="G79" s="1">
        <v>20</v>
      </c>
      <c r="H79" s="157" t="s">
        <v>63</v>
      </c>
      <c r="I79" s="159">
        <v>20</v>
      </c>
      <c r="J79" s="161"/>
      <c r="L79" s="286"/>
      <c r="M79" s="163">
        <v>1</v>
      </c>
      <c r="N79" s="166">
        <v>2300</v>
      </c>
      <c r="O79" s="166">
        <f t="shared" si="14"/>
        <v>46000</v>
      </c>
      <c r="P79" s="173">
        <v>0.45</v>
      </c>
      <c r="Q79" s="186">
        <f t="shared" si="15"/>
        <v>1265</v>
      </c>
      <c r="R79" s="166">
        <f t="shared" si="17"/>
        <v>25300</v>
      </c>
      <c r="S79" s="178">
        <f t="shared" si="16"/>
        <v>2.9531052718998724E-2</v>
      </c>
      <c r="T79" s="168">
        <f t="shared" si="18"/>
        <v>25300</v>
      </c>
      <c r="U79" s="282">
        <f>T79</f>
        <v>25300</v>
      </c>
      <c r="Y79" s="152"/>
      <c r="Z79" s="282">
        <f t="shared" si="21"/>
        <v>25300</v>
      </c>
      <c r="AA79" s="152"/>
      <c r="AB79" s="151"/>
      <c r="AC79" s="172"/>
      <c r="AD79" s="172"/>
      <c r="AE79" s="174">
        <f>T79</f>
        <v>25300</v>
      </c>
      <c r="AF79" s="172"/>
      <c r="AG79" s="172"/>
      <c r="AH79" s="172"/>
      <c r="AI79" s="172"/>
      <c r="AJ79" s="152"/>
    </row>
    <row r="80" spans="1:36" x14ac:dyDescent="0.3">
      <c r="A80" s="157" t="s">
        <v>815</v>
      </c>
      <c r="B80" s="157" t="s">
        <v>440</v>
      </c>
      <c r="C80" s="157" t="s">
        <v>696</v>
      </c>
      <c r="D80" s="157" t="s">
        <v>442</v>
      </c>
      <c r="E80" s="157" t="s">
        <v>520</v>
      </c>
      <c r="F80" s="157" t="s">
        <v>823</v>
      </c>
      <c r="G80" s="1">
        <v>20</v>
      </c>
      <c r="H80" s="157" t="s">
        <v>63</v>
      </c>
      <c r="I80" s="175">
        <v>20</v>
      </c>
      <c r="J80" s="176"/>
      <c r="L80" s="162"/>
      <c r="M80" s="163">
        <v>1</v>
      </c>
      <c r="N80" s="166">
        <v>2300</v>
      </c>
      <c r="O80" s="166">
        <f t="shared" si="14"/>
        <v>46000</v>
      </c>
      <c r="P80" s="173">
        <v>0.45</v>
      </c>
      <c r="Q80" s="186">
        <f t="shared" si="15"/>
        <v>1265</v>
      </c>
      <c r="R80" s="166">
        <f t="shared" si="17"/>
        <v>25300</v>
      </c>
      <c r="S80" s="178">
        <f t="shared" si="16"/>
        <v>2.9531052718998724E-2</v>
      </c>
      <c r="T80" s="168">
        <f t="shared" si="18"/>
        <v>25300</v>
      </c>
      <c r="U80" s="282">
        <f>T80</f>
        <v>25300</v>
      </c>
      <c r="Y80" s="152"/>
      <c r="Z80" s="282">
        <f t="shared" si="21"/>
        <v>25300</v>
      </c>
      <c r="AA80" s="152"/>
      <c r="AB80" s="151"/>
      <c r="AC80" s="172"/>
      <c r="AD80" s="172"/>
      <c r="AE80" s="174">
        <f>T80</f>
        <v>25300</v>
      </c>
      <c r="AF80" s="172"/>
      <c r="AG80" s="172"/>
      <c r="AH80" s="172"/>
      <c r="AI80" s="172"/>
      <c r="AJ80" s="152"/>
    </row>
    <row r="81" spans="1:38" x14ac:dyDescent="0.3">
      <c r="A81" s="157" t="s">
        <v>815</v>
      </c>
      <c r="B81" s="157" t="s">
        <v>443</v>
      </c>
      <c r="C81" s="157" t="s">
        <v>817</v>
      </c>
      <c r="D81" s="157" t="s">
        <v>26</v>
      </c>
      <c r="E81" s="157" t="s">
        <v>520</v>
      </c>
      <c r="F81" s="157" t="s">
        <v>827</v>
      </c>
      <c r="G81" s="1">
        <v>4</v>
      </c>
      <c r="H81" s="157" t="s">
        <v>24</v>
      </c>
      <c r="I81" s="175">
        <v>4</v>
      </c>
      <c r="J81" s="176"/>
      <c r="K81" s="176"/>
      <c r="L81" s="177"/>
      <c r="M81" s="163">
        <v>1</v>
      </c>
      <c r="N81" s="166">
        <v>8500</v>
      </c>
      <c r="O81" s="166">
        <f t="shared" si="14"/>
        <v>34000</v>
      </c>
      <c r="P81" s="173">
        <v>0.25</v>
      </c>
      <c r="Q81" s="186">
        <f t="shared" si="15"/>
        <v>6375</v>
      </c>
      <c r="R81" s="166">
        <f t="shared" si="17"/>
        <v>25500</v>
      </c>
      <c r="S81" s="178">
        <f t="shared" si="16"/>
        <v>2.9764499776065909E-2</v>
      </c>
      <c r="T81" s="168">
        <f t="shared" si="18"/>
        <v>25500</v>
      </c>
      <c r="U81" s="282">
        <f>T81</f>
        <v>25500</v>
      </c>
      <c r="Y81" s="152"/>
      <c r="Z81" s="282">
        <f t="shared" si="21"/>
        <v>25500</v>
      </c>
      <c r="AA81" s="152"/>
      <c r="AB81" s="151"/>
      <c r="AC81" s="172"/>
      <c r="AD81" s="172"/>
      <c r="AE81" s="172"/>
      <c r="AF81" s="174">
        <f>T81</f>
        <v>25500</v>
      </c>
      <c r="AG81" s="172"/>
      <c r="AH81" s="172"/>
      <c r="AI81" s="172"/>
      <c r="AJ81" s="152"/>
    </row>
    <row r="82" spans="1:38" x14ac:dyDescent="0.3">
      <c r="A82" s="157" t="s">
        <v>815</v>
      </c>
      <c r="B82" s="157" t="s">
        <v>158</v>
      </c>
      <c r="C82" s="157" t="s">
        <v>695</v>
      </c>
      <c r="D82" s="157" t="s">
        <v>446</v>
      </c>
      <c r="E82" s="157" t="s">
        <v>518</v>
      </c>
      <c r="F82" s="157">
        <v>88</v>
      </c>
      <c r="G82" s="1">
        <v>1</v>
      </c>
      <c r="H82" s="157" t="s">
        <v>22</v>
      </c>
      <c r="K82" s="176">
        <v>88</v>
      </c>
      <c r="L82" s="286"/>
      <c r="M82" s="157">
        <v>1</v>
      </c>
      <c r="N82" s="166">
        <v>338800</v>
      </c>
      <c r="O82" s="166">
        <f t="shared" si="14"/>
        <v>338800</v>
      </c>
      <c r="P82" s="815">
        <v>0.75</v>
      </c>
      <c r="Q82" s="186">
        <f t="shared" si="15"/>
        <v>84700</v>
      </c>
      <c r="R82" s="166">
        <f t="shared" si="17"/>
        <v>84700</v>
      </c>
      <c r="S82" s="167">
        <f t="shared" si="16"/>
        <v>9.8864828667952251E-2</v>
      </c>
      <c r="T82" s="168">
        <f t="shared" si="18"/>
        <v>84700</v>
      </c>
      <c r="U82" s="280"/>
      <c r="V82" s="169">
        <f>T82</f>
        <v>84700</v>
      </c>
      <c r="Y82" s="152"/>
      <c r="Z82" s="280"/>
      <c r="AA82" s="171">
        <f t="shared" ref="AA82:AA84" si="22">T82</f>
        <v>84700</v>
      </c>
      <c r="AB82" s="151"/>
      <c r="AC82" s="172"/>
      <c r="AD82" s="172"/>
      <c r="AE82" s="172"/>
      <c r="AF82" s="172"/>
      <c r="AG82" s="172"/>
      <c r="AH82" s="174">
        <f>T82</f>
        <v>84700</v>
      </c>
      <c r="AI82" s="172"/>
      <c r="AJ82" s="152"/>
    </row>
    <row r="83" spans="1:38" x14ac:dyDescent="0.3">
      <c r="A83" s="157" t="s">
        <v>815</v>
      </c>
      <c r="B83" s="157" t="s">
        <v>108</v>
      </c>
      <c r="C83" s="157" t="s">
        <v>696</v>
      </c>
      <c r="D83" s="157" t="s">
        <v>448</v>
      </c>
      <c r="E83" s="157" t="s">
        <v>518</v>
      </c>
      <c r="F83" s="808" t="s">
        <v>825</v>
      </c>
      <c r="G83" s="1">
        <v>1</v>
      </c>
      <c r="H83" s="157" t="s">
        <v>63</v>
      </c>
      <c r="I83" s="159">
        <v>1</v>
      </c>
      <c r="J83" s="806"/>
      <c r="K83" s="161">
        <v>1</v>
      </c>
      <c r="L83" s="2209"/>
      <c r="M83" s="157">
        <v>2</v>
      </c>
      <c r="N83" s="166">
        <v>12000</v>
      </c>
      <c r="O83" s="166">
        <f t="shared" si="14"/>
        <v>24000</v>
      </c>
      <c r="P83" s="173">
        <v>0.25</v>
      </c>
      <c r="Q83" s="186">
        <f t="shared" si="15"/>
        <v>9000</v>
      </c>
      <c r="R83" s="166">
        <f t="shared" si="17"/>
        <v>18000</v>
      </c>
      <c r="S83" s="167">
        <f t="shared" si="16"/>
        <v>2.1010235136046523E-2</v>
      </c>
      <c r="T83" s="168">
        <f t="shared" si="18"/>
        <v>18000</v>
      </c>
      <c r="U83" s="282">
        <f>T83</f>
        <v>18000</v>
      </c>
      <c r="Y83" s="152"/>
      <c r="Z83" s="280"/>
      <c r="AA83" s="171">
        <f t="shared" si="22"/>
        <v>18000</v>
      </c>
      <c r="AB83" s="151"/>
      <c r="AC83" s="172"/>
      <c r="AD83" s="172"/>
      <c r="AE83" s="172"/>
      <c r="AF83" s="172"/>
      <c r="AG83" s="172"/>
      <c r="AH83" s="172"/>
      <c r="AI83" s="174">
        <f>T83</f>
        <v>18000</v>
      </c>
      <c r="AJ83" s="152"/>
    </row>
    <row r="84" spans="1:38" x14ac:dyDescent="0.3">
      <c r="A84" s="157" t="s">
        <v>815</v>
      </c>
      <c r="B84" s="157" t="s">
        <v>108</v>
      </c>
      <c r="C84" s="157" t="s">
        <v>696</v>
      </c>
      <c r="D84" s="157" t="s">
        <v>449</v>
      </c>
      <c r="E84" s="157" t="s">
        <v>518</v>
      </c>
      <c r="F84" s="157" t="s">
        <v>825</v>
      </c>
      <c r="G84" s="1">
        <v>1</v>
      </c>
      <c r="H84" s="157" t="s">
        <v>63</v>
      </c>
      <c r="I84" s="159">
        <v>1</v>
      </c>
      <c r="J84" s="806"/>
      <c r="K84" s="161">
        <v>1</v>
      </c>
      <c r="L84" s="2209"/>
      <c r="M84" s="157">
        <v>2</v>
      </c>
      <c r="N84" s="166">
        <v>36000</v>
      </c>
      <c r="O84" s="166">
        <f t="shared" si="14"/>
        <v>72000</v>
      </c>
      <c r="P84" s="173">
        <v>0.25</v>
      </c>
      <c r="Q84" s="186">
        <f t="shared" si="15"/>
        <v>27000</v>
      </c>
      <c r="R84" s="166">
        <f t="shared" si="17"/>
        <v>54000</v>
      </c>
      <c r="S84" s="167">
        <f t="shared" si="16"/>
        <v>6.303070540813957E-2</v>
      </c>
      <c r="T84" s="168">
        <f t="shared" si="18"/>
        <v>54000</v>
      </c>
      <c r="U84" s="282">
        <f>T84</f>
        <v>54000</v>
      </c>
      <c r="Y84" s="152"/>
      <c r="Z84" s="280"/>
      <c r="AA84" s="171">
        <f t="shared" si="22"/>
        <v>54000</v>
      </c>
      <c r="AB84" s="151"/>
      <c r="AC84" s="172"/>
      <c r="AD84" s="172"/>
      <c r="AE84" s="172"/>
      <c r="AF84" s="172"/>
      <c r="AG84" s="172"/>
      <c r="AH84" s="172"/>
      <c r="AI84" s="174">
        <f>T84</f>
        <v>54000</v>
      </c>
      <c r="AJ84" s="152"/>
    </row>
    <row r="85" spans="1:38" x14ac:dyDescent="0.3">
      <c r="A85" s="157" t="s">
        <v>815</v>
      </c>
      <c r="B85" s="157" t="s">
        <v>41</v>
      </c>
      <c r="C85" s="157" t="s">
        <v>828</v>
      </c>
      <c r="D85" s="157" t="s">
        <v>450</v>
      </c>
      <c r="E85" s="157" t="s">
        <v>520</v>
      </c>
      <c r="F85" s="158" t="s">
        <v>829</v>
      </c>
      <c r="G85" s="157">
        <v>35</v>
      </c>
      <c r="H85" s="157" t="s">
        <v>24</v>
      </c>
      <c r="I85" s="175">
        <v>35</v>
      </c>
      <c r="J85" s="176"/>
      <c r="K85" s="176"/>
      <c r="L85" s="177"/>
      <c r="M85" s="157">
        <v>1</v>
      </c>
      <c r="N85" s="166">
        <v>1600</v>
      </c>
      <c r="O85" s="166">
        <f t="shared" si="14"/>
        <v>56000</v>
      </c>
      <c r="P85" s="173">
        <v>0.7</v>
      </c>
      <c r="Q85" s="166">
        <f t="shared" si="15"/>
        <v>480.00000000000006</v>
      </c>
      <c r="R85" s="166">
        <f>Q85*M85*G85</f>
        <v>16800.000000000004</v>
      </c>
      <c r="S85" s="178">
        <f t="shared" si="16"/>
        <v>1.9609552793643428E-2</v>
      </c>
      <c r="T85" s="168">
        <f t="shared" si="18"/>
        <v>16800.000000000004</v>
      </c>
      <c r="U85" s="280"/>
      <c r="W85" s="169">
        <f>T85</f>
        <v>16800.000000000004</v>
      </c>
      <c r="X85" s="169"/>
      <c r="Y85" s="152"/>
      <c r="Z85" s="282">
        <f>T85</f>
        <v>16800.000000000004</v>
      </c>
      <c r="AA85" s="152"/>
      <c r="AB85" s="151"/>
      <c r="AC85" s="172"/>
      <c r="AD85" s="172"/>
      <c r="AE85" s="172"/>
      <c r="AF85" s="172"/>
      <c r="AG85" s="172"/>
      <c r="AH85" s="172"/>
      <c r="AI85" s="174">
        <f>T85</f>
        <v>16800.000000000004</v>
      </c>
      <c r="AJ85" s="152"/>
    </row>
    <row r="86" spans="1:38" x14ac:dyDescent="0.3">
      <c r="A86" s="157" t="s">
        <v>815</v>
      </c>
      <c r="B86" s="157" t="s">
        <v>150</v>
      </c>
      <c r="C86" s="157" t="s">
        <v>830</v>
      </c>
      <c r="D86" s="157" t="s">
        <v>68</v>
      </c>
      <c r="E86" s="157" t="s">
        <v>520</v>
      </c>
      <c r="F86" s="158" t="s">
        <v>542</v>
      </c>
      <c r="G86" s="157">
        <v>10</v>
      </c>
      <c r="H86" s="157" t="s">
        <v>24</v>
      </c>
      <c r="I86" s="175">
        <v>10</v>
      </c>
      <c r="J86" s="176"/>
      <c r="K86" s="176"/>
      <c r="L86" s="177"/>
      <c r="M86" s="157">
        <v>1</v>
      </c>
      <c r="N86" s="166">
        <v>11181</v>
      </c>
      <c r="O86" s="166">
        <f t="shared" si="14"/>
        <v>111810</v>
      </c>
      <c r="P86" s="173">
        <v>0.4</v>
      </c>
      <c r="Q86" s="166">
        <f t="shared" si="15"/>
        <v>6708.5999999999995</v>
      </c>
      <c r="R86" s="166">
        <f t="shared" si="17"/>
        <v>67086</v>
      </c>
      <c r="S86" s="178">
        <f t="shared" si="16"/>
        <v>7.8305146352045399E-2</v>
      </c>
      <c r="T86" s="168">
        <f t="shared" si="18"/>
        <v>67086</v>
      </c>
      <c r="U86" s="280"/>
      <c r="W86" s="169">
        <f>T86</f>
        <v>67086</v>
      </c>
      <c r="X86" s="169"/>
      <c r="Y86" s="152"/>
      <c r="Z86" s="282">
        <f>T86</f>
        <v>67086</v>
      </c>
      <c r="AA86" s="152"/>
      <c r="AB86" s="151"/>
      <c r="AC86" s="172"/>
      <c r="AD86" s="172"/>
      <c r="AE86" s="172"/>
      <c r="AF86" s="172"/>
      <c r="AG86" s="172"/>
      <c r="AH86" s="172"/>
      <c r="AI86" s="172"/>
      <c r="AJ86" s="171">
        <f>T86</f>
        <v>67086</v>
      </c>
    </row>
    <row r="87" spans="1:38" x14ac:dyDescent="0.3">
      <c r="A87" s="157"/>
      <c r="B87" s="157"/>
      <c r="C87" s="157"/>
      <c r="D87" s="157"/>
      <c r="E87" s="157"/>
      <c r="F87" s="158"/>
      <c r="G87" s="157"/>
      <c r="H87" s="157"/>
      <c r="L87" s="286"/>
      <c r="M87" s="157"/>
      <c r="N87" s="166"/>
      <c r="O87" s="166"/>
      <c r="P87" s="173"/>
      <c r="Q87" s="166"/>
      <c r="R87" s="166"/>
      <c r="S87" s="6"/>
      <c r="T87" s="168"/>
      <c r="U87" s="280"/>
      <c r="X87" s="169"/>
      <c r="Y87" s="152"/>
      <c r="Z87" s="280"/>
      <c r="AA87" s="152"/>
      <c r="AB87" s="151"/>
      <c r="AC87" s="172"/>
      <c r="AD87" s="172"/>
      <c r="AE87" s="172"/>
      <c r="AF87" s="172"/>
      <c r="AG87" s="172"/>
      <c r="AH87" s="172"/>
      <c r="AI87" s="172"/>
      <c r="AJ87" s="152"/>
    </row>
    <row r="88" spans="1:38" x14ac:dyDescent="0.3">
      <c r="A88" s="157"/>
      <c r="B88" s="157"/>
      <c r="C88" s="157"/>
      <c r="D88" s="157"/>
      <c r="E88" s="157"/>
      <c r="F88" s="158"/>
      <c r="G88" s="157"/>
      <c r="H88" s="157"/>
      <c r="L88" s="286"/>
      <c r="M88" s="157"/>
      <c r="N88" s="166"/>
      <c r="O88" s="166"/>
      <c r="P88" s="173"/>
      <c r="Q88" s="166"/>
      <c r="R88" s="166"/>
      <c r="S88" s="6"/>
      <c r="T88" s="168"/>
      <c r="U88" s="280"/>
      <c r="X88" s="169"/>
      <c r="Y88" s="152"/>
      <c r="Z88" s="280"/>
      <c r="AA88" s="152"/>
      <c r="AB88" s="151"/>
      <c r="AC88" s="172"/>
      <c r="AD88" s="172"/>
      <c r="AE88" s="172"/>
      <c r="AF88" s="172"/>
      <c r="AG88" s="172"/>
      <c r="AH88" s="172"/>
      <c r="AI88" s="172"/>
      <c r="AJ88" s="152"/>
    </row>
    <row r="89" spans="1:38" x14ac:dyDescent="0.3">
      <c r="A89" s="157"/>
      <c r="B89" s="157"/>
      <c r="C89" s="157"/>
      <c r="D89" s="157"/>
      <c r="E89" s="157"/>
      <c r="F89" s="158"/>
      <c r="G89" s="157"/>
      <c r="H89" s="157"/>
      <c r="L89" s="286"/>
      <c r="M89" s="157"/>
      <c r="N89" s="166"/>
      <c r="O89" s="166"/>
      <c r="P89" s="173"/>
      <c r="Q89" s="166"/>
      <c r="R89" s="166"/>
      <c r="S89" s="6"/>
      <c r="T89" s="168"/>
      <c r="U89" s="280"/>
      <c r="X89" s="169"/>
      <c r="Y89" s="152"/>
      <c r="Z89" s="280"/>
      <c r="AA89" s="152"/>
      <c r="AB89" s="151"/>
      <c r="AC89" s="172"/>
      <c r="AD89" s="172"/>
      <c r="AE89" s="172"/>
      <c r="AF89" s="172"/>
      <c r="AG89" s="172"/>
      <c r="AH89" s="172"/>
      <c r="AI89" s="172"/>
      <c r="AJ89" s="152"/>
    </row>
    <row r="90" spans="1:38" x14ac:dyDescent="0.3">
      <c r="A90" s="108" t="s">
        <v>815</v>
      </c>
      <c r="B90" s="108" t="s">
        <v>528</v>
      </c>
      <c r="C90" s="108"/>
      <c r="D90" s="108"/>
      <c r="E90" s="108"/>
      <c r="F90" s="479"/>
      <c r="G90" s="108"/>
      <c r="H90" s="108"/>
      <c r="I90" s="254"/>
      <c r="J90" s="254"/>
      <c r="K90" s="254"/>
      <c r="L90" s="736"/>
      <c r="M90" s="108"/>
      <c r="N90" s="257"/>
      <c r="O90" s="257"/>
      <c r="P90" s="109"/>
      <c r="Q90" s="257"/>
      <c r="R90" s="257"/>
      <c r="S90" s="256">
        <f>R90/R93</f>
        <v>0</v>
      </c>
      <c r="T90" s="168">
        <f t="shared" ref="T90:T91" si="23">R90*2</f>
        <v>0</v>
      </c>
      <c r="U90" s="280"/>
      <c r="X90" s="169">
        <f>T90</f>
        <v>0</v>
      </c>
      <c r="Y90" s="152"/>
      <c r="Z90" s="280"/>
      <c r="AA90" s="152"/>
      <c r="AB90" s="151"/>
      <c r="AC90" s="172"/>
      <c r="AD90" s="172"/>
      <c r="AE90" s="172"/>
      <c r="AF90" s="172"/>
      <c r="AG90" s="172"/>
      <c r="AH90" s="172"/>
      <c r="AI90" s="172"/>
      <c r="AJ90" s="152"/>
    </row>
    <row r="91" spans="1:38" x14ac:dyDescent="0.3">
      <c r="A91" s="190" t="s">
        <v>815</v>
      </c>
      <c r="B91" s="190" t="s">
        <v>529</v>
      </c>
      <c r="C91" s="190"/>
      <c r="D91" s="190"/>
      <c r="E91" s="190"/>
      <c r="F91" s="191"/>
      <c r="G91" s="190"/>
      <c r="H91" s="190"/>
      <c r="I91" s="245"/>
      <c r="J91" s="245"/>
      <c r="K91" s="245"/>
      <c r="L91" s="287"/>
      <c r="M91" s="190"/>
      <c r="N91" s="194"/>
      <c r="O91" s="194"/>
      <c r="P91" s="195"/>
      <c r="Q91" s="194"/>
      <c r="R91" s="194"/>
      <c r="S91" s="196">
        <f>R91/R93</f>
        <v>0</v>
      </c>
      <c r="T91" s="168">
        <f t="shared" si="23"/>
        <v>0</v>
      </c>
      <c r="U91" s="280"/>
      <c r="Y91" s="171">
        <f>T91</f>
        <v>0</v>
      </c>
      <c r="Z91" s="280"/>
      <c r="AA91" s="152"/>
      <c r="AB91" s="151"/>
      <c r="AC91" s="172"/>
      <c r="AD91" s="172"/>
      <c r="AE91" s="172"/>
      <c r="AF91" s="172"/>
      <c r="AG91" s="172"/>
      <c r="AH91" s="172"/>
      <c r="AI91" s="172"/>
      <c r="AJ91" s="152"/>
    </row>
    <row r="92" spans="1:38" x14ac:dyDescent="0.3">
      <c r="A92" s="286"/>
      <c r="B92" s="157"/>
      <c r="C92" s="157"/>
      <c r="D92" s="157"/>
      <c r="E92" s="157"/>
      <c r="F92" s="158"/>
      <c r="G92" s="157"/>
      <c r="H92" s="157"/>
      <c r="I92" s="115">
        <f>I93/$M$93</f>
        <v>0.18104906937394247</v>
      </c>
      <c r="J92" s="115">
        <f t="shared" ref="J92:L92" si="24">J93/$M$93</f>
        <v>0.17428087986463622</v>
      </c>
      <c r="K92" s="115">
        <f t="shared" si="24"/>
        <v>0.40609137055837563</v>
      </c>
      <c r="L92" s="115">
        <f t="shared" si="24"/>
        <v>0.23857868020304568</v>
      </c>
      <c r="M92" s="157"/>
      <c r="N92" s="166"/>
      <c r="O92" s="166"/>
      <c r="P92" s="173"/>
      <c r="Q92" s="166"/>
      <c r="R92" s="166"/>
      <c r="T92" s="149"/>
      <c r="U92" s="566"/>
      <c r="V92" s="245"/>
      <c r="W92" s="245"/>
      <c r="X92" s="245"/>
      <c r="Y92" s="567"/>
      <c r="Z92" s="566"/>
      <c r="AA92" s="567"/>
      <c r="AB92" s="737"/>
      <c r="AC92" s="738"/>
      <c r="AD92" s="738"/>
      <c r="AE92" s="738"/>
      <c r="AF92" s="738"/>
      <c r="AG92" s="738"/>
      <c r="AH92" s="738"/>
      <c r="AI92" s="738"/>
      <c r="AJ92" s="567"/>
    </row>
    <row r="93" spans="1:38" x14ac:dyDescent="0.3">
      <c r="A93" s="212" t="s">
        <v>531</v>
      </c>
      <c r="B93" s="213"/>
      <c r="C93" s="213"/>
      <c r="D93" s="213"/>
      <c r="E93" s="213"/>
      <c r="F93" s="214"/>
      <c r="G93" s="213"/>
      <c r="H93" s="213"/>
      <c r="I93" s="213">
        <f>I86+I85+I84+I83+I81+I80+I79+I75</f>
        <v>107</v>
      </c>
      <c r="J93" s="213">
        <f>J77+J74+J73</f>
        <v>103</v>
      </c>
      <c r="K93" s="213">
        <f>K82+K73+K78+K83+K84</f>
        <v>240</v>
      </c>
      <c r="L93" s="213">
        <f>L76+L74+L78</f>
        <v>141</v>
      </c>
      <c r="M93" s="213">
        <f>SUM(I93:L93)</f>
        <v>591</v>
      </c>
      <c r="N93" s="215"/>
      <c r="O93" s="215">
        <f>SUM(O73:O92)</f>
        <v>3397012</v>
      </c>
      <c r="P93" s="216">
        <f>1-R93/O93</f>
        <v>0.74780033158552284</v>
      </c>
      <c r="Q93" s="215"/>
      <c r="R93" s="481">
        <f>SUM(R72:R92)</f>
        <v>856725.3</v>
      </c>
      <c r="S93" s="218">
        <f>SUM(S72:S91)</f>
        <v>0.99999999999999978</v>
      </c>
      <c r="T93" s="568">
        <f>SUM(T72:T92)</f>
        <v>856725.3</v>
      </c>
      <c r="U93" s="220">
        <f>SUM(U71:U92)</f>
        <v>148100</v>
      </c>
      <c r="V93" s="221">
        <f t="shared" ref="V93:AA93" si="25">SUM(V72:V91)</f>
        <v>624739.30000000005</v>
      </c>
      <c r="W93" s="221">
        <f t="shared" si="25"/>
        <v>83886</v>
      </c>
      <c r="X93" s="221">
        <f t="shared" si="25"/>
        <v>0</v>
      </c>
      <c r="Y93" s="223">
        <f t="shared" si="25"/>
        <v>0</v>
      </c>
      <c r="Z93" s="222">
        <f t="shared" si="25"/>
        <v>344804</v>
      </c>
      <c r="AA93" s="223">
        <f t="shared" si="25"/>
        <v>511921.3</v>
      </c>
      <c r="AB93" s="222">
        <f>SUM(AB73:AB92)</f>
        <v>41958.000000000007</v>
      </c>
      <c r="AC93" s="816">
        <f>SUM(AC73:AC92)</f>
        <v>316800</v>
      </c>
      <c r="AD93" s="816">
        <f t="shared" ref="AD93:AJ93" si="26">SUM(AD73:AD92)</f>
        <v>181281.3</v>
      </c>
      <c r="AE93" s="816">
        <f t="shared" si="26"/>
        <v>50600</v>
      </c>
      <c r="AF93" s="816">
        <f t="shared" si="26"/>
        <v>25500</v>
      </c>
      <c r="AG93" s="816">
        <f t="shared" si="26"/>
        <v>0</v>
      </c>
      <c r="AH93" s="816">
        <f t="shared" si="26"/>
        <v>84700</v>
      </c>
      <c r="AI93" s="816">
        <f t="shared" si="26"/>
        <v>88800</v>
      </c>
      <c r="AJ93" s="820">
        <f t="shared" si="26"/>
        <v>67086</v>
      </c>
      <c r="AK93" s="111"/>
      <c r="AL93" s="111"/>
    </row>
    <row r="94" spans="1:38" x14ac:dyDescent="0.3">
      <c r="A94" s="228" t="s">
        <v>532</v>
      </c>
      <c r="B94" s="229"/>
      <c r="C94" s="229"/>
      <c r="D94" s="229"/>
      <c r="E94" s="229"/>
      <c r="F94" s="230"/>
      <c r="G94" s="229"/>
      <c r="H94" s="229"/>
      <c r="I94" s="229">
        <f>I86+I85+I84+I83+I81+I80+I79+I75</f>
        <v>107</v>
      </c>
      <c r="J94" s="229">
        <f>I86+I85+I84+I83+I81+I80+I79+J77+J74+J73</f>
        <v>194</v>
      </c>
      <c r="K94" s="229">
        <f>I86+I85+K84+K83+K82+I81+K78+K73</f>
        <v>289</v>
      </c>
      <c r="L94" s="229">
        <f>I86+I85+K84+K83+I81+L78+L76+L74</f>
        <v>192</v>
      </c>
      <c r="M94" s="229">
        <f>SUM(I94:L94)</f>
        <v>782</v>
      </c>
      <c r="N94" s="231"/>
      <c r="O94" s="231"/>
      <c r="P94" s="232"/>
      <c r="Q94" s="231"/>
      <c r="R94" s="231"/>
      <c r="S94" s="233"/>
      <c r="T94" s="234"/>
      <c r="U94" s="235">
        <f>U93/T93</f>
        <v>0.17286754575824945</v>
      </c>
      <c r="V94" s="236">
        <f>V93/T93</f>
        <v>0.72921775509606168</v>
      </c>
      <c r="W94" s="236">
        <f>W93/T93</f>
        <v>9.7914699145688816E-2</v>
      </c>
      <c r="X94" s="236">
        <f>X93/T93</f>
        <v>0</v>
      </c>
      <c r="Y94" s="297">
        <f>Y93/T93</f>
        <v>0</v>
      </c>
      <c r="Z94" s="298">
        <f>Z93/T93</f>
        <v>0.40246739532496589</v>
      </c>
      <c r="AA94" s="297">
        <f>AA93/T93</f>
        <v>0.59753260467503411</v>
      </c>
      <c r="AB94" s="240"/>
      <c r="AC94" s="241"/>
      <c r="AD94" s="241"/>
      <c r="AE94" s="241"/>
      <c r="AF94" s="241"/>
      <c r="AG94" s="241"/>
      <c r="AH94" s="241"/>
      <c r="AI94" s="241"/>
      <c r="AJ94" s="242"/>
    </row>
    <row r="95" spans="1:38" x14ac:dyDescent="0.3">
      <c r="A95" s="243" t="s">
        <v>533</v>
      </c>
      <c r="B95" s="193"/>
      <c r="C95" s="193"/>
      <c r="D95" s="193"/>
      <c r="E95" s="193"/>
      <c r="F95" s="244"/>
      <c r="G95" s="193"/>
      <c r="H95" s="193"/>
      <c r="I95" s="2182">
        <f>I94/$M$94</f>
        <v>0.13682864450127877</v>
      </c>
      <c r="J95" s="2182">
        <f t="shared" ref="J95:L95" si="27">J94/$M$94</f>
        <v>0.24808184143222506</v>
      </c>
      <c r="K95" s="2182">
        <f t="shared" si="27"/>
        <v>0.36956521739130432</v>
      </c>
      <c r="L95" s="2182">
        <f t="shared" si="27"/>
        <v>0.24552429667519182</v>
      </c>
      <c r="M95" s="193"/>
      <c r="N95" s="246"/>
      <c r="O95" s="246"/>
      <c r="P95" s="196"/>
      <c r="Q95" s="246"/>
      <c r="R95" s="194">
        <f>U93</f>
        <v>148100</v>
      </c>
      <c r="S95" s="247">
        <f>R95/R100</f>
        <v>0.17286754575824945</v>
      </c>
      <c r="Y95" s="248"/>
      <c r="Z95" s="357">
        <f>J73+K73+J77+K78+L78+I79+I80+I81+I85+I86</f>
        <v>417</v>
      </c>
      <c r="AA95" s="358">
        <f>J74+L74+I75+L76+K82+I84+K83+I83+K84</f>
        <v>174</v>
      </c>
    </row>
    <row r="96" spans="1:38" x14ac:dyDescent="0.3">
      <c r="A96" s="251" t="s">
        <v>11</v>
      </c>
      <c r="B96" s="252"/>
      <c r="C96" s="252"/>
      <c r="D96" s="252"/>
      <c r="E96" s="252"/>
      <c r="F96" s="253"/>
      <c r="G96" s="252"/>
      <c r="H96" s="252"/>
      <c r="I96" s="254"/>
      <c r="J96" s="254"/>
      <c r="K96" s="254"/>
      <c r="L96" s="254"/>
      <c r="M96" s="252"/>
      <c r="N96" s="255"/>
      <c r="O96" s="255"/>
      <c r="P96" s="256"/>
      <c r="Q96" s="255"/>
      <c r="R96" s="257">
        <f>V93</f>
        <v>624739.30000000005</v>
      </c>
      <c r="S96" s="262">
        <f>R96/R100</f>
        <v>0.72921775509606168</v>
      </c>
      <c r="T96" s="574">
        <f>R93/M93</f>
        <v>1449.6197969543148</v>
      </c>
      <c r="U96" s="489" t="s">
        <v>535</v>
      </c>
      <c r="Z96" s="195">
        <f>Z95/M93</f>
        <v>0.70558375634517767</v>
      </c>
      <c r="AA96" s="247">
        <f>AA95/M93</f>
        <v>0.29441624365482233</v>
      </c>
    </row>
    <row r="97" spans="1:36" x14ac:dyDescent="0.3">
      <c r="A97" s="251" t="s">
        <v>536</v>
      </c>
      <c r="B97" s="252"/>
      <c r="C97" s="252"/>
      <c r="D97" s="252"/>
      <c r="E97" s="252"/>
      <c r="F97" s="253"/>
      <c r="G97" s="252"/>
      <c r="H97" s="252"/>
      <c r="I97" s="254"/>
      <c r="J97" s="254"/>
      <c r="K97" s="254"/>
      <c r="L97" s="254"/>
      <c r="M97" s="252"/>
      <c r="N97" s="255"/>
      <c r="O97" s="255"/>
      <c r="P97" s="256"/>
      <c r="Q97" s="255"/>
      <c r="R97" s="257">
        <f>W93</f>
        <v>83886</v>
      </c>
      <c r="S97" s="262">
        <f>R97/R100</f>
        <v>9.7914699145688816E-2</v>
      </c>
      <c r="X97" s="99"/>
      <c r="Z97" s="2265" t="s">
        <v>537</v>
      </c>
      <c r="AA97" s="2265"/>
    </row>
    <row r="98" spans="1:36" x14ac:dyDescent="0.3">
      <c r="A98" s="251" t="s">
        <v>529</v>
      </c>
      <c r="B98" s="252"/>
      <c r="C98" s="252"/>
      <c r="D98" s="252"/>
      <c r="E98" s="252"/>
      <c r="F98" s="253"/>
      <c r="G98" s="252"/>
      <c r="H98" s="252"/>
      <c r="I98" s="254"/>
      <c r="J98" s="254"/>
      <c r="K98" s="254"/>
      <c r="L98" s="254"/>
      <c r="M98" s="252"/>
      <c r="N98" s="255"/>
      <c r="O98" s="255"/>
      <c r="P98" s="256"/>
      <c r="Q98" s="255"/>
      <c r="R98" s="257">
        <f>Y93/2</f>
        <v>0</v>
      </c>
      <c r="S98" s="262">
        <f>R98/R100</f>
        <v>0</v>
      </c>
      <c r="U98" s="263"/>
    </row>
    <row r="99" spans="1:36" x14ac:dyDescent="0.3">
      <c r="A99" s="251" t="s">
        <v>528</v>
      </c>
      <c r="B99" s="252"/>
      <c r="C99" s="252"/>
      <c r="D99" s="252"/>
      <c r="E99" s="252"/>
      <c r="F99" s="253"/>
      <c r="G99" s="252"/>
      <c r="H99" s="252"/>
      <c r="I99" s="254"/>
      <c r="J99" s="254"/>
      <c r="K99" s="254"/>
      <c r="L99" s="254"/>
      <c r="M99" s="252"/>
      <c r="N99" s="255"/>
      <c r="O99" s="255"/>
      <c r="P99" s="256"/>
      <c r="Q99" s="255"/>
      <c r="R99" s="257">
        <f>X93/2</f>
        <v>0</v>
      </c>
      <c r="S99" s="262">
        <f>R99/R100</f>
        <v>0</v>
      </c>
    </row>
    <row r="100" spans="1:36" x14ac:dyDescent="0.3">
      <c r="A100" s="251"/>
      <c r="B100" s="252"/>
      <c r="C100" s="252"/>
      <c r="D100" s="252"/>
      <c r="E100" s="252"/>
      <c r="F100" s="253"/>
      <c r="G100" s="252"/>
      <c r="H100" s="252"/>
      <c r="I100" s="254"/>
      <c r="J100" s="254"/>
      <c r="K100" s="254"/>
      <c r="L100" s="254"/>
      <c r="M100" s="252"/>
      <c r="N100" s="255"/>
      <c r="O100" s="255"/>
      <c r="P100" s="256"/>
      <c r="Q100" s="255"/>
      <c r="R100" s="264">
        <f>SUM(R95:R99)</f>
        <v>856725.3</v>
      </c>
      <c r="S100" s="262">
        <f>SUM(S95:S99)</f>
        <v>1</v>
      </c>
    </row>
    <row r="101" spans="1:36" x14ac:dyDescent="0.3">
      <c r="B101" s="2"/>
    </row>
    <row r="104" spans="1:36" x14ac:dyDescent="0.3">
      <c r="E104" s="1" t="s">
        <v>543</v>
      </c>
      <c r="F104" s="2" t="s">
        <v>831</v>
      </c>
      <c r="G104" s="1" t="s">
        <v>545</v>
      </c>
      <c r="H104" s="1"/>
      <c r="I104" s="304">
        <v>0.4</v>
      </c>
      <c r="J104" s="304"/>
    </row>
    <row r="105" spans="1:36" x14ac:dyDescent="0.3">
      <c r="E105" s="1" t="s">
        <v>473</v>
      </c>
      <c r="F105" s="2" t="s">
        <v>672</v>
      </c>
      <c r="G105" s="1" t="s">
        <v>473</v>
      </c>
      <c r="H105" s="1"/>
      <c r="I105" s="1">
        <v>39</v>
      </c>
      <c r="J105" s="1"/>
    </row>
    <row r="106" spans="1:36" x14ac:dyDescent="0.3">
      <c r="E106" s="1" t="s">
        <v>475</v>
      </c>
      <c r="F106" s="2" t="s">
        <v>832</v>
      </c>
      <c r="G106" s="1" t="s">
        <v>475</v>
      </c>
      <c r="H106" s="1"/>
      <c r="I106" s="95">
        <v>1537</v>
      </c>
      <c r="J106" s="95"/>
    </row>
    <row r="107" spans="1:36" x14ac:dyDescent="0.3">
      <c r="E107" s="1" t="s">
        <v>477</v>
      </c>
      <c r="F107" s="2" t="s">
        <v>833</v>
      </c>
      <c r="G107" s="1" t="s">
        <v>477</v>
      </c>
      <c r="H107" s="1"/>
      <c r="I107" s="95">
        <v>53326398</v>
      </c>
      <c r="J107" s="95"/>
    </row>
    <row r="110" spans="1:36" ht="18" x14ac:dyDescent="0.35">
      <c r="A110" s="118" t="s">
        <v>549</v>
      </c>
      <c r="O110" s="3"/>
      <c r="P110" s="115"/>
      <c r="R110" s="3"/>
      <c r="S110" s="99"/>
    </row>
    <row r="111" spans="1:36" x14ac:dyDescent="0.3">
      <c r="O111" s="3"/>
      <c r="P111" s="99"/>
      <c r="R111" s="3"/>
      <c r="S111" s="99"/>
    </row>
    <row r="112" spans="1:36" x14ac:dyDescent="0.3">
      <c r="A112" s="2446" t="s">
        <v>480</v>
      </c>
      <c r="B112" s="2447"/>
      <c r="C112" s="2447"/>
      <c r="D112" s="2447"/>
      <c r="E112" s="2447"/>
      <c r="F112" s="2447"/>
      <c r="G112" s="2447"/>
      <c r="H112" s="2447"/>
      <c r="I112" s="2447"/>
      <c r="J112" s="2447"/>
      <c r="K112" s="2447"/>
      <c r="L112" s="2447"/>
      <c r="M112" s="2447"/>
      <c r="N112" s="2447"/>
      <c r="O112" s="2447"/>
      <c r="P112" s="2447"/>
      <c r="Q112" s="2447"/>
      <c r="R112" s="2447"/>
      <c r="S112" s="2448"/>
      <c r="T112" s="2374" t="s">
        <v>584</v>
      </c>
      <c r="U112" s="2375"/>
      <c r="V112" s="2375"/>
      <c r="W112" s="2375"/>
      <c r="X112" s="2375"/>
      <c r="Y112" s="2375"/>
      <c r="Z112" s="2375"/>
      <c r="AA112" s="2375"/>
      <c r="AB112" s="2375"/>
      <c r="AC112" s="2375"/>
      <c r="AD112" s="2375"/>
      <c r="AE112" s="2375"/>
      <c r="AF112" s="2375"/>
      <c r="AG112" s="2375"/>
      <c r="AH112" s="2375"/>
      <c r="AI112" s="2375"/>
      <c r="AJ112" s="2376"/>
    </row>
    <row r="113" spans="1:36" ht="18" x14ac:dyDescent="0.35">
      <c r="A113" s="2467" t="s">
        <v>482</v>
      </c>
      <c r="B113" s="2469" t="s">
        <v>483</v>
      </c>
      <c r="C113" s="2469" t="s">
        <v>484</v>
      </c>
      <c r="D113" s="2469" t="s">
        <v>555</v>
      </c>
      <c r="E113" s="2469" t="s">
        <v>556</v>
      </c>
      <c r="F113" s="2471" t="s">
        <v>487</v>
      </c>
      <c r="G113" s="2469" t="s">
        <v>557</v>
      </c>
      <c r="H113" s="2469" t="s">
        <v>489</v>
      </c>
      <c r="I113" s="2464" t="s">
        <v>490</v>
      </c>
      <c r="J113" s="2464"/>
      <c r="K113" s="2464"/>
      <c r="L113" s="2464"/>
      <c r="M113" s="821" t="s">
        <v>491</v>
      </c>
      <c r="N113" s="822" t="s">
        <v>558</v>
      </c>
      <c r="O113" s="822" t="s">
        <v>812</v>
      </c>
      <c r="P113" s="823" t="s">
        <v>493</v>
      </c>
      <c r="Q113" s="822" t="s">
        <v>558</v>
      </c>
      <c r="R113" s="822" t="s">
        <v>559</v>
      </c>
      <c r="S113" s="2465" t="s">
        <v>495</v>
      </c>
      <c r="T113" s="695" t="s">
        <v>496</v>
      </c>
      <c r="U113" s="2409" t="s">
        <v>497</v>
      </c>
      <c r="V113" s="2410"/>
      <c r="W113" s="2410"/>
      <c r="X113" s="2410"/>
      <c r="Y113" s="2410"/>
      <c r="Z113" s="2403" t="s">
        <v>498</v>
      </c>
      <c r="AA113" s="2405"/>
      <c r="AB113" s="2404"/>
      <c r="AC113" s="2404"/>
      <c r="AD113" s="2404"/>
      <c r="AE113" s="2404"/>
      <c r="AF113" s="2404"/>
      <c r="AG113" s="2404"/>
      <c r="AH113" s="2404"/>
      <c r="AI113" s="2404"/>
      <c r="AJ113" s="2405"/>
    </row>
    <row r="114" spans="1:36" ht="18" x14ac:dyDescent="0.35">
      <c r="A114" s="2468"/>
      <c r="B114" s="2470"/>
      <c r="C114" s="2470"/>
      <c r="D114" s="2470"/>
      <c r="E114" s="2470"/>
      <c r="F114" s="2472"/>
      <c r="G114" s="2470"/>
      <c r="H114" s="2470"/>
      <c r="I114" s="824" t="s">
        <v>500</v>
      </c>
      <c r="J114" s="824" t="s">
        <v>501</v>
      </c>
      <c r="K114" s="824" t="s">
        <v>502</v>
      </c>
      <c r="L114" s="824" t="s">
        <v>503</v>
      </c>
      <c r="M114" s="825" t="s">
        <v>504</v>
      </c>
      <c r="N114" s="826" t="s">
        <v>505</v>
      </c>
      <c r="O114" s="826" t="s">
        <v>813</v>
      </c>
      <c r="P114" s="827" t="s">
        <v>506</v>
      </c>
      <c r="Q114" s="826" t="s">
        <v>507</v>
      </c>
      <c r="R114" s="826" t="s">
        <v>560</v>
      </c>
      <c r="S114" s="2466"/>
      <c r="T114" s="696" t="s">
        <v>508</v>
      </c>
      <c r="U114" s="2412"/>
      <c r="V114" s="2413"/>
      <c r="W114" s="2413"/>
      <c r="X114" s="2413"/>
      <c r="Y114" s="2413"/>
      <c r="Z114" s="2406"/>
      <c r="AA114" s="2408"/>
      <c r="AB114" s="2407"/>
      <c r="AC114" s="2407"/>
      <c r="AD114" s="2407"/>
      <c r="AE114" s="2407"/>
      <c r="AF114" s="2407"/>
      <c r="AG114" s="2407"/>
      <c r="AH114" s="2407"/>
      <c r="AI114" s="2407"/>
      <c r="AJ114" s="2408"/>
    </row>
    <row r="115" spans="1:36" ht="18" x14ac:dyDescent="0.35">
      <c r="A115" s="2377" t="s">
        <v>639</v>
      </c>
      <c r="B115" s="2378"/>
      <c r="C115" s="2378"/>
      <c r="D115" s="2378"/>
      <c r="E115" s="2378"/>
      <c r="F115" s="2378"/>
      <c r="G115" s="2378"/>
      <c r="H115" s="2378"/>
      <c r="I115" s="2378"/>
      <c r="J115" s="2378"/>
      <c r="K115" s="2378"/>
      <c r="L115" s="2378"/>
      <c r="M115" s="2378"/>
      <c r="N115" s="2378"/>
      <c r="O115" s="2378"/>
      <c r="P115" s="2378"/>
      <c r="Q115" s="2378"/>
      <c r="R115" s="2378"/>
      <c r="S115" s="2378"/>
      <c r="T115" s="559"/>
      <c r="U115" s="563" t="s">
        <v>510</v>
      </c>
      <c r="V115" s="561" t="s">
        <v>11</v>
      </c>
      <c r="W115" s="561" t="s">
        <v>511</v>
      </c>
      <c r="X115" s="561" t="s">
        <v>512</v>
      </c>
      <c r="Y115" s="562" t="s">
        <v>513</v>
      </c>
      <c r="Z115" s="563" t="s">
        <v>514</v>
      </c>
      <c r="AA115" s="562" t="s">
        <v>515</v>
      </c>
      <c r="AB115" s="721" t="s">
        <v>0</v>
      </c>
      <c r="AC115" s="722" t="s">
        <v>4</v>
      </c>
      <c r="AD115" s="722" t="s">
        <v>2</v>
      </c>
      <c r="AE115" s="722" t="s">
        <v>153</v>
      </c>
      <c r="AF115" s="722" t="s">
        <v>154</v>
      </c>
      <c r="AG115" s="722" t="s">
        <v>155</v>
      </c>
      <c r="AH115" s="722" t="s">
        <v>156</v>
      </c>
      <c r="AI115" s="722" t="s">
        <v>5</v>
      </c>
      <c r="AJ115" s="562" t="s">
        <v>814</v>
      </c>
    </row>
    <row r="116" spans="1:36" x14ac:dyDescent="0.3">
      <c r="A116" s="154"/>
      <c r="B116" s="462"/>
      <c r="C116" s="462"/>
      <c r="D116" s="462"/>
      <c r="E116" s="462"/>
      <c r="F116" s="463"/>
      <c r="G116" s="462"/>
      <c r="H116" s="462"/>
      <c r="I116" s="465"/>
      <c r="J116" s="465"/>
      <c r="K116" s="465"/>
      <c r="L116" s="465"/>
      <c r="M116" s="462"/>
      <c r="N116" s="468"/>
      <c r="O116" s="468"/>
      <c r="P116" s="469"/>
      <c r="Q116" s="468"/>
      <c r="R116" s="468"/>
      <c r="S116" s="532"/>
      <c r="T116" s="149"/>
      <c r="U116" s="280"/>
      <c r="Y116" s="152"/>
      <c r="Z116" s="280"/>
      <c r="AA116" s="152"/>
      <c r="AB116" s="280"/>
      <c r="AJ116" s="152"/>
    </row>
    <row r="117" spans="1:36" x14ac:dyDescent="0.3">
      <c r="A117" s="157" t="s">
        <v>815</v>
      </c>
      <c r="B117" s="157" t="s">
        <v>157</v>
      </c>
      <c r="C117" s="157" t="s">
        <v>695</v>
      </c>
      <c r="D117" s="157" t="s">
        <v>433</v>
      </c>
      <c r="E117" s="157" t="s">
        <v>520</v>
      </c>
      <c r="F117" s="157" t="s">
        <v>816</v>
      </c>
      <c r="G117" s="1">
        <v>60</v>
      </c>
      <c r="H117" s="157" t="s">
        <v>22</v>
      </c>
      <c r="I117" s="188"/>
      <c r="J117" s="806">
        <v>60</v>
      </c>
      <c r="K117" s="807">
        <v>60</v>
      </c>
      <c r="L117" s="286"/>
      <c r="M117" s="163">
        <v>2</v>
      </c>
      <c r="N117" s="166">
        <v>1398.6</v>
      </c>
      <c r="O117" s="166">
        <f t="shared" ref="O117:O128" si="28">N117*M117*G117</f>
        <v>167832</v>
      </c>
      <c r="P117" s="165">
        <v>0.7</v>
      </c>
      <c r="Q117" s="186">
        <f t="shared" ref="Q117:Q128" si="29">N117*(1-P117)</f>
        <v>419.58000000000004</v>
      </c>
      <c r="R117" s="166">
        <f>Q117*M117*G117</f>
        <v>50349.600000000006</v>
      </c>
      <c r="S117" s="178">
        <f>R117/$R$135</f>
        <v>8.6100866898117676E-2</v>
      </c>
      <c r="T117" s="168">
        <f>R117*3</f>
        <v>151048.80000000002</v>
      </c>
      <c r="U117" s="280"/>
      <c r="V117" s="169">
        <f>T117</f>
        <v>151048.80000000002</v>
      </c>
      <c r="Y117" s="152"/>
      <c r="Z117" s="282">
        <f>T117</f>
        <v>151048.80000000002</v>
      </c>
      <c r="AA117" s="152"/>
      <c r="AB117" s="282">
        <f>T117</f>
        <v>151048.80000000002</v>
      </c>
      <c r="AE117" s="169"/>
      <c r="AJ117" s="152"/>
    </row>
    <row r="118" spans="1:36" x14ac:dyDescent="0.3">
      <c r="A118" s="157" t="s">
        <v>815</v>
      </c>
      <c r="B118" s="157" t="s">
        <v>141</v>
      </c>
      <c r="C118" s="157" t="s">
        <v>817</v>
      </c>
      <c r="D118" s="157" t="s">
        <v>435</v>
      </c>
      <c r="E118" s="157" t="s">
        <v>518</v>
      </c>
      <c r="F118" s="158" t="s">
        <v>834</v>
      </c>
      <c r="G118" s="157">
        <v>1</v>
      </c>
      <c r="H118" s="157" t="s">
        <v>22</v>
      </c>
      <c r="I118" s="474"/>
      <c r="J118" s="726">
        <v>1</v>
      </c>
      <c r="L118" s="286"/>
      <c r="M118" s="163">
        <v>1</v>
      </c>
      <c r="N118" s="166">
        <v>633000</v>
      </c>
      <c r="O118" s="166">
        <f t="shared" si="28"/>
        <v>633000</v>
      </c>
      <c r="P118" s="173">
        <v>0.76</v>
      </c>
      <c r="Q118" s="166">
        <f t="shared" si="29"/>
        <v>151920</v>
      </c>
      <c r="R118" s="166">
        <f t="shared" ref="R118:R128" si="30">Q118*M118*G118</f>
        <v>151920</v>
      </c>
      <c r="S118" s="167">
        <f>R118/$R$135</f>
        <v>0.25979240548409593</v>
      </c>
      <c r="T118" s="168">
        <f t="shared" ref="T118:T128" si="31">R118*3</f>
        <v>455760</v>
      </c>
      <c r="U118" s="282">
        <f t="shared" ref="U118" si="32">T118</f>
        <v>455760</v>
      </c>
      <c r="Y118" s="152"/>
      <c r="Z118" s="282"/>
      <c r="AA118" s="171">
        <f t="shared" ref="AA118:AA119" si="33">T118</f>
        <v>455760</v>
      </c>
      <c r="AB118" s="280"/>
      <c r="AC118" s="169">
        <f>T118</f>
        <v>455760</v>
      </c>
      <c r="AD118" s="169"/>
      <c r="AE118" s="169"/>
      <c r="AJ118" s="152"/>
    </row>
    <row r="119" spans="1:36" x14ac:dyDescent="0.3">
      <c r="A119" s="157" t="s">
        <v>815</v>
      </c>
      <c r="B119" s="157" t="s">
        <v>141</v>
      </c>
      <c r="C119" s="157" t="s">
        <v>819</v>
      </c>
      <c r="D119" s="157" t="s">
        <v>142</v>
      </c>
      <c r="E119" s="157" t="s">
        <v>518</v>
      </c>
      <c r="F119" s="157" t="s">
        <v>835</v>
      </c>
      <c r="G119" s="1">
        <v>18</v>
      </c>
      <c r="H119" s="157" t="s">
        <v>22</v>
      </c>
      <c r="I119" s="474"/>
      <c r="K119" s="726">
        <v>18</v>
      </c>
      <c r="L119" s="286"/>
      <c r="M119" s="163">
        <v>1</v>
      </c>
      <c r="N119" s="166">
        <v>26400</v>
      </c>
      <c r="O119" s="166">
        <f t="shared" si="28"/>
        <v>475200</v>
      </c>
      <c r="P119" s="173">
        <v>0.76</v>
      </c>
      <c r="Q119" s="186">
        <f t="shared" si="29"/>
        <v>6336</v>
      </c>
      <c r="R119" s="166">
        <f t="shared" si="30"/>
        <v>114048</v>
      </c>
      <c r="S119" s="167">
        <f>R119/$R$135</f>
        <v>0.19502899065725496</v>
      </c>
      <c r="T119" s="168">
        <f t="shared" si="31"/>
        <v>342144</v>
      </c>
      <c r="U119" s="280"/>
      <c r="V119" s="169">
        <f>T119</f>
        <v>342144</v>
      </c>
      <c r="Y119" s="152"/>
      <c r="Z119" s="280"/>
      <c r="AA119" s="171">
        <f t="shared" si="33"/>
        <v>342144</v>
      </c>
      <c r="AB119" s="280"/>
      <c r="AC119" s="169">
        <f>T119</f>
        <v>342144</v>
      </c>
      <c r="AJ119" s="152"/>
    </row>
    <row r="120" spans="1:36" x14ac:dyDescent="0.3">
      <c r="A120" s="157" t="s">
        <v>815</v>
      </c>
      <c r="B120" s="157" t="s">
        <v>99</v>
      </c>
      <c r="C120" s="157" t="s">
        <v>695</v>
      </c>
      <c r="D120" s="810" t="s">
        <v>822</v>
      </c>
      <c r="E120" s="157" t="s">
        <v>520</v>
      </c>
      <c r="F120" s="157">
        <v>28</v>
      </c>
      <c r="G120" s="1">
        <v>1</v>
      </c>
      <c r="H120" s="157" t="s">
        <v>22</v>
      </c>
      <c r="I120" s="188"/>
      <c r="J120" s="811">
        <v>28</v>
      </c>
      <c r="K120" s="812"/>
      <c r="L120" s="286"/>
      <c r="M120" s="163">
        <v>1</v>
      </c>
      <c r="N120" s="166">
        <v>67000</v>
      </c>
      <c r="O120" s="166">
        <f t="shared" si="28"/>
        <v>67000</v>
      </c>
      <c r="P120" s="173">
        <v>0.85</v>
      </c>
      <c r="Q120" s="186">
        <f t="shared" si="29"/>
        <v>10050.000000000002</v>
      </c>
      <c r="R120" s="166">
        <f t="shared" si="30"/>
        <v>10050.000000000002</v>
      </c>
      <c r="S120" s="178">
        <f t="shared" ref="S120:S128" si="34">R120/$R$135</f>
        <v>1.7186108972585337E-2</v>
      </c>
      <c r="T120" s="168">
        <f t="shared" si="31"/>
        <v>30150.000000000007</v>
      </c>
      <c r="U120" s="280"/>
      <c r="V120" s="169">
        <f t="shared" ref="V120:V121" si="35">T120</f>
        <v>30150.000000000007</v>
      </c>
      <c r="Y120" s="152"/>
      <c r="Z120" s="282">
        <f t="shared" ref="Z120:Z125" si="36">T120</f>
        <v>30150.000000000007</v>
      </c>
      <c r="AA120" s="152"/>
      <c r="AB120" s="280"/>
      <c r="AD120" s="169">
        <f>T120</f>
        <v>30150.000000000007</v>
      </c>
      <c r="AJ120" s="152"/>
    </row>
    <row r="121" spans="1:36" x14ac:dyDescent="0.3">
      <c r="A121" s="157" t="s">
        <v>815</v>
      </c>
      <c r="B121" s="157" t="s">
        <v>99</v>
      </c>
      <c r="C121" s="157" t="s">
        <v>695</v>
      </c>
      <c r="D121" s="810" t="s">
        <v>439</v>
      </c>
      <c r="E121" s="157" t="s">
        <v>520</v>
      </c>
      <c r="F121" s="157">
        <v>100</v>
      </c>
      <c r="G121" s="1">
        <v>100</v>
      </c>
      <c r="H121" s="157" t="s">
        <v>22</v>
      </c>
      <c r="I121" s="806">
        <v>100</v>
      </c>
      <c r="J121" s="813"/>
      <c r="L121" s="286"/>
      <c r="M121" s="163">
        <v>1</v>
      </c>
      <c r="N121" s="166">
        <v>4427</v>
      </c>
      <c r="O121" s="166">
        <f t="shared" si="28"/>
        <v>442700</v>
      </c>
      <c r="P121" s="173">
        <v>0.85</v>
      </c>
      <c r="Q121" s="186">
        <f t="shared" si="29"/>
        <v>664.05000000000007</v>
      </c>
      <c r="R121" s="166">
        <f t="shared" si="30"/>
        <v>66405</v>
      </c>
      <c r="S121" s="178">
        <f t="shared" si="34"/>
        <v>0.11355657376363475</v>
      </c>
      <c r="T121" s="168">
        <f t="shared" si="31"/>
        <v>199215</v>
      </c>
      <c r="U121" s="280"/>
      <c r="V121" s="169">
        <f t="shared" si="35"/>
        <v>199215</v>
      </c>
      <c r="Y121" s="152"/>
      <c r="Z121" s="282">
        <f t="shared" si="36"/>
        <v>199215</v>
      </c>
      <c r="AA121" s="152"/>
      <c r="AB121" s="280"/>
      <c r="AD121" s="169">
        <f>T121</f>
        <v>199215</v>
      </c>
      <c r="AJ121" s="152"/>
    </row>
    <row r="122" spans="1:36" x14ac:dyDescent="0.3">
      <c r="A122" s="157" t="s">
        <v>815</v>
      </c>
      <c r="B122" s="157" t="s">
        <v>440</v>
      </c>
      <c r="C122" s="157" t="s">
        <v>696</v>
      </c>
      <c r="D122" s="814" t="s">
        <v>441</v>
      </c>
      <c r="E122" s="157" t="s">
        <v>520</v>
      </c>
      <c r="F122" s="157" t="s">
        <v>522</v>
      </c>
      <c r="G122" s="1">
        <v>10</v>
      </c>
      <c r="H122" s="157" t="s">
        <v>63</v>
      </c>
      <c r="I122" s="159">
        <v>15</v>
      </c>
      <c r="J122" s="161"/>
      <c r="L122" s="286"/>
      <c r="M122" s="163">
        <v>1</v>
      </c>
      <c r="N122" s="166">
        <v>2300</v>
      </c>
      <c r="O122" s="166">
        <f t="shared" si="28"/>
        <v>23000</v>
      </c>
      <c r="P122" s="173">
        <v>0.45</v>
      </c>
      <c r="Q122" s="186">
        <f t="shared" si="29"/>
        <v>1265</v>
      </c>
      <c r="R122" s="166">
        <f t="shared" si="30"/>
        <v>12650</v>
      </c>
      <c r="S122" s="178">
        <f t="shared" si="34"/>
        <v>2.1632266517731789E-2</v>
      </c>
      <c r="T122" s="168">
        <f t="shared" si="31"/>
        <v>37950</v>
      </c>
      <c r="U122" s="282">
        <f>T122</f>
        <v>37950</v>
      </c>
      <c r="Y122" s="152"/>
      <c r="Z122" s="282">
        <f t="shared" si="36"/>
        <v>37950</v>
      </c>
      <c r="AA122" s="152"/>
      <c r="AB122" s="280"/>
      <c r="AE122" s="169">
        <f>T122</f>
        <v>37950</v>
      </c>
      <c r="AJ122" s="152"/>
    </row>
    <row r="123" spans="1:36" x14ac:dyDescent="0.3">
      <c r="A123" s="157" t="s">
        <v>815</v>
      </c>
      <c r="B123" s="157" t="s">
        <v>440</v>
      </c>
      <c r="C123" s="157" t="s">
        <v>696</v>
      </c>
      <c r="D123" s="157" t="s">
        <v>442</v>
      </c>
      <c r="E123" s="157" t="s">
        <v>520</v>
      </c>
      <c r="F123" s="157" t="s">
        <v>522</v>
      </c>
      <c r="G123" s="1">
        <v>10</v>
      </c>
      <c r="H123" s="157" t="s">
        <v>63</v>
      </c>
      <c r="I123" s="175">
        <v>15</v>
      </c>
      <c r="J123" s="176"/>
      <c r="L123" s="162"/>
      <c r="M123" s="163">
        <v>1</v>
      </c>
      <c r="N123" s="166">
        <v>2300</v>
      </c>
      <c r="O123" s="166">
        <f t="shared" si="28"/>
        <v>23000</v>
      </c>
      <c r="P123" s="173">
        <v>0.45</v>
      </c>
      <c r="Q123" s="186">
        <f t="shared" si="29"/>
        <v>1265</v>
      </c>
      <c r="R123" s="166">
        <f t="shared" si="30"/>
        <v>12650</v>
      </c>
      <c r="S123" s="178">
        <f t="shared" si="34"/>
        <v>2.1632266517731789E-2</v>
      </c>
      <c r="T123" s="168">
        <f t="shared" si="31"/>
        <v>37950</v>
      </c>
      <c r="U123" s="282">
        <f>T123</f>
        <v>37950</v>
      </c>
      <c r="Y123" s="152"/>
      <c r="Z123" s="282">
        <f t="shared" si="36"/>
        <v>37950</v>
      </c>
      <c r="AA123" s="152"/>
      <c r="AB123" s="280"/>
      <c r="AE123" s="169">
        <f>T123</f>
        <v>37950</v>
      </c>
      <c r="AJ123" s="152"/>
    </row>
    <row r="124" spans="1:36" x14ac:dyDescent="0.3">
      <c r="A124" s="157" t="s">
        <v>815</v>
      </c>
      <c r="B124" s="157" t="s">
        <v>443</v>
      </c>
      <c r="C124" s="157" t="s">
        <v>817</v>
      </c>
      <c r="D124" s="157" t="s">
        <v>26</v>
      </c>
      <c r="E124" s="157" t="s">
        <v>520</v>
      </c>
      <c r="F124" s="808" t="s">
        <v>824</v>
      </c>
      <c r="G124" s="1">
        <v>2</v>
      </c>
      <c r="H124" s="157" t="s">
        <v>24</v>
      </c>
      <c r="I124" s="175">
        <v>2</v>
      </c>
      <c r="J124" s="176"/>
      <c r="K124" s="176"/>
      <c r="L124" s="177"/>
      <c r="M124" s="163">
        <v>1</v>
      </c>
      <c r="N124" s="166">
        <v>8500</v>
      </c>
      <c r="O124" s="166">
        <f t="shared" si="28"/>
        <v>17000</v>
      </c>
      <c r="P124" s="173">
        <v>0.25</v>
      </c>
      <c r="Q124" s="186">
        <f t="shared" si="29"/>
        <v>6375</v>
      </c>
      <c r="R124" s="166">
        <f t="shared" si="30"/>
        <v>12750</v>
      </c>
      <c r="S124" s="178">
        <f t="shared" si="34"/>
        <v>2.1803272577160498E-2</v>
      </c>
      <c r="T124" s="168">
        <f t="shared" si="31"/>
        <v>38250</v>
      </c>
      <c r="U124" s="282">
        <f>T124</f>
        <v>38250</v>
      </c>
      <c r="Y124" s="152"/>
      <c r="Z124" s="282">
        <f t="shared" si="36"/>
        <v>38250</v>
      </c>
      <c r="AA124" s="152"/>
      <c r="AB124" s="280"/>
      <c r="AF124" s="169">
        <f>T124</f>
        <v>38250</v>
      </c>
      <c r="AJ124" s="152"/>
    </row>
    <row r="125" spans="1:36" x14ac:dyDescent="0.3">
      <c r="A125" s="157" t="s">
        <v>815</v>
      </c>
      <c r="B125" s="157" t="s">
        <v>444</v>
      </c>
      <c r="C125" s="157" t="s">
        <v>817</v>
      </c>
      <c r="D125" s="157" t="s">
        <v>445</v>
      </c>
      <c r="E125" s="157" t="s">
        <v>524</v>
      </c>
      <c r="F125" s="157" t="s">
        <v>834</v>
      </c>
      <c r="G125" s="1">
        <v>1</v>
      </c>
      <c r="H125" s="157" t="s">
        <v>24</v>
      </c>
      <c r="I125" s="175">
        <v>1</v>
      </c>
      <c r="J125" s="688"/>
      <c r="L125" s="286"/>
      <c r="M125" s="163">
        <v>1</v>
      </c>
      <c r="N125" s="166">
        <v>65200</v>
      </c>
      <c r="O125" s="166">
        <f t="shared" si="28"/>
        <v>65200</v>
      </c>
      <c r="P125" s="173">
        <v>0.49</v>
      </c>
      <c r="Q125" s="186">
        <f t="shared" si="29"/>
        <v>33252</v>
      </c>
      <c r="R125" s="166">
        <f t="shared" si="30"/>
        <v>33252</v>
      </c>
      <c r="S125" s="178">
        <f t="shared" si="34"/>
        <v>5.6862934881234582E-2</v>
      </c>
      <c r="T125" s="168">
        <f t="shared" si="31"/>
        <v>99756</v>
      </c>
      <c r="U125" s="282">
        <f>T125</f>
        <v>99756</v>
      </c>
      <c r="Y125" s="152"/>
      <c r="Z125" s="282">
        <f t="shared" si="36"/>
        <v>99756</v>
      </c>
      <c r="AA125" s="152"/>
      <c r="AB125" s="280"/>
      <c r="AG125" s="169">
        <f>T125</f>
        <v>99756</v>
      </c>
      <c r="AJ125" s="152"/>
    </row>
    <row r="126" spans="1:36" x14ac:dyDescent="0.3">
      <c r="A126" s="157" t="s">
        <v>815</v>
      </c>
      <c r="B126" s="157" t="s">
        <v>158</v>
      </c>
      <c r="C126" s="157" t="s">
        <v>695</v>
      </c>
      <c r="D126" s="157" t="s">
        <v>446</v>
      </c>
      <c r="E126" s="157" t="s">
        <v>518</v>
      </c>
      <c r="F126" s="157">
        <v>88</v>
      </c>
      <c r="G126" s="1">
        <v>1</v>
      </c>
      <c r="H126" s="157" t="s">
        <v>22</v>
      </c>
      <c r="J126" s="176">
        <v>88</v>
      </c>
      <c r="L126" s="286"/>
      <c r="M126" s="157">
        <v>1</v>
      </c>
      <c r="N126" s="166">
        <v>338800</v>
      </c>
      <c r="O126" s="166">
        <f t="shared" si="28"/>
        <v>338800</v>
      </c>
      <c r="P126" s="815">
        <v>0.75</v>
      </c>
      <c r="Q126" s="186">
        <f t="shared" si="29"/>
        <v>84700</v>
      </c>
      <c r="R126" s="166">
        <f t="shared" si="30"/>
        <v>84700</v>
      </c>
      <c r="S126" s="167">
        <f t="shared" si="34"/>
        <v>0.1448421323361172</v>
      </c>
      <c r="T126" s="168">
        <f t="shared" si="31"/>
        <v>254100</v>
      </c>
      <c r="U126" s="280"/>
      <c r="V126" s="169">
        <f>T126</f>
        <v>254100</v>
      </c>
      <c r="Y126" s="152"/>
      <c r="Z126" s="280"/>
      <c r="AA126" s="171">
        <f t="shared" ref="AA126:AA128" si="37">T126</f>
        <v>254100</v>
      </c>
      <c r="AB126" s="280"/>
      <c r="AH126" s="169">
        <f>T126</f>
        <v>254100</v>
      </c>
      <c r="AJ126" s="152"/>
    </row>
    <row r="127" spans="1:36" x14ac:dyDescent="0.3">
      <c r="A127" s="157" t="s">
        <v>815</v>
      </c>
      <c r="B127" s="157" t="s">
        <v>108</v>
      </c>
      <c r="C127" s="157" t="s">
        <v>696</v>
      </c>
      <c r="D127" s="157" t="s">
        <v>448</v>
      </c>
      <c r="E127" s="157" t="s">
        <v>518</v>
      </c>
      <c r="F127" s="157" t="s">
        <v>825</v>
      </c>
      <c r="G127" s="1">
        <v>1</v>
      </c>
      <c r="H127" s="157" t="s">
        <v>63</v>
      </c>
      <c r="I127" s="159">
        <v>1</v>
      </c>
      <c r="J127" s="806"/>
      <c r="L127" s="286"/>
      <c r="M127" s="157">
        <v>1</v>
      </c>
      <c r="N127" s="166">
        <v>12000</v>
      </c>
      <c r="O127" s="166">
        <f t="shared" si="28"/>
        <v>12000</v>
      </c>
      <c r="P127" s="173">
        <v>0.25</v>
      </c>
      <c r="Q127" s="186">
        <f t="shared" si="29"/>
        <v>9000</v>
      </c>
      <c r="R127" s="166">
        <f t="shared" si="30"/>
        <v>9000</v>
      </c>
      <c r="S127" s="167">
        <f t="shared" si="34"/>
        <v>1.5390545348583883E-2</v>
      </c>
      <c r="T127" s="168">
        <f t="shared" si="31"/>
        <v>27000</v>
      </c>
      <c r="U127" s="282">
        <f>T127</f>
        <v>27000</v>
      </c>
      <c r="Y127" s="152"/>
      <c r="Z127" s="280"/>
      <c r="AA127" s="171">
        <f t="shared" si="37"/>
        <v>27000</v>
      </c>
      <c r="AB127" s="280"/>
      <c r="AI127" s="169">
        <f>T127</f>
        <v>27000</v>
      </c>
      <c r="AJ127" s="152"/>
    </row>
    <row r="128" spans="1:36" x14ac:dyDescent="0.3">
      <c r="A128" s="157" t="s">
        <v>815</v>
      </c>
      <c r="B128" s="157" t="s">
        <v>108</v>
      </c>
      <c r="C128" s="157" t="s">
        <v>696</v>
      </c>
      <c r="D128" s="157" t="s">
        <v>449</v>
      </c>
      <c r="E128" s="157" t="s">
        <v>518</v>
      </c>
      <c r="F128" s="157" t="s">
        <v>825</v>
      </c>
      <c r="G128" s="1">
        <v>1</v>
      </c>
      <c r="H128" s="157" t="s">
        <v>63</v>
      </c>
      <c r="I128" s="159">
        <v>1</v>
      </c>
      <c r="J128" s="806"/>
      <c r="L128" s="286"/>
      <c r="M128" s="157">
        <v>1</v>
      </c>
      <c r="N128" s="166">
        <v>36000</v>
      </c>
      <c r="O128" s="166">
        <f t="shared" si="28"/>
        <v>36000</v>
      </c>
      <c r="P128" s="173">
        <v>0.25</v>
      </c>
      <c r="Q128" s="186">
        <f t="shared" si="29"/>
        <v>27000</v>
      </c>
      <c r="R128" s="166">
        <f t="shared" si="30"/>
        <v>27000</v>
      </c>
      <c r="S128" s="167">
        <f t="shared" si="34"/>
        <v>4.6171636045751648E-2</v>
      </c>
      <c r="T128" s="168">
        <f t="shared" si="31"/>
        <v>81000</v>
      </c>
      <c r="U128" s="282">
        <f>T128</f>
        <v>81000</v>
      </c>
      <c r="Y128" s="152"/>
      <c r="Z128" s="280"/>
      <c r="AA128" s="171">
        <f t="shared" si="37"/>
        <v>81000</v>
      </c>
      <c r="AB128" s="280"/>
      <c r="AI128" s="169">
        <f>T128</f>
        <v>81000</v>
      </c>
      <c r="AJ128" s="152"/>
    </row>
    <row r="129" spans="1:36" x14ac:dyDescent="0.3">
      <c r="A129" s="157"/>
      <c r="B129" s="157"/>
      <c r="C129" s="157"/>
      <c r="D129" s="157"/>
      <c r="E129" s="157"/>
      <c r="F129" s="158"/>
      <c r="G129" s="157"/>
      <c r="H129" s="157"/>
      <c r="L129" s="286"/>
      <c r="M129" s="157"/>
      <c r="N129" s="166"/>
      <c r="O129" s="166"/>
      <c r="P129" s="173"/>
      <c r="Q129" s="166"/>
      <c r="R129" s="166"/>
      <c r="S129" s="6"/>
      <c r="T129" s="168"/>
      <c r="U129" s="280"/>
      <c r="X129" s="169"/>
      <c r="Y129" s="152"/>
      <c r="Z129" s="280"/>
      <c r="AA129" s="152"/>
      <c r="AB129" s="280"/>
      <c r="AJ129" s="152"/>
    </row>
    <row r="130" spans="1:36" x14ac:dyDescent="0.3">
      <c r="A130" s="157"/>
      <c r="B130" s="157"/>
      <c r="C130" s="157"/>
      <c r="D130" s="157"/>
      <c r="E130" s="157"/>
      <c r="F130" s="158"/>
      <c r="G130" s="157"/>
      <c r="H130" s="157"/>
      <c r="L130" s="286"/>
      <c r="M130" s="157"/>
      <c r="N130" s="166"/>
      <c r="O130" s="166"/>
      <c r="P130" s="173"/>
      <c r="Q130" s="166"/>
      <c r="R130" s="166"/>
      <c r="S130" s="6"/>
      <c r="T130" s="168"/>
      <c r="U130" s="280"/>
      <c r="X130" s="169"/>
      <c r="Y130" s="152"/>
      <c r="Z130" s="280"/>
      <c r="AA130" s="152"/>
      <c r="AB130" s="280"/>
      <c r="AJ130" s="152"/>
    </row>
    <row r="131" spans="1:36" x14ac:dyDescent="0.3">
      <c r="A131" s="157"/>
      <c r="B131" s="157"/>
      <c r="C131" s="157"/>
      <c r="D131" s="157"/>
      <c r="E131" s="157"/>
      <c r="F131" s="158"/>
      <c r="G131" s="157"/>
      <c r="H131" s="157"/>
      <c r="L131" s="286"/>
      <c r="M131" s="157"/>
      <c r="N131" s="166"/>
      <c r="O131" s="166"/>
      <c r="P131" s="173"/>
      <c r="Q131" s="166"/>
      <c r="R131" s="166"/>
      <c r="S131" s="6"/>
      <c r="T131" s="168"/>
      <c r="U131" s="280"/>
      <c r="X131" s="169"/>
      <c r="Y131" s="152"/>
      <c r="Z131" s="280"/>
      <c r="AA131" s="152"/>
      <c r="AB131" s="280"/>
      <c r="AJ131" s="152"/>
    </row>
    <row r="132" spans="1:36" x14ac:dyDescent="0.3">
      <c r="A132" s="108" t="s">
        <v>815</v>
      </c>
      <c r="B132" s="108" t="s">
        <v>528</v>
      </c>
      <c r="C132" s="108"/>
      <c r="D132" s="108"/>
      <c r="E132" s="108"/>
      <c r="F132" s="479"/>
      <c r="G132" s="108"/>
      <c r="H132" s="108"/>
      <c r="I132" s="254"/>
      <c r="J132" s="254"/>
      <c r="K132" s="254"/>
      <c r="L132" s="736"/>
      <c r="M132" s="108"/>
      <c r="N132" s="257"/>
      <c r="O132" s="257"/>
      <c r="P132" s="109"/>
      <c r="Q132" s="257"/>
      <c r="R132" s="257"/>
      <c r="S132" s="256">
        <f>R132/R135</f>
        <v>0</v>
      </c>
      <c r="T132" s="168">
        <f t="shared" ref="T132:T133" si="38">R132*2</f>
        <v>0</v>
      </c>
      <c r="U132" s="280"/>
      <c r="X132" s="169">
        <f>T132</f>
        <v>0</v>
      </c>
      <c r="Y132" s="152"/>
      <c r="Z132" s="280"/>
      <c r="AA132" s="152"/>
      <c r="AB132" s="280"/>
      <c r="AJ132" s="152"/>
    </row>
    <row r="133" spans="1:36" x14ac:dyDescent="0.3">
      <c r="A133" s="190" t="s">
        <v>815</v>
      </c>
      <c r="B133" s="190" t="s">
        <v>529</v>
      </c>
      <c r="C133" s="190"/>
      <c r="D133" s="190"/>
      <c r="E133" s="190"/>
      <c r="F133" s="191"/>
      <c r="G133" s="190"/>
      <c r="H133" s="190"/>
      <c r="I133" s="245"/>
      <c r="J133" s="245"/>
      <c r="K133" s="245"/>
      <c r="L133" s="287"/>
      <c r="M133" s="190"/>
      <c r="N133" s="194"/>
      <c r="O133" s="194"/>
      <c r="P133" s="195"/>
      <c r="Q133" s="194"/>
      <c r="R133" s="194"/>
      <c r="S133" s="196">
        <f>R133/R135</f>
        <v>0</v>
      </c>
      <c r="T133" s="168">
        <f t="shared" si="38"/>
        <v>0</v>
      </c>
      <c r="U133" s="280"/>
      <c r="Y133" s="171">
        <f>T133</f>
        <v>0</v>
      </c>
      <c r="Z133" s="280"/>
      <c r="AA133" s="152"/>
      <c r="AB133" s="280"/>
      <c r="AJ133" s="152"/>
    </row>
    <row r="134" spans="1:36" x14ac:dyDescent="0.3">
      <c r="A134" s="286"/>
      <c r="B134" s="157"/>
      <c r="C134" s="157"/>
      <c r="D134" s="157"/>
      <c r="E134" s="157"/>
      <c r="F134" s="158"/>
      <c r="G134" s="157"/>
      <c r="H134" s="157"/>
      <c r="I134" s="115">
        <f>I135/$M$135</f>
        <v>8.9743589743589744E-2</v>
      </c>
      <c r="J134" s="115">
        <f t="shared" ref="J134:L134" si="39">J135/$M$135</f>
        <v>0.45384615384615384</v>
      </c>
      <c r="K134" s="115">
        <f t="shared" si="39"/>
        <v>0.4564102564102564</v>
      </c>
      <c r="L134" s="115">
        <f t="shared" si="39"/>
        <v>0</v>
      </c>
      <c r="M134" s="157"/>
      <c r="N134" s="166"/>
      <c r="O134" s="166"/>
      <c r="P134" s="173"/>
      <c r="Q134" s="166"/>
      <c r="R134" s="166"/>
      <c r="T134" s="149"/>
      <c r="U134" s="280"/>
      <c r="Y134" s="152"/>
      <c r="Z134" s="280"/>
      <c r="AA134" s="152"/>
      <c r="AB134" s="280"/>
      <c r="AJ134" s="152"/>
    </row>
    <row r="135" spans="1:36" x14ac:dyDescent="0.3">
      <c r="A135" s="326" t="s">
        <v>531</v>
      </c>
      <c r="B135" s="327"/>
      <c r="C135" s="327"/>
      <c r="D135" s="327"/>
      <c r="E135" s="327"/>
      <c r="F135" s="328"/>
      <c r="G135" s="327"/>
      <c r="H135" s="327"/>
      <c r="I135" s="327">
        <f>I128+I127+I125+I124+I123+I122</f>
        <v>35</v>
      </c>
      <c r="J135" s="327">
        <f>J126+J120+J118+J117</f>
        <v>177</v>
      </c>
      <c r="K135" s="327">
        <f>I121+K119+K117</f>
        <v>178</v>
      </c>
      <c r="L135" s="327"/>
      <c r="M135" s="327">
        <f>SUM(I135:L135)</f>
        <v>390</v>
      </c>
      <c r="N135" s="329"/>
      <c r="O135" s="329">
        <f>SUM(O117:O134)</f>
        <v>2300732</v>
      </c>
      <c r="P135" s="330">
        <f>1-R135/O135</f>
        <v>0.74583106593901416</v>
      </c>
      <c r="Q135" s="329"/>
      <c r="R135" s="331">
        <f>SUM(R116:R134)</f>
        <v>584774.6</v>
      </c>
      <c r="S135" s="332">
        <f>SUM(S116:S133)</f>
        <v>1</v>
      </c>
      <c r="T135" s="583">
        <f>SUM(T116:T134)</f>
        <v>1754323.8</v>
      </c>
      <c r="U135" s="584">
        <f>SUM(U115:U134)</f>
        <v>777666</v>
      </c>
      <c r="V135" s="585">
        <f t="shared" ref="V135:AA135" si="40">SUM(V116:V133)</f>
        <v>976657.8</v>
      </c>
      <c r="W135" s="585">
        <f t="shared" si="40"/>
        <v>0</v>
      </c>
      <c r="X135" s="585">
        <f t="shared" si="40"/>
        <v>0</v>
      </c>
      <c r="Y135" s="586">
        <f t="shared" si="40"/>
        <v>0</v>
      </c>
      <c r="Z135" s="587">
        <f t="shared" si="40"/>
        <v>594319.80000000005</v>
      </c>
      <c r="AA135" s="586">
        <f t="shared" si="40"/>
        <v>1160004</v>
      </c>
      <c r="AB135" s="584">
        <f>SUM(AB117:AB134)</f>
        <v>151048.80000000002</v>
      </c>
      <c r="AC135" s="585">
        <f>SUM(AC116:AC134)</f>
        <v>797904</v>
      </c>
      <c r="AD135" s="585">
        <f t="shared" ref="AD135:AI135" si="41">SUM(AD116:AD134)</f>
        <v>229365</v>
      </c>
      <c r="AE135" s="585">
        <f t="shared" si="41"/>
        <v>75900</v>
      </c>
      <c r="AF135" s="585">
        <f t="shared" si="41"/>
        <v>38250</v>
      </c>
      <c r="AG135" s="585">
        <f t="shared" si="41"/>
        <v>99756</v>
      </c>
      <c r="AH135" s="585">
        <f t="shared" si="41"/>
        <v>254100</v>
      </c>
      <c r="AI135" s="585">
        <f t="shared" si="41"/>
        <v>108000</v>
      </c>
      <c r="AJ135" s="586"/>
    </row>
    <row r="136" spans="1:36" x14ac:dyDescent="0.3">
      <c r="A136" s="342" t="s">
        <v>532</v>
      </c>
      <c r="B136" s="343"/>
      <c r="C136" s="343"/>
      <c r="D136" s="343"/>
      <c r="E136" s="343"/>
      <c r="F136" s="344"/>
      <c r="G136" s="343"/>
      <c r="H136" s="343"/>
      <c r="I136" s="343">
        <f>I128+I127+I125+I124+I123+I122+I121</f>
        <v>135</v>
      </c>
      <c r="J136" s="343">
        <f>I128+I127+J126+I125+I124+I123+I122+J120+J118+J117</f>
        <v>212</v>
      </c>
      <c r="K136" s="343">
        <f>I124+K119+K117</f>
        <v>80</v>
      </c>
      <c r="L136" s="343"/>
      <c r="M136" s="343">
        <f>SUM(I136:L136)</f>
        <v>427</v>
      </c>
      <c r="N136" s="345"/>
      <c r="O136" s="345"/>
      <c r="P136" s="346"/>
      <c r="Q136" s="345"/>
      <c r="R136" s="345"/>
      <c r="S136" s="347"/>
      <c r="T136" s="348"/>
      <c r="U136" s="349">
        <f>U135/T135</f>
        <v>0.44328532737229009</v>
      </c>
      <c r="V136" s="350">
        <f>V135/T135</f>
        <v>0.55671467262770991</v>
      </c>
      <c r="W136" s="350">
        <f>W135/T135</f>
        <v>0</v>
      </c>
      <c r="X136" s="350">
        <f>X135/T135</f>
        <v>0</v>
      </c>
      <c r="Y136" s="352">
        <f>Y135/T135</f>
        <v>0</v>
      </c>
      <c r="Z136" s="351">
        <f>Z135/T135</f>
        <v>0.33877429012819643</v>
      </c>
      <c r="AA136" s="352">
        <f>AA135/T135</f>
        <v>0.66122570987180362</v>
      </c>
      <c r="AB136" s="591"/>
      <c r="AC136" s="524"/>
      <c r="AD136" s="524"/>
      <c r="AE136" s="524"/>
      <c r="AF136" s="524"/>
      <c r="AG136" s="524"/>
      <c r="AH136" s="524"/>
      <c r="AI136" s="524"/>
      <c r="AJ136" s="356"/>
    </row>
    <row r="137" spans="1:36" x14ac:dyDescent="0.3">
      <c r="A137" s="243" t="s">
        <v>533</v>
      </c>
      <c r="B137" s="193"/>
      <c r="C137" s="193"/>
      <c r="D137" s="193"/>
      <c r="E137" s="193"/>
      <c r="F137" s="244"/>
      <c r="G137" s="193"/>
      <c r="H137" s="193"/>
      <c r="I137" s="2182">
        <f>I136/$M$136</f>
        <v>0.31615925058548011</v>
      </c>
      <c r="J137" s="2182">
        <f t="shared" ref="J137:L137" si="42">J136/$M$136</f>
        <v>0.49648711943793911</v>
      </c>
      <c r="K137" s="2182">
        <f t="shared" si="42"/>
        <v>0.18735362997658081</v>
      </c>
      <c r="L137" s="2182">
        <f t="shared" si="42"/>
        <v>0</v>
      </c>
      <c r="M137" s="193"/>
      <c r="N137" s="246"/>
      <c r="O137" s="246"/>
      <c r="P137" s="196"/>
      <c r="Q137" s="246"/>
      <c r="R137" s="194">
        <f>U135/3</f>
        <v>259222</v>
      </c>
      <c r="S137" s="247">
        <f>R137/R142</f>
        <v>0.44328532737229004</v>
      </c>
      <c r="Y137" s="248"/>
      <c r="Z137" s="357">
        <f>J117+K117+J120+I121+I122+I123+I124+I125</f>
        <v>281</v>
      </c>
      <c r="AA137" s="358">
        <f>J118+K119+J126+I127+I128</f>
        <v>109</v>
      </c>
    </row>
    <row r="138" spans="1:36" x14ac:dyDescent="0.3">
      <c r="A138" s="251" t="s">
        <v>11</v>
      </c>
      <c r="B138" s="252"/>
      <c r="C138" s="252"/>
      <c r="D138" s="252"/>
      <c r="E138" s="252"/>
      <c r="F138" s="253"/>
      <c r="G138" s="252"/>
      <c r="H138" s="252"/>
      <c r="I138" s="254"/>
      <c r="J138" s="254"/>
      <c r="K138" s="254"/>
      <c r="L138" s="254"/>
      <c r="M138" s="252"/>
      <c r="N138" s="255"/>
      <c r="O138" s="255"/>
      <c r="P138" s="256"/>
      <c r="Q138" s="255"/>
      <c r="R138" s="257">
        <f>V135/3</f>
        <v>325552.60000000003</v>
      </c>
      <c r="S138" s="262">
        <f>R138/R142</f>
        <v>0.55671467262770991</v>
      </c>
      <c r="T138" s="525">
        <f>R135/M135</f>
        <v>1499.4220512820511</v>
      </c>
      <c r="U138" s="526" t="s">
        <v>535</v>
      </c>
      <c r="Z138" s="195">
        <f>Z137/M135</f>
        <v>0.72051282051282051</v>
      </c>
      <c r="AA138" s="247">
        <f>AA137/M135</f>
        <v>0.27948717948717949</v>
      </c>
    </row>
    <row r="139" spans="1:36" x14ac:dyDescent="0.3">
      <c r="A139" s="251" t="s">
        <v>536</v>
      </c>
      <c r="B139" s="252"/>
      <c r="C139" s="252"/>
      <c r="D139" s="252"/>
      <c r="E139" s="252"/>
      <c r="F139" s="253"/>
      <c r="G139" s="252"/>
      <c r="H139" s="252"/>
      <c r="I139" s="254"/>
      <c r="J139" s="254"/>
      <c r="K139" s="254"/>
      <c r="L139" s="254"/>
      <c r="M139" s="252"/>
      <c r="N139" s="255"/>
      <c r="O139" s="255"/>
      <c r="P139" s="256"/>
      <c r="Q139" s="255"/>
      <c r="R139" s="257"/>
      <c r="S139" s="262">
        <f>R139/R142</f>
        <v>0</v>
      </c>
      <c r="X139" s="99"/>
      <c r="Z139" s="2265" t="s">
        <v>537</v>
      </c>
      <c r="AA139" s="2265"/>
    </row>
    <row r="140" spans="1:36" x14ac:dyDescent="0.3">
      <c r="A140" s="251" t="s">
        <v>529</v>
      </c>
      <c r="B140" s="252"/>
      <c r="C140" s="252"/>
      <c r="D140" s="252"/>
      <c r="E140" s="252"/>
      <c r="F140" s="253"/>
      <c r="G140" s="252"/>
      <c r="H140" s="252"/>
      <c r="I140" s="254"/>
      <c r="J140" s="254"/>
      <c r="K140" s="254"/>
      <c r="L140" s="254"/>
      <c r="M140" s="252"/>
      <c r="N140" s="255"/>
      <c r="O140" s="255"/>
      <c r="P140" s="256"/>
      <c r="Q140" s="255"/>
      <c r="R140" s="257">
        <f>Y135/2</f>
        <v>0</v>
      </c>
      <c r="S140" s="262">
        <f>R140/R142</f>
        <v>0</v>
      </c>
      <c r="U140" s="263"/>
    </row>
    <row r="141" spans="1:36" x14ac:dyDescent="0.3">
      <c r="A141" s="251" t="s">
        <v>528</v>
      </c>
      <c r="B141" s="252"/>
      <c r="C141" s="252"/>
      <c r="D141" s="252"/>
      <c r="E141" s="252"/>
      <c r="F141" s="253"/>
      <c r="G141" s="252"/>
      <c r="H141" s="252"/>
      <c r="I141" s="254"/>
      <c r="J141" s="254"/>
      <c r="K141" s="254"/>
      <c r="L141" s="254"/>
      <c r="M141" s="252"/>
      <c r="N141" s="255"/>
      <c r="O141" s="255"/>
      <c r="P141" s="256"/>
      <c r="Q141" s="255"/>
      <c r="R141" s="257">
        <f>X135/2</f>
        <v>0</v>
      </c>
      <c r="S141" s="262">
        <f>R141/R142</f>
        <v>0</v>
      </c>
    </row>
    <row r="142" spans="1:36" x14ac:dyDescent="0.3">
      <c r="A142" s="251"/>
      <c r="B142" s="252"/>
      <c r="C142" s="252"/>
      <c r="D142" s="252"/>
      <c r="E142" s="252"/>
      <c r="F142" s="253"/>
      <c r="G142" s="252"/>
      <c r="H142" s="252"/>
      <c r="I142" s="254"/>
      <c r="J142" s="254"/>
      <c r="K142" s="254"/>
      <c r="L142" s="254"/>
      <c r="M142" s="252"/>
      <c r="N142" s="255"/>
      <c r="O142" s="255"/>
      <c r="P142" s="256"/>
      <c r="Q142" s="255"/>
      <c r="R142" s="264">
        <f>SUM(R137:R141)</f>
        <v>584774.60000000009</v>
      </c>
      <c r="S142" s="262">
        <f>SUM(S137:S141)</f>
        <v>1</v>
      </c>
    </row>
    <row r="143" spans="1:36" x14ac:dyDescent="0.3">
      <c r="A143" s="188"/>
      <c r="N143" s="5"/>
      <c r="O143" s="5"/>
      <c r="P143" s="6"/>
      <c r="Q143" s="5"/>
      <c r="R143" s="7"/>
      <c r="S143" s="6"/>
      <c r="T143" s="5"/>
    </row>
    <row r="144" spans="1:36" ht="18" x14ac:dyDescent="0.35">
      <c r="A144" s="118" t="s">
        <v>554</v>
      </c>
      <c r="O144" s="3"/>
      <c r="P144" s="115"/>
      <c r="R144" s="3"/>
      <c r="S144" s="99"/>
    </row>
    <row r="145" spans="1:36" x14ac:dyDescent="0.3">
      <c r="O145" s="3"/>
      <c r="P145" s="99"/>
      <c r="R145" s="3"/>
      <c r="S145" s="99"/>
    </row>
    <row r="146" spans="1:36" x14ac:dyDescent="0.3">
      <c r="A146" s="2446" t="s">
        <v>480</v>
      </c>
      <c r="B146" s="2447"/>
      <c r="C146" s="2447"/>
      <c r="D146" s="2447"/>
      <c r="E146" s="2447"/>
      <c r="F146" s="2447"/>
      <c r="G146" s="2447"/>
      <c r="H146" s="2447"/>
      <c r="I146" s="2447"/>
      <c r="J146" s="2447"/>
      <c r="K146" s="2447"/>
      <c r="L146" s="2447"/>
      <c r="M146" s="2447"/>
      <c r="N146" s="2447"/>
      <c r="O146" s="2447"/>
      <c r="P146" s="2447"/>
      <c r="Q146" s="2447"/>
      <c r="R146" s="2447"/>
      <c r="S146" s="2448"/>
      <c r="T146" s="2374" t="s">
        <v>584</v>
      </c>
      <c r="U146" s="2375"/>
      <c r="V146" s="2375"/>
      <c r="W146" s="2375"/>
      <c r="X146" s="2375"/>
      <c r="Y146" s="2375"/>
      <c r="Z146" s="2375"/>
      <c r="AA146" s="2375"/>
      <c r="AB146" s="2375"/>
      <c r="AC146" s="2375"/>
      <c r="AD146" s="2375"/>
      <c r="AE146" s="2375"/>
      <c r="AF146" s="2375"/>
      <c r="AG146" s="2375"/>
      <c r="AH146" s="2375"/>
      <c r="AI146" s="2375"/>
      <c r="AJ146" s="2376"/>
    </row>
    <row r="147" spans="1:36" ht="18" x14ac:dyDescent="0.35">
      <c r="A147" s="2256" t="s">
        <v>482</v>
      </c>
      <c r="B147" s="2258" t="s">
        <v>483</v>
      </c>
      <c r="C147" s="2258" t="s">
        <v>484</v>
      </c>
      <c r="D147" s="2258" t="s">
        <v>555</v>
      </c>
      <c r="E147" s="2258" t="s">
        <v>556</v>
      </c>
      <c r="F147" s="2260" t="s">
        <v>487</v>
      </c>
      <c r="G147" s="2258" t="s">
        <v>557</v>
      </c>
      <c r="H147" s="2258" t="s">
        <v>489</v>
      </c>
      <c r="I147" s="2240" t="s">
        <v>490</v>
      </c>
      <c r="J147" s="2240"/>
      <c r="K147" s="2240"/>
      <c r="L147" s="2240"/>
      <c r="M147" s="305" t="s">
        <v>491</v>
      </c>
      <c r="N147" s="306" t="s">
        <v>558</v>
      </c>
      <c r="O147" s="306"/>
      <c r="P147" s="307" t="s">
        <v>493</v>
      </c>
      <c r="Q147" s="306" t="s">
        <v>558</v>
      </c>
      <c r="R147" s="306" t="s">
        <v>559</v>
      </c>
      <c r="S147" s="2343" t="s">
        <v>495</v>
      </c>
      <c r="T147" s="695" t="s">
        <v>496</v>
      </c>
      <c r="U147" s="2409" t="s">
        <v>497</v>
      </c>
      <c r="V147" s="2410"/>
      <c r="W147" s="2410"/>
      <c r="X147" s="2410"/>
      <c r="Y147" s="2410"/>
      <c r="Z147" s="2403" t="s">
        <v>498</v>
      </c>
      <c r="AA147" s="2405"/>
      <c r="AB147" s="2404"/>
      <c r="AC147" s="2404"/>
      <c r="AD147" s="2404"/>
      <c r="AE147" s="2404"/>
      <c r="AF147" s="2404"/>
      <c r="AG147" s="2404"/>
      <c r="AH147" s="2404"/>
      <c r="AI147" s="2404"/>
      <c r="AJ147" s="2405"/>
    </row>
    <row r="148" spans="1:36" ht="18" x14ac:dyDescent="0.35">
      <c r="A148" s="2257"/>
      <c r="B148" s="2259"/>
      <c r="C148" s="2259"/>
      <c r="D148" s="2259"/>
      <c r="E148" s="2259"/>
      <c r="F148" s="2261"/>
      <c r="G148" s="2259"/>
      <c r="H148" s="2259"/>
      <c r="I148" s="310" t="s">
        <v>500</v>
      </c>
      <c r="J148" s="310" t="s">
        <v>501</v>
      </c>
      <c r="K148" s="310" t="s">
        <v>502</v>
      </c>
      <c r="L148" s="310" t="s">
        <v>503</v>
      </c>
      <c r="M148" s="311" t="s">
        <v>504</v>
      </c>
      <c r="N148" s="312" t="s">
        <v>505</v>
      </c>
      <c r="O148" s="312"/>
      <c r="P148" s="313" t="s">
        <v>506</v>
      </c>
      <c r="Q148" s="312" t="s">
        <v>507</v>
      </c>
      <c r="R148" s="312" t="s">
        <v>560</v>
      </c>
      <c r="S148" s="2344"/>
      <c r="T148" s="696" t="s">
        <v>508</v>
      </c>
      <c r="U148" s="2412"/>
      <c r="V148" s="2413"/>
      <c r="W148" s="2413"/>
      <c r="X148" s="2413"/>
      <c r="Y148" s="2413"/>
      <c r="Z148" s="2406"/>
      <c r="AA148" s="2408"/>
      <c r="AB148" s="2407"/>
      <c r="AC148" s="2407"/>
      <c r="AD148" s="2407"/>
      <c r="AE148" s="2407"/>
      <c r="AF148" s="2407"/>
      <c r="AG148" s="2407"/>
      <c r="AH148" s="2407"/>
      <c r="AI148" s="2407"/>
      <c r="AJ148" s="2408"/>
    </row>
    <row r="149" spans="1:36" ht="18" x14ac:dyDescent="0.35">
      <c r="A149" s="2377" t="s">
        <v>561</v>
      </c>
      <c r="B149" s="2378"/>
      <c r="C149" s="2378"/>
      <c r="D149" s="2378"/>
      <c r="E149" s="2378"/>
      <c r="F149" s="2378"/>
      <c r="G149" s="2378"/>
      <c r="H149" s="2378"/>
      <c r="I149" s="2378"/>
      <c r="J149" s="2378"/>
      <c r="K149" s="2378"/>
      <c r="L149" s="2378"/>
      <c r="M149" s="2378"/>
      <c r="N149" s="2378"/>
      <c r="O149" s="2378"/>
      <c r="P149" s="2378"/>
      <c r="Q149" s="2378"/>
      <c r="R149" s="2378"/>
      <c r="S149" s="2378"/>
      <c r="T149" s="559"/>
      <c r="U149" s="563" t="s">
        <v>510</v>
      </c>
      <c r="V149" s="561" t="s">
        <v>11</v>
      </c>
      <c r="W149" s="561" t="s">
        <v>511</v>
      </c>
      <c r="X149" s="561" t="s">
        <v>512</v>
      </c>
      <c r="Y149" s="562" t="s">
        <v>513</v>
      </c>
      <c r="Z149" s="563" t="s">
        <v>514</v>
      </c>
      <c r="AA149" s="562" t="s">
        <v>515</v>
      </c>
      <c r="AB149" s="721" t="s">
        <v>0</v>
      </c>
      <c r="AC149" s="722" t="s">
        <v>4</v>
      </c>
      <c r="AD149" s="722" t="s">
        <v>2</v>
      </c>
      <c r="AE149" s="722" t="s">
        <v>153</v>
      </c>
      <c r="AF149" s="722" t="s">
        <v>154</v>
      </c>
      <c r="AG149" s="722" t="s">
        <v>155</v>
      </c>
      <c r="AH149" s="722" t="s">
        <v>156</v>
      </c>
      <c r="AI149" s="722" t="s">
        <v>5</v>
      </c>
      <c r="AJ149" s="562" t="s">
        <v>814</v>
      </c>
    </row>
    <row r="150" spans="1:36" x14ac:dyDescent="0.3">
      <c r="A150" s="154"/>
      <c r="B150" s="462"/>
      <c r="C150" s="462"/>
      <c r="D150" s="462"/>
      <c r="E150" s="462"/>
      <c r="F150" s="463"/>
      <c r="G150" s="462"/>
      <c r="H150" s="462"/>
      <c r="I150" s="465"/>
      <c r="J150" s="465"/>
      <c r="K150" s="465"/>
      <c r="L150" s="465"/>
      <c r="M150" s="462"/>
      <c r="N150" s="468"/>
      <c r="O150" s="468"/>
      <c r="P150" s="469"/>
      <c r="Q150" s="468"/>
      <c r="R150" s="468"/>
      <c r="S150" s="532"/>
      <c r="T150" s="149"/>
      <c r="U150" s="280"/>
      <c r="Y150" s="152"/>
      <c r="Z150" s="280"/>
      <c r="AA150" s="152"/>
      <c r="AJ150" s="152"/>
    </row>
    <row r="151" spans="1:36" x14ac:dyDescent="0.3">
      <c r="A151" s="157" t="s">
        <v>815</v>
      </c>
      <c r="B151" s="157" t="s">
        <v>157</v>
      </c>
      <c r="C151" s="157" t="s">
        <v>695</v>
      </c>
      <c r="D151" s="157" t="s">
        <v>433</v>
      </c>
      <c r="E151" s="157" t="s">
        <v>520</v>
      </c>
      <c r="F151" s="157" t="s">
        <v>816</v>
      </c>
      <c r="G151" s="1">
        <v>50</v>
      </c>
      <c r="H151" s="157" t="s">
        <v>22</v>
      </c>
      <c r="I151" s="188"/>
      <c r="J151" s="806">
        <v>50</v>
      </c>
      <c r="K151" s="807">
        <v>50</v>
      </c>
      <c r="L151" s="286"/>
      <c r="M151" s="163">
        <v>2</v>
      </c>
      <c r="N151" s="166">
        <v>1398.6</v>
      </c>
      <c r="O151" s="166">
        <f t="shared" ref="O151:O164" si="43">N151*M151*G151</f>
        <v>139860</v>
      </c>
      <c r="P151" s="165">
        <v>0.7</v>
      </c>
      <c r="Q151" s="186">
        <f t="shared" ref="Q151:Q164" si="44">N151*(1-P151)</f>
        <v>419.58000000000004</v>
      </c>
      <c r="R151" s="166">
        <f>Q151*M151*G151</f>
        <v>41958.000000000007</v>
      </c>
      <c r="S151" s="178">
        <f>R151/$R$169</f>
        <v>7.1571089291919063E-2</v>
      </c>
      <c r="T151" s="168">
        <f>R151</f>
        <v>41958.000000000007</v>
      </c>
      <c r="U151" s="280"/>
      <c r="V151" s="169">
        <f>T151</f>
        <v>41958.000000000007</v>
      </c>
      <c r="Y151" s="152"/>
      <c r="Z151" s="282">
        <f>T151</f>
        <v>41958.000000000007</v>
      </c>
      <c r="AA151" s="152"/>
      <c r="AB151" s="169">
        <f>T151</f>
        <v>41958.000000000007</v>
      </c>
      <c r="AE151" s="169"/>
      <c r="AJ151" s="152"/>
    </row>
    <row r="152" spans="1:36" x14ac:dyDescent="0.3">
      <c r="A152" s="157" t="s">
        <v>815</v>
      </c>
      <c r="B152" s="157" t="s">
        <v>141</v>
      </c>
      <c r="C152" s="157" t="s">
        <v>819</v>
      </c>
      <c r="D152" s="157" t="s">
        <v>142</v>
      </c>
      <c r="E152" s="157" t="s">
        <v>518</v>
      </c>
      <c r="F152" s="157" t="s">
        <v>835</v>
      </c>
      <c r="G152" s="1">
        <v>27</v>
      </c>
      <c r="H152" s="157" t="s">
        <v>22</v>
      </c>
      <c r="I152" s="474"/>
      <c r="K152" s="807">
        <v>27</v>
      </c>
      <c r="L152" s="286"/>
      <c r="M152" s="163">
        <v>1</v>
      </c>
      <c r="N152" s="166">
        <v>26400</v>
      </c>
      <c r="O152" s="166">
        <f t="shared" si="43"/>
        <v>712800</v>
      </c>
      <c r="P152" s="173">
        <v>0.76</v>
      </c>
      <c r="Q152" s="186">
        <f t="shared" si="44"/>
        <v>6336</v>
      </c>
      <c r="R152" s="166">
        <f t="shared" ref="R152:R162" si="45">Q152*M152*G152</f>
        <v>171072</v>
      </c>
      <c r="S152" s="167">
        <f>R152/$R$169</f>
        <v>0.29181108220952323</v>
      </c>
      <c r="T152" s="168">
        <f t="shared" ref="T152:T164" si="46">R152</f>
        <v>171072</v>
      </c>
      <c r="U152" s="280"/>
      <c r="V152" s="169">
        <f>T152</f>
        <v>171072</v>
      </c>
      <c r="Y152" s="152"/>
      <c r="Z152" s="280"/>
      <c r="AA152" s="171">
        <f t="shared" ref="AA152:AA154" si="47">T152</f>
        <v>171072</v>
      </c>
      <c r="AC152" s="169">
        <f>T152</f>
        <v>171072</v>
      </c>
      <c r="AJ152" s="152"/>
    </row>
    <row r="153" spans="1:36" x14ac:dyDescent="0.3">
      <c r="A153" s="157" t="s">
        <v>815</v>
      </c>
      <c r="B153" s="157" t="s">
        <v>99</v>
      </c>
      <c r="C153" s="157" t="s">
        <v>695</v>
      </c>
      <c r="D153" s="810" t="s">
        <v>820</v>
      </c>
      <c r="E153" s="157" t="s">
        <v>518</v>
      </c>
      <c r="F153" s="157">
        <v>16</v>
      </c>
      <c r="G153" s="1">
        <v>1</v>
      </c>
      <c r="H153" s="157" t="s">
        <v>22</v>
      </c>
      <c r="I153" s="474"/>
      <c r="K153" s="807">
        <v>16</v>
      </c>
      <c r="L153" s="286"/>
      <c r="M153" s="163">
        <v>1</v>
      </c>
      <c r="N153" s="166">
        <v>67000</v>
      </c>
      <c r="O153" s="166">
        <f t="shared" si="43"/>
        <v>67000</v>
      </c>
      <c r="P153" s="173">
        <v>0.85</v>
      </c>
      <c r="Q153" s="186">
        <f t="shared" si="44"/>
        <v>10050.000000000002</v>
      </c>
      <c r="R153" s="166">
        <f t="shared" si="45"/>
        <v>10050.000000000002</v>
      </c>
      <c r="S153" s="167">
        <f t="shared" ref="S153:S162" si="48">R153/$R$169</f>
        <v>1.714308230572922E-2</v>
      </c>
      <c r="T153" s="168">
        <f t="shared" si="46"/>
        <v>10050.000000000002</v>
      </c>
      <c r="U153" s="280"/>
      <c r="V153" s="169">
        <f>T153</f>
        <v>10050.000000000002</v>
      </c>
      <c r="Y153" s="152"/>
      <c r="Z153" s="280"/>
      <c r="AA153" s="171">
        <f t="shared" si="47"/>
        <v>10050.000000000002</v>
      </c>
      <c r="AD153" s="169">
        <f>T153</f>
        <v>10050.000000000002</v>
      </c>
      <c r="AJ153" s="152"/>
    </row>
    <row r="154" spans="1:36" x14ac:dyDescent="0.3">
      <c r="A154" s="157" t="s">
        <v>815</v>
      </c>
      <c r="B154" s="157" t="s">
        <v>99</v>
      </c>
      <c r="C154" s="157" t="s">
        <v>695</v>
      </c>
      <c r="D154" s="810" t="s">
        <v>821</v>
      </c>
      <c r="E154" s="157" t="s">
        <v>518</v>
      </c>
      <c r="F154" s="157">
        <v>16</v>
      </c>
      <c r="G154" s="1">
        <v>1</v>
      </c>
      <c r="H154" s="157" t="s">
        <v>22</v>
      </c>
      <c r="I154" s="188"/>
      <c r="J154" s="807">
        <v>16</v>
      </c>
      <c r="L154" s="286"/>
      <c r="M154" s="163">
        <v>1</v>
      </c>
      <c r="N154" s="166">
        <v>189142</v>
      </c>
      <c r="O154" s="166">
        <f t="shared" si="43"/>
        <v>189142</v>
      </c>
      <c r="P154" s="173">
        <v>0.85</v>
      </c>
      <c r="Q154" s="186">
        <f t="shared" si="44"/>
        <v>28371.300000000003</v>
      </c>
      <c r="R154" s="166">
        <f t="shared" si="45"/>
        <v>28371.300000000003</v>
      </c>
      <c r="S154" s="167">
        <f t="shared" si="48"/>
        <v>4.8395177215973667E-2</v>
      </c>
      <c r="T154" s="168">
        <f t="shared" si="46"/>
        <v>28371.300000000003</v>
      </c>
      <c r="U154" s="280"/>
      <c r="V154" s="169">
        <f>T154</f>
        <v>28371.300000000003</v>
      </c>
      <c r="Y154" s="152"/>
      <c r="Z154" s="280"/>
      <c r="AA154" s="171">
        <f t="shared" si="47"/>
        <v>28371.300000000003</v>
      </c>
      <c r="AD154" s="169">
        <f>T154</f>
        <v>28371.300000000003</v>
      </c>
      <c r="AJ154" s="152"/>
    </row>
    <row r="155" spans="1:36" x14ac:dyDescent="0.3">
      <c r="A155" s="157" t="s">
        <v>815</v>
      </c>
      <c r="B155" s="157" t="s">
        <v>99</v>
      </c>
      <c r="C155" s="157" t="s">
        <v>695</v>
      </c>
      <c r="D155" s="810" t="s">
        <v>822</v>
      </c>
      <c r="E155" s="157" t="s">
        <v>520</v>
      </c>
      <c r="F155" s="157">
        <v>28</v>
      </c>
      <c r="G155" s="1">
        <v>1</v>
      </c>
      <c r="H155" s="157" t="s">
        <v>22</v>
      </c>
      <c r="I155" s="811">
        <v>28</v>
      </c>
      <c r="J155" s="813"/>
      <c r="K155" s="812"/>
      <c r="L155" s="286"/>
      <c r="M155" s="163">
        <v>1</v>
      </c>
      <c r="N155" s="166">
        <v>67000</v>
      </c>
      <c r="O155" s="166">
        <f t="shared" si="43"/>
        <v>67000</v>
      </c>
      <c r="P155" s="173">
        <v>0.85</v>
      </c>
      <c r="Q155" s="186">
        <f t="shared" si="44"/>
        <v>10050.000000000002</v>
      </c>
      <c r="R155" s="166">
        <f t="shared" si="45"/>
        <v>10050.000000000002</v>
      </c>
      <c r="S155" s="178">
        <f t="shared" si="48"/>
        <v>1.714308230572922E-2</v>
      </c>
      <c r="T155" s="168">
        <f t="shared" si="46"/>
        <v>10050.000000000002</v>
      </c>
      <c r="U155" s="280"/>
      <c r="V155" s="169">
        <f t="shared" ref="V155:V156" si="49">T155</f>
        <v>10050.000000000002</v>
      </c>
      <c r="Y155" s="152"/>
      <c r="Z155" s="282">
        <f t="shared" ref="Z155:Z159" si="50">T155</f>
        <v>10050.000000000002</v>
      </c>
      <c r="AA155" s="152"/>
      <c r="AD155" s="169">
        <f>T155</f>
        <v>10050.000000000002</v>
      </c>
      <c r="AJ155" s="152"/>
    </row>
    <row r="156" spans="1:36" x14ac:dyDescent="0.3">
      <c r="A156" s="157" t="s">
        <v>815</v>
      </c>
      <c r="B156" s="157" t="s">
        <v>99</v>
      </c>
      <c r="C156" s="157" t="s">
        <v>695</v>
      </c>
      <c r="D156" s="810" t="s">
        <v>439</v>
      </c>
      <c r="E156" s="157" t="s">
        <v>520</v>
      </c>
      <c r="F156" s="157">
        <v>100</v>
      </c>
      <c r="G156" s="1">
        <v>100</v>
      </c>
      <c r="H156" s="157" t="s">
        <v>22</v>
      </c>
      <c r="I156" s="188"/>
      <c r="J156" s="828">
        <v>100</v>
      </c>
      <c r="K156" s="812"/>
      <c r="L156" s="286"/>
      <c r="M156" s="163">
        <v>1</v>
      </c>
      <c r="N156" s="166">
        <v>4427</v>
      </c>
      <c r="O156" s="166">
        <f t="shared" si="43"/>
        <v>442700</v>
      </c>
      <c r="P156" s="173">
        <v>0.85</v>
      </c>
      <c r="Q156" s="186">
        <f t="shared" si="44"/>
        <v>664.05000000000007</v>
      </c>
      <c r="R156" s="166">
        <f t="shared" si="45"/>
        <v>66405</v>
      </c>
      <c r="S156" s="178">
        <f t="shared" si="48"/>
        <v>0.11327227666785558</v>
      </c>
      <c r="T156" s="168">
        <f t="shared" si="46"/>
        <v>66405</v>
      </c>
      <c r="U156" s="280"/>
      <c r="V156" s="169">
        <f t="shared" si="49"/>
        <v>66405</v>
      </c>
      <c r="Y156" s="152"/>
      <c r="Z156" s="282">
        <f t="shared" si="50"/>
        <v>66405</v>
      </c>
      <c r="AA156" s="152"/>
      <c r="AD156" s="169">
        <f>T156</f>
        <v>66405</v>
      </c>
      <c r="AJ156" s="152"/>
    </row>
    <row r="157" spans="1:36" x14ac:dyDescent="0.3">
      <c r="A157" s="157" t="s">
        <v>815</v>
      </c>
      <c r="B157" s="157" t="s">
        <v>440</v>
      </c>
      <c r="C157" s="157" t="s">
        <v>696</v>
      </c>
      <c r="D157" s="814" t="s">
        <v>441</v>
      </c>
      <c r="E157" s="157" t="s">
        <v>520</v>
      </c>
      <c r="F157" s="157" t="s">
        <v>836</v>
      </c>
      <c r="G157" s="1">
        <v>20</v>
      </c>
      <c r="H157" s="157" t="s">
        <v>63</v>
      </c>
      <c r="I157" s="159">
        <v>20</v>
      </c>
      <c r="J157" s="161"/>
      <c r="L157" s="286"/>
      <c r="M157" s="163">
        <v>1</v>
      </c>
      <c r="N157" s="166">
        <v>2300</v>
      </c>
      <c r="O157" s="166">
        <f t="shared" si="43"/>
        <v>46000</v>
      </c>
      <c r="P157" s="173">
        <v>0.45</v>
      </c>
      <c r="Q157" s="186">
        <f t="shared" si="44"/>
        <v>1265</v>
      </c>
      <c r="R157" s="166">
        <f t="shared" si="45"/>
        <v>25300</v>
      </c>
      <c r="S157" s="178">
        <f t="shared" si="48"/>
        <v>4.3156217147756137E-2</v>
      </c>
      <c r="T157" s="168">
        <f t="shared" si="46"/>
        <v>25300</v>
      </c>
      <c r="U157" s="282">
        <f>T157</f>
        <v>25300</v>
      </c>
      <c r="Y157" s="152"/>
      <c r="Z157" s="282">
        <f t="shared" si="50"/>
        <v>25300</v>
      </c>
      <c r="AA157" s="152"/>
      <c r="AE157" s="169">
        <f>T157</f>
        <v>25300</v>
      </c>
      <c r="AJ157" s="152"/>
    </row>
    <row r="158" spans="1:36" x14ac:dyDescent="0.3">
      <c r="A158" s="157" t="s">
        <v>815</v>
      </c>
      <c r="B158" s="157" t="s">
        <v>440</v>
      </c>
      <c r="C158" s="157" t="s">
        <v>696</v>
      </c>
      <c r="D158" s="157" t="s">
        <v>442</v>
      </c>
      <c r="E158" s="157" t="s">
        <v>520</v>
      </c>
      <c r="F158" s="157" t="s">
        <v>836</v>
      </c>
      <c r="G158" s="1">
        <v>20</v>
      </c>
      <c r="H158" s="157" t="s">
        <v>63</v>
      </c>
      <c r="I158" s="175">
        <v>20</v>
      </c>
      <c r="J158" s="176"/>
      <c r="L158" s="162"/>
      <c r="M158" s="163">
        <v>1</v>
      </c>
      <c r="N158" s="166">
        <v>2300</v>
      </c>
      <c r="O158" s="166">
        <f t="shared" si="43"/>
        <v>46000</v>
      </c>
      <c r="P158" s="173">
        <v>0.45</v>
      </c>
      <c r="Q158" s="186">
        <f t="shared" si="44"/>
        <v>1265</v>
      </c>
      <c r="R158" s="166">
        <f t="shared" si="45"/>
        <v>25300</v>
      </c>
      <c r="S158" s="178">
        <f t="shared" si="48"/>
        <v>4.3156217147756137E-2</v>
      </c>
      <c r="T158" s="168">
        <f t="shared" si="46"/>
        <v>25300</v>
      </c>
      <c r="U158" s="282">
        <f>T158</f>
        <v>25300</v>
      </c>
      <c r="Y158" s="152"/>
      <c r="Z158" s="282">
        <f t="shared" si="50"/>
        <v>25300</v>
      </c>
      <c r="AA158" s="152"/>
      <c r="AE158" s="169">
        <f>T158</f>
        <v>25300</v>
      </c>
      <c r="AJ158" s="152"/>
    </row>
    <row r="159" spans="1:36" x14ac:dyDescent="0.3">
      <c r="A159" s="157" t="s">
        <v>815</v>
      </c>
      <c r="B159" s="157" t="s">
        <v>443</v>
      </c>
      <c r="C159" s="157" t="s">
        <v>817</v>
      </c>
      <c r="D159" s="157" t="s">
        <v>26</v>
      </c>
      <c r="E159" s="157" t="s">
        <v>520</v>
      </c>
      <c r="F159" s="808" t="s">
        <v>818</v>
      </c>
      <c r="G159" s="1">
        <v>2</v>
      </c>
      <c r="H159" s="157" t="s">
        <v>24</v>
      </c>
      <c r="I159" s="175">
        <v>2</v>
      </c>
      <c r="J159" s="176"/>
      <c r="K159" s="176"/>
      <c r="L159" s="177"/>
      <c r="M159" s="163">
        <v>1</v>
      </c>
      <c r="N159" s="166">
        <v>8500</v>
      </c>
      <c r="O159" s="166">
        <f t="shared" si="43"/>
        <v>17000</v>
      </c>
      <c r="P159" s="173">
        <v>0.25</v>
      </c>
      <c r="Q159" s="186">
        <f t="shared" si="44"/>
        <v>6375</v>
      </c>
      <c r="R159" s="166">
        <f t="shared" si="45"/>
        <v>12750</v>
      </c>
      <c r="S159" s="178">
        <f t="shared" si="48"/>
        <v>2.1748686507268411E-2</v>
      </c>
      <c r="T159" s="168">
        <f t="shared" si="46"/>
        <v>12750</v>
      </c>
      <c r="U159" s="282">
        <f>T159</f>
        <v>12750</v>
      </c>
      <c r="Y159" s="152"/>
      <c r="Z159" s="282">
        <f t="shared" si="50"/>
        <v>12750</v>
      </c>
      <c r="AA159" s="152"/>
      <c r="AF159" s="169">
        <f>T159</f>
        <v>12750</v>
      </c>
      <c r="AJ159" s="152"/>
    </row>
    <row r="160" spans="1:36" x14ac:dyDescent="0.3">
      <c r="A160" s="157" t="s">
        <v>815</v>
      </c>
      <c r="B160" s="157" t="s">
        <v>158</v>
      </c>
      <c r="C160" s="157" t="s">
        <v>695</v>
      </c>
      <c r="D160" s="157" t="s">
        <v>446</v>
      </c>
      <c r="E160" s="157" t="s">
        <v>518</v>
      </c>
      <c r="F160" s="157">
        <v>88</v>
      </c>
      <c r="G160" s="1">
        <v>1</v>
      </c>
      <c r="H160" s="157" t="s">
        <v>22</v>
      </c>
      <c r="K160" s="176">
        <v>88</v>
      </c>
      <c r="L160" s="286"/>
      <c r="M160" s="157">
        <v>1</v>
      </c>
      <c r="N160" s="166">
        <v>338800</v>
      </c>
      <c r="O160" s="166">
        <f t="shared" si="43"/>
        <v>338800</v>
      </c>
      <c r="P160" s="815">
        <v>0.75</v>
      </c>
      <c r="Q160" s="186">
        <f t="shared" si="44"/>
        <v>84700</v>
      </c>
      <c r="R160" s="166">
        <f t="shared" si="45"/>
        <v>84700</v>
      </c>
      <c r="S160" s="167">
        <f t="shared" si="48"/>
        <v>0.14447950958161837</v>
      </c>
      <c r="T160" s="168">
        <f t="shared" si="46"/>
        <v>84700</v>
      </c>
      <c r="U160" s="280"/>
      <c r="V160" s="169">
        <f>T160</f>
        <v>84700</v>
      </c>
      <c r="Y160" s="152"/>
      <c r="Z160" s="280"/>
      <c r="AA160" s="171">
        <f t="shared" ref="AA160:AA162" si="51">T160</f>
        <v>84700</v>
      </c>
      <c r="AH160" s="169">
        <f>T160</f>
        <v>84700</v>
      </c>
      <c r="AJ160" s="152"/>
    </row>
    <row r="161" spans="1:38" x14ac:dyDescent="0.3">
      <c r="A161" s="157" t="s">
        <v>815</v>
      </c>
      <c r="B161" s="157" t="s">
        <v>108</v>
      </c>
      <c r="C161" s="157" t="s">
        <v>696</v>
      </c>
      <c r="D161" s="157" t="s">
        <v>448</v>
      </c>
      <c r="E161" s="157" t="s">
        <v>518</v>
      </c>
      <c r="F161" s="157" t="s">
        <v>825</v>
      </c>
      <c r="G161" s="1">
        <v>1</v>
      </c>
      <c r="H161" s="157" t="s">
        <v>63</v>
      </c>
      <c r="I161" s="159">
        <v>1</v>
      </c>
      <c r="J161" s="806"/>
      <c r="L161" s="162"/>
      <c r="M161" s="157">
        <v>1</v>
      </c>
      <c r="N161" s="166">
        <v>12000</v>
      </c>
      <c r="O161" s="166">
        <f t="shared" si="43"/>
        <v>12000</v>
      </c>
      <c r="P161" s="173">
        <v>0.25</v>
      </c>
      <c r="Q161" s="186">
        <f t="shared" si="44"/>
        <v>9000</v>
      </c>
      <c r="R161" s="166">
        <f t="shared" si="45"/>
        <v>9000</v>
      </c>
      <c r="S161" s="167">
        <f t="shared" si="48"/>
        <v>1.5352014005130641E-2</v>
      </c>
      <c r="T161" s="168">
        <f t="shared" si="46"/>
        <v>9000</v>
      </c>
      <c r="U161" s="282">
        <f>T161</f>
        <v>9000</v>
      </c>
      <c r="Y161" s="152"/>
      <c r="Z161" s="280"/>
      <c r="AA161" s="171">
        <f t="shared" si="51"/>
        <v>9000</v>
      </c>
      <c r="AI161" s="169">
        <f>T161</f>
        <v>9000</v>
      </c>
      <c r="AJ161" s="152"/>
    </row>
    <row r="162" spans="1:38" x14ac:dyDescent="0.3">
      <c r="A162" s="157" t="s">
        <v>815</v>
      </c>
      <c r="B162" s="157" t="s">
        <v>108</v>
      </c>
      <c r="C162" s="157" t="s">
        <v>696</v>
      </c>
      <c r="D162" s="157" t="s">
        <v>449</v>
      </c>
      <c r="E162" s="157" t="s">
        <v>518</v>
      </c>
      <c r="F162" s="157" t="s">
        <v>825</v>
      </c>
      <c r="G162" s="1">
        <v>1</v>
      </c>
      <c r="H162" s="157" t="s">
        <v>63</v>
      </c>
      <c r="I162" s="159">
        <v>1</v>
      </c>
      <c r="J162" s="806"/>
      <c r="L162" s="162"/>
      <c r="M162" s="157">
        <v>1</v>
      </c>
      <c r="N162" s="166">
        <v>36000</v>
      </c>
      <c r="O162" s="166">
        <f t="shared" si="43"/>
        <v>36000</v>
      </c>
      <c r="P162" s="173">
        <v>0.25</v>
      </c>
      <c r="Q162" s="186">
        <f t="shared" si="44"/>
        <v>27000</v>
      </c>
      <c r="R162" s="166">
        <f t="shared" si="45"/>
        <v>27000</v>
      </c>
      <c r="S162" s="167">
        <f t="shared" si="48"/>
        <v>4.6056042015391922E-2</v>
      </c>
      <c r="T162" s="168">
        <f t="shared" si="46"/>
        <v>27000</v>
      </c>
      <c r="U162" s="282">
        <f>T162</f>
        <v>27000</v>
      </c>
      <c r="Y162" s="152"/>
      <c r="Z162" s="280"/>
      <c r="AA162" s="171">
        <f t="shared" si="51"/>
        <v>27000</v>
      </c>
      <c r="AI162" s="169">
        <f>T162</f>
        <v>27000</v>
      </c>
      <c r="AJ162" s="152"/>
    </row>
    <row r="163" spans="1:38" x14ac:dyDescent="0.3">
      <c r="A163" s="157" t="s">
        <v>815</v>
      </c>
      <c r="B163" s="157" t="s">
        <v>41</v>
      </c>
      <c r="C163" s="157" t="s">
        <v>828</v>
      </c>
      <c r="D163" s="157" t="s">
        <v>450</v>
      </c>
      <c r="E163" s="157" t="s">
        <v>520</v>
      </c>
      <c r="F163" s="158" t="s">
        <v>837</v>
      </c>
      <c r="G163" s="157">
        <v>15</v>
      </c>
      <c r="H163" s="157" t="s">
        <v>24</v>
      </c>
      <c r="I163" s="175">
        <v>35</v>
      </c>
      <c r="J163" s="176"/>
      <c r="K163" s="176"/>
      <c r="L163" s="177"/>
      <c r="M163" s="157">
        <v>1</v>
      </c>
      <c r="N163" s="166">
        <v>1600</v>
      </c>
      <c r="O163" s="166">
        <f t="shared" si="43"/>
        <v>24000</v>
      </c>
      <c r="P163" s="173">
        <v>0.7</v>
      </c>
      <c r="Q163" s="166">
        <f t="shared" si="44"/>
        <v>480.00000000000006</v>
      </c>
      <c r="R163" s="166">
        <f>Q163*M163*G163</f>
        <v>7200.0000000000009</v>
      </c>
      <c r="S163" s="178">
        <f>R163/$R$169</f>
        <v>1.2281611204104516E-2</v>
      </c>
      <c r="T163" s="168">
        <f t="shared" si="46"/>
        <v>7200.0000000000009</v>
      </c>
      <c r="U163" s="280"/>
      <c r="W163" s="169">
        <f>T163</f>
        <v>7200.0000000000009</v>
      </c>
      <c r="X163" s="169"/>
      <c r="Y163" s="152"/>
      <c r="Z163" s="282">
        <f>T163</f>
        <v>7200.0000000000009</v>
      </c>
      <c r="AA163" s="152"/>
      <c r="AB163" s="188"/>
      <c r="AI163" s="169">
        <f>T163</f>
        <v>7200.0000000000009</v>
      </c>
      <c r="AJ163" s="152"/>
    </row>
    <row r="164" spans="1:38" x14ac:dyDescent="0.3">
      <c r="A164" s="157" t="s">
        <v>815</v>
      </c>
      <c r="B164" s="157" t="s">
        <v>150</v>
      </c>
      <c r="C164" s="157" t="s">
        <v>830</v>
      </c>
      <c r="D164" s="157" t="s">
        <v>68</v>
      </c>
      <c r="E164" s="157" t="s">
        <v>520</v>
      </c>
      <c r="F164" s="158" t="s">
        <v>838</v>
      </c>
      <c r="G164" s="157">
        <v>10</v>
      </c>
      <c r="H164" s="157" t="s">
        <v>24</v>
      </c>
      <c r="I164" s="175">
        <v>10</v>
      </c>
      <c r="J164" s="176"/>
      <c r="K164" s="176"/>
      <c r="L164" s="177"/>
      <c r="M164" s="157">
        <v>1</v>
      </c>
      <c r="N164" s="166">
        <v>11181</v>
      </c>
      <c r="O164" s="166">
        <f t="shared" si="43"/>
        <v>111810</v>
      </c>
      <c r="P164" s="173">
        <v>0.4</v>
      </c>
      <c r="Q164" s="166">
        <f t="shared" si="44"/>
        <v>6708.5999999999995</v>
      </c>
      <c r="R164" s="166">
        <f t="shared" ref="R164" si="52">Q164*M164*G164</f>
        <v>67086</v>
      </c>
      <c r="S164" s="178">
        <f>R164/$R$169</f>
        <v>0.1144339123942438</v>
      </c>
      <c r="T164" s="168">
        <f t="shared" si="46"/>
        <v>67086</v>
      </c>
      <c r="U164" s="280"/>
      <c r="W164" s="169">
        <f>T164</f>
        <v>67086</v>
      </c>
      <c r="X164" s="169"/>
      <c r="Y164" s="152"/>
      <c r="Z164" s="282">
        <f>T164</f>
        <v>67086</v>
      </c>
      <c r="AA164" s="152"/>
      <c r="AB164" s="188"/>
      <c r="AJ164" s="171">
        <f>T164</f>
        <v>67086</v>
      </c>
    </row>
    <row r="165" spans="1:38" x14ac:dyDescent="0.3">
      <c r="A165" s="157"/>
      <c r="B165" s="157"/>
      <c r="C165" s="157"/>
      <c r="D165" s="157"/>
      <c r="E165" s="157"/>
      <c r="F165" s="158"/>
      <c r="G165" s="157"/>
      <c r="H165" s="157"/>
      <c r="L165" s="286"/>
      <c r="M165" s="157"/>
      <c r="N165" s="166"/>
      <c r="O165" s="166"/>
      <c r="P165" s="173"/>
      <c r="Q165" s="166"/>
      <c r="R165" s="166"/>
      <c r="S165" s="6"/>
      <c r="T165" s="168"/>
      <c r="U165" s="280"/>
      <c r="X165" s="169"/>
      <c r="Y165" s="152"/>
      <c r="Z165" s="280"/>
      <c r="AA165" s="152"/>
      <c r="AB165" s="188"/>
      <c r="AJ165" s="152"/>
    </row>
    <row r="166" spans="1:38" x14ac:dyDescent="0.3">
      <c r="A166" s="108" t="s">
        <v>815</v>
      </c>
      <c r="B166" s="108" t="s">
        <v>528</v>
      </c>
      <c r="C166" s="289"/>
      <c r="D166" s="252"/>
      <c r="E166" s="252"/>
      <c r="F166" s="253"/>
      <c r="G166" s="252"/>
      <c r="H166" s="252"/>
      <c r="I166" s="254"/>
      <c r="J166" s="254"/>
      <c r="K166" s="254"/>
      <c r="L166" s="254"/>
      <c r="M166" s="252"/>
      <c r="N166" s="255"/>
      <c r="O166" s="255"/>
      <c r="P166" s="256"/>
      <c r="Q166" s="290"/>
      <c r="R166" s="257"/>
      <c r="S166" s="256"/>
      <c r="T166" s="168">
        <f>R166</f>
        <v>0</v>
      </c>
      <c r="U166" s="280"/>
      <c r="X166" s="169">
        <f>T166</f>
        <v>0</v>
      </c>
      <c r="Y166" s="152"/>
      <c r="Z166" s="280"/>
      <c r="AA166" s="152"/>
      <c r="AJ166" s="152"/>
    </row>
    <row r="167" spans="1:38" x14ac:dyDescent="0.3">
      <c r="A167" s="108" t="s">
        <v>815</v>
      </c>
      <c r="B167" s="108" t="s">
        <v>529</v>
      </c>
      <c r="C167" s="289"/>
      <c r="D167" s="252"/>
      <c r="E167" s="252"/>
      <c r="F167" s="253"/>
      <c r="G167" s="252"/>
      <c r="H167" s="252"/>
      <c r="I167" s="254"/>
      <c r="J167" s="254"/>
      <c r="K167" s="254"/>
      <c r="L167" s="254"/>
      <c r="M167" s="252"/>
      <c r="N167" s="255"/>
      <c r="O167" s="255"/>
      <c r="P167" s="256"/>
      <c r="Q167" s="290"/>
      <c r="R167" s="257"/>
      <c r="S167" s="291"/>
      <c r="T167" s="168">
        <f>R167</f>
        <v>0</v>
      </c>
      <c r="U167" s="280"/>
      <c r="Y167" s="171">
        <f>T167</f>
        <v>0</v>
      </c>
      <c r="Z167" s="280"/>
      <c r="AA167" s="152"/>
      <c r="AJ167" s="152"/>
    </row>
    <row r="168" spans="1:38" x14ac:dyDescent="0.3">
      <c r="I168" s="115">
        <f>I169/$M$169</f>
        <v>0.2611607142857143</v>
      </c>
      <c r="J168" s="115">
        <f t="shared" ref="J168:K168" si="53">J169/$M$169</f>
        <v>0.3705357142857143</v>
      </c>
      <c r="K168" s="115">
        <f t="shared" si="53"/>
        <v>0.36830357142857145</v>
      </c>
      <c r="T168" s="645"/>
      <c r="U168" s="566"/>
      <c r="V168" s="245"/>
      <c r="W168" s="245"/>
      <c r="X168" s="245"/>
      <c r="Y168" s="567"/>
      <c r="Z168" s="566"/>
      <c r="AA168" s="567"/>
      <c r="AB168" s="245"/>
      <c r="AC168" s="245"/>
      <c r="AD168" s="245"/>
      <c r="AE168" s="245"/>
      <c r="AF168" s="245"/>
      <c r="AG168" s="245"/>
      <c r="AH168" s="245"/>
      <c r="AI168" s="245"/>
      <c r="AJ168" s="567"/>
    </row>
    <row r="169" spans="1:38" x14ac:dyDescent="0.3">
      <c r="A169" s="326" t="s">
        <v>531</v>
      </c>
      <c r="B169" s="327"/>
      <c r="C169" s="327"/>
      <c r="D169" s="327"/>
      <c r="E169" s="327"/>
      <c r="F169" s="328"/>
      <c r="G169" s="327"/>
      <c r="H169" s="327"/>
      <c r="I169" s="327">
        <f>I164+I163+I162+I161+I159+I158+I157+I155</f>
        <v>117</v>
      </c>
      <c r="J169" s="327">
        <f>J156+J154+J151</f>
        <v>166</v>
      </c>
      <c r="K169" s="327">
        <f>K160+K152+K151</f>
        <v>165</v>
      </c>
      <c r="L169" s="327"/>
      <c r="M169" s="327">
        <f>SUM(I169:L169)</f>
        <v>448</v>
      </c>
      <c r="N169" s="329"/>
      <c r="O169" s="329">
        <f>SUM(O151:O168)</f>
        <v>2250112</v>
      </c>
      <c r="P169" s="330">
        <f>1-R169/O169</f>
        <v>0.73946083572728827</v>
      </c>
      <c r="Q169" s="329"/>
      <c r="R169" s="331">
        <f>SUM(R150:R168)</f>
        <v>586242.30000000005</v>
      </c>
      <c r="S169" s="332">
        <f>SUM(S150:S167)</f>
        <v>1</v>
      </c>
      <c r="T169" s="646">
        <f>SUM(T150:T168)</f>
        <v>586242.30000000005</v>
      </c>
      <c r="U169" s="588">
        <f t="shared" ref="U169:AA169" si="54">SUM(U150:U167)</f>
        <v>99350</v>
      </c>
      <c r="V169" s="589">
        <f t="shared" si="54"/>
        <v>412606.3</v>
      </c>
      <c r="W169" s="589">
        <f t="shared" si="54"/>
        <v>74286</v>
      </c>
      <c r="X169" s="589">
        <f t="shared" si="54"/>
        <v>0</v>
      </c>
      <c r="Y169" s="647">
        <f t="shared" si="54"/>
        <v>0</v>
      </c>
      <c r="Z169" s="648">
        <f t="shared" si="54"/>
        <v>256049</v>
      </c>
      <c r="AA169" s="647">
        <f t="shared" si="54"/>
        <v>330193.3</v>
      </c>
      <c r="AB169" s="589">
        <f>SUM(AB151:AB168)</f>
        <v>41958.000000000007</v>
      </c>
      <c r="AC169" s="589">
        <f>SUM(AC150:AC168)</f>
        <v>171072</v>
      </c>
      <c r="AD169" s="589">
        <f t="shared" ref="AD169:AI169" si="55">SUM(AD150:AD168)</f>
        <v>114876.3</v>
      </c>
      <c r="AE169" s="589">
        <f t="shared" si="55"/>
        <v>50600</v>
      </c>
      <c r="AF169" s="589">
        <f t="shared" si="55"/>
        <v>12750</v>
      </c>
      <c r="AG169" s="589">
        <f t="shared" si="55"/>
        <v>0</v>
      </c>
      <c r="AH169" s="589">
        <f t="shared" si="55"/>
        <v>84700</v>
      </c>
      <c r="AI169" s="589">
        <f t="shared" si="55"/>
        <v>43200</v>
      </c>
      <c r="AJ169" s="647">
        <f>SUM(AJ150:AJ167)</f>
        <v>67086</v>
      </c>
      <c r="AK169" s="111"/>
      <c r="AL169" s="111"/>
    </row>
    <row r="170" spans="1:38" x14ac:dyDescent="0.3">
      <c r="A170" s="342" t="s">
        <v>532</v>
      </c>
      <c r="B170" s="343"/>
      <c r="C170" s="343"/>
      <c r="D170" s="343"/>
      <c r="E170" s="343"/>
      <c r="F170" s="344"/>
      <c r="G170" s="343"/>
      <c r="H170" s="343"/>
      <c r="I170" s="343">
        <f>I164+I163+I162+I161+I159+I158+I157+I155</f>
        <v>117</v>
      </c>
      <c r="J170" s="343">
        <f>I164+I163+I162+I161+I159+I158+I157+J156+J154+J151</f>
        <v>255</v>
      </c>
      <c r="K170" s="343">
        <f>I164+I163+K160+I159+K152+K151</f>
        <v>212</v>
      </c>
      <c r="L170" s="343"/>
      <c r="M170" s="343">
        <f>SUM(I170:L170)</f>
        <v>584</v>
      </c>
      <c r="N170" s="345"/>
      <c r="O170" s="345"/>
      <c r="P170" s="346"/>
      <c r="Q170" s="345"/>
      <c r="R170" s="345"/>
      <c r="S170" s="347"/>
      <c r="T170" s="348"/>
      <c r="U170" s="349">
        <f>U169/T169</f>
        <v>0.16946917682330326</v>
      </c>
      <c r="V170" s="350">
        <f>V169/T169</f>
        <v>0.70381529957834832</v>
      </c>
      <c r="W170" s="350">
        <f>W169/T169</f>
        <v>0.12671552359834831</v>
      </c>
      <c r="X170" s="350">
        <f>X169/T169</f>
        <v>0</v>
      </c>
      <c r="Y170" s="352">
        <f>Y169/T169</f>
        <v>0</v>
      </c>
      <c r="Z170" s="351">
        <f>Z169/T169</f>
        <v>0.43676309266663288</v>
      </c>
      <c r="AA170" s="352">
        <f>AA169/T169</f>
        <v>0.56323690733336707</v>
      </c>
      <c r="AB170" s="829"/>
      <c r="AC170" s="524"/>
      <c r="AD170" s="524"/>
      <c r="AE170" s="524"/>
      <c r="AF170" s="524"/>
      <c r="AG170" s="524"/>
      <c r="AH170" s="524"/>
      <c r="AI170" s="524"/>
      <c r="AJ170" s="356"/>
    </row>
    <row r="171" spans="1:38" x14ac:dyDescent="0.3">
      <c r="A171" s="243" t="s">
        <v>533</v>
      </c>
      <c r="B171" s="193"/>
      <c r="C171" s="193"/>
      <c r="D171" s="193"/>
      <c r="E171" s="193"/>
      <c r="F171" s="244"/>
      <c r="G171" s="193"/>
      <c r="H171" s="193"/>
      <c r="I171" s="2182">
        <f>I170/$M$170</f>
        <v>0.20034246575342465</v>
      </c>
      <c r="J171" s="2182">
        <f t="shared" ref="J171:L171" si="56">J170/$M$170</f>
        <v>0.43664383561643838</v>
      </c>
      <c r="K171" s="2182">
        <f t="shared" si="56"/>
        <v>0.36301369863013699</v>
      </c>
      <c r="L171" s="245">
        <f t="shared" si="56"/>
        <v>0</v>
      </c>
      <c r="M171" s="193"/>
      <c r="N171" s="246"/>
      <c r="O171" s="246"/>
      <c r="P171" s="196"/>
      <c r="Q171" s="246"/>
      <c r="R171" s="194">
        <f>U169</f>
        <v>99350</v>
      </c>
      <c r="S171" s="247">
        <f>R171/R176</f>
        <v>0.16946917682330326</v>
      </c>
      <c r="Y171" s="248"/>
      <c r="Z171" s="830">
        <f>J151+K151+I155+J156+I157+I158+I159+I163+I164</f>
        <v>315</v>
      </c>
      <c r="AA171" s="831">
        <f>K152+J154+K160+I161+I162</f>
        <v>133</v>
      </c>
    </row>
    <row r="172" spans="1:38" x14ac:dyDescent="0.3">
      <c r="A172" s="251" t="s">
        <v>11</v>
      </c>
      <c r="B172" s="252"/>
      <c r="C172" s="252"/>
      <c r="D172" s="252"/>
      <c r="E172" s="252"/>
      <c r="F172" s="253"/>
      <c r="G172" s="252"/>
      <c r="H172" s="252"/>
      <c r="I172" s="254"/>
      <c r="J172" s="254"/>
      <c r="K172" s="254"/>
      <c r="L172" s="254"/>
      <c r="M172" s="252"/>
      <c r="N172" s="255"/>
      <c r="O172" s="255"/>
      <c r="P172" s="256"/>
      <c r="Q172" s="255"/>
      <c r="R172" s="257">
        <f>V169</f>
        <v>412606.3</v>
      </c>
      <c r="S172" s="262">
        <f>R172/R176</f>
        <v>0.70381529957834832</v>
      </c>
      <c r="T172" s="525">
        <f>R169/M169</f>
        <v>1308.5765625000001</v>
      </c>
      <c r="U172" s="526" t="s">
        <v>535</v>
      </c>
      <c r="Z172" s="195">
        <f>Z171/M169</f>
        <v>0.703125</v>
      </c>
      <c r="AA172" s="247">
        <f>AA171/M169</f>
        <v>0.296875</v>
      </c>
    </row>
    <row r="173" spans="1:38" x14ac:dyDescent="0.3">
      <c r="A173" s="251" t="s">
        <v>536</v>
      </c>
      <c r="B173" s="252"/>
      <c r="C173" s="252"/>
      <c r="D173" s="252"/>
      <c r="E173" s="252"/>
      <c r="F173" s="253"/>
      <c r="G173" s="252"/>
      <c r="H173" s="252"/>
      <c r="I173" s="254"/>
      <c r="J173" s="254"/>
      <c r="K173" s="254"/>
      <c r="L173" s="254"/>
      <c r="M173" s="252"/>
      <c r="N173" s="255"/>
      <c r="O173" s="255"/>
      <c r="P173" s="256"/>
      <c r="Q173" s="255"/>
      <c r="R173" s="257">
        <f>W169</f>
        <v>74286</v>
      </c>
      <c r="S173" s="262">
        <f>R173/R176</f>
        <v>0.12671552359834831</v>
      </c>
      <c r="X173" s="99"/>
      <c r="Z173" s="2265" t="s">
        <v>537</v>
      </c>
      <c r="AA173" s="2265"/>
    </row>
    <row r="174" spans="1:38" x14ac:dyDescent="0.3">
      <c r="A174" s="251" t="s">
        <v>529</v>
      </c>
      <c r="B174" s="252"/>
      <c r="C174" s="252"/>
      <c r="D174" s="252"/>
      <c r="E174" s="252"/>
      <c r="F174" s="253"/>
      <c r="G174" s="252"/>
      <c r="H174" s="252"/>
      <c r="I174" s="254"/>
      <c r="J174" s="254"/>
      <c r="K174" s="254"/>
      <c r="L174" s="254"/>
      <c r="M174" s="252"/>
      <c r="N174" s="255"/>
      <c r="O174" s="255"/>
      <c r="P174" s="256"/>
      <c r="Q174" s="255"/>
      <c r="R174" s="257">
        <f>Y169</f>
        <v>0</v>
      </c>
      <c r="S174" s="262">
        <f>R174/R176</f>
        <v>0</v>
      </c>
    </row>
    <row r="175" spans="1:38" x14ac:dyDescent="0.3">
      <c r="A175" s="251" t="s">
        <v>528</v>
      </c>
      <c r="B175" s="252"/>
      <c r="C175" s="252"/>
      <c r="D175" s="252"/>
      <c r="E175" s="252"/>
      <c r="F175" s="253"/>
      <c r="G175" s="252"/>
      <c r="H175" s="252"/>
      <c r="I175" s="254"/>
      <c r="J175" s="254"/>
      <c r="K175" s="254"/>
      <c r="L175" s="254"/>
      <c r="M175" s="252"/>
      <c r="N175" s="255"/>
      <c r="O175" s="255"/>
      <c r="P175" s="256"/>
      <c r="Q175" s="255"/>
      <c r="R175" s="257">
        <f>X169</f>
        <v>0</v>
      </c>
      <c r="S175" s="262">
        <f>R175/R176</f>
        <v>0</v>
      </c>
    </row>
    <row r="176" spans="1:38" x14ac:dyDescent="0.3">
      <c r="A176" s="251"/>
      <c r="B176" s="252"/>
      <c r="C176" s="252"/>
      <c r="D176" s="252"/>
      <c r="E176" s="252"/>
      <c r="F176" s="253"/>
      <c r="G176" s="252"/>
      <c r="H176" s="252"/>
      <c r="I176" s="254"/>
      <c r="J176" s="254"/>
      <c r="K176" s="254"/>
      <c r="L176" s="254"/>
      <c r="M176" s="252"/>
      <c r="N176" s="255"/>
      <c r="O176" s="255"/>
      <c r="P176" s="256"/>
      <c r="Q176" s="255"/>
      <c r="R176" s="264">
        <f>SUM(R171:R175)</f>
        <v>586242.30000000005</v>
      </c>
      <c r="S176" s="262">
        <f>SUM(S171:S175)</f>
        <v>1</v>
      </c>
    </row>
    <row r="181" spans="1:36" x14ac:dyDescent="0.3">
      <c r="E181" s="1" t="s">
        <v>562</v>
      </c>
      <c r="F181" s="2" t="s">
        <v>616</v>
      </c>
    </row>
    <row r="182" spans="1:36" x14ac:dyDescent="0.3">
      <c r="E182" s="1" t="s">
        <v>473</v>
      </c>
      <c r="F182" s="2" t="s">
        <v>80</v>
      </c>
    </row>
    <row r="183" spans="1:36" x14ac:dyDescent="0.3">
      <c r="E183" s="1" t="s">
        <v>475</v>
      </c>
      <c r="F183" s="2" t="s">
        <v>839</v>
      </c>
    </row>
    <row r="184" spans="1:36" x14ac:dyDescent="0.3">
      <c r="E184" s="1" t="s">
        <v>477</v>
      </c>
      <c r="F184" s="2" t="s">
        <v>840</v>
      </c>
    </row>
    <row r="185" spans="1:36" ht="18" x14ac:dyDescent="0.35">
      <c r="A185" s="118" t="s">
        <v>554</v>
      </c>
      <c r="O185" s="3"/>
      <c r="P185" s="115"/>
      <c r="R185" s="3"/>
      <c r="S185" s="99"/>
    </row>
    <row r="186" spans="1:36" x14ac:dyDescent="0.3">
      <c r="O186" s="3"/>
      <c r="P186" s="99"/>
      <c r="R186" s="3"/>
      <c r="S186" s="99"/>
    </row>
    <row r="187" spans="1:36" x14ac:dyDescent="0.3">
      <c r="A187" s="2446" t="s">
        <v>480</v>
      </c>
      <c r="B187" s="2447"/>
      <c r="C187" s="2447"/>
      <c r="D187" s="2447"/>
      <c r="E187" s="2447"/>
      <c r="F187" s="2447"/>
      <c r="G187" s="2447"/>
      <c r="H187" s="2447"/>
      <c r="I187" s="2447"/>
      <c r="J187" s="2447"/>
      <c r="K187" s="2447"/>
      <c r="L187" s="2447"/>
      <c r="M187" s="2447"/>
      <c r="N187" s="2447"/>
      <c r="O187" s="2447"/>
      <c r="P187" s="2447"/>
      <c r="Q187" s="2447"/>
      <c r="R187" s="2447"/>
      <c r="S187" s="2448"/>
      <c r="T187" s="2374" t="s">
        <v>584</v>
      </c>
      <c r="U187" s="2375"/>
      <c r="V187" s="2375"/>
      <c r="W187" s="2375"/>
      <c r="X187" s="2375"/>
      <c r="Y187" s="2375"/>
      <c r="Z187" s="2375"/>
      <c r="AA187" s="2375"/>
      <c r="AB187" s="2375"/>
      <c r="AC187" s="2375"/>
      <c r="AD187" s="2375"/>
      <c r="AE187" s="2375"/>
      <c r="AF187" s="2375"/>
      <c r="AG187" s="2375"/>
      <c r="AH187" s="2375"/>
      <c r="AI187" s="2375"/>
      <c r="AJ187" s="2376"/>
    </row>
    <row r="188" spans="1:36" ht="18" x14ac:dyDescent="0.35">
      <c r="A188" s="2227" t="s">
        <v>482</v>
      </c>
      <c r="B188" s="2215" t="s">
        <v>483</v>
      </c>
      <c r="C188" s="2215" t="s">
        <v>484</v>
      </c>
      <c r="D188" s="2215" t="s">
        <v>555</v>
      </c>
      <c r="E188" s="2215" t="s">
        <v>556</v>
      </c>
      <c r="F188" s="2213" t="s">
        <v>487</v>
      </c>
      <c r="G188" s="2215" t="s">
        <v>557</v>
      </c>
      <c r="H188" s="2215" t="s">
        <v>489</v>
      </c>
      <c r="I188" s="2217" t="s">
        <v>490</v>
      </c>
      <c r="J188" s="373"/>
      <c r="K188" s="373"/>
      <c r="L188" s="2218"/>
      <c r="M188" s="374" t="s">
        <v>491</v>
      </c>
      <c r="N188" s="375" t="s">
        <v>558</v>
      </c>
      <c r="O188" s="375" t="s">
        <v>841</v>
      </c>
      <c r="P188" s="376" t="s">
        <v>493</v>
      </c>
      <c r="Q188" s="375" t="s">
        <v>558</v>
      </c>
      <c r="R188" s="375" t="s">
        <v>559</v>
      </c>
      <c r="S188" s="2327" t="s">
        <v>495</v>
      </c>
      <c r="T188" s="703" t="s">
        <v>496</v>
      </c>
      <c r="U188" s="2388" t="s">
        <v>497</v>
      </c>
      <c r="V188" s="2389"/>
      <c r="W188" s="2389"/>
      <c r="X188" s="2389"/>
      <c r="Y188" s="2389"/>
      <c r="Z188" s="2394" t="s">
        <v>498</v>
      </c>
      <c r="AA188" s="2395"/>
      <c r="AB188" s="2398"/>
      <c r="AC188" s="2398"/>
      <c r="AD188" s="2398"/>
      <c r="AE188" s="2398"/>
      <c r="AF188" s="2398"/>
      <c r="AG188" s="2398"/>
      <c r="AH188" s="2398"/>
      <c r="AI188" s="2398"/>
      <c r="AJ188" s="2395"/>
    </row>
    <row r="189" spans="1:36" ht="18" x14ac:dyDescent="0.35">
      <c r="A189" s="2341"/>
      <c r="B189" s="2326"/>
      <c r="C189" s="2326"/>
      <c r="D189" s="2326"/>
      <c r="E189" s="2326"/>
      <c r="F189" s="2342"/>
      <c r="G189" s="2326"/>
      <c r="H189" s="2326"/>
      <c r="I189" s="536" t="s">
        <v>500</v>
      </c>
      <c r="J189" s="536" t="s">
        <v>501</v>
      </c>
      <c r="K189" s="536" t="s">
        <v>502</v>
      </c>
      <c r="L189" s="536" t="s">
        <v>503</v>
      </c>
      <c r="M189" s="537" t="s">
        <v>504</v>
      </c>
      <c r="N189" s="538" t="s">
        <v>505</v>
      </c>
      <c r="O189" s="538" t="s">
        <v>813</v>
      </c>
      <c r="P189" s="539" t="s">
        <v>506</v>
      </c>
      <c r="Q189" s="538" t="s">
        <v>507</v>
      </c>
      <c r="R189" s="538" t="s">
        <v>560</v>
      </c>
      <c r="S189" s="2328"/>
      <c r="T189" s="704" t="s">
        <v>508</v>
      </c>
      <c r="U189" s="2391"/>
      <c r="V189" s="2392"/>
      <c r="W189" s="2392"/>
      <c r="X189" s="2392"/>
      <c r="Y189" s="2392"/>
      <c r="Z189" s="2396"/>
      <c r="AA189" s="2397"/>
      <c r="AB189" s="2399"/>
      <c r="AC189" s="2399"/>
      <c r="AD189" s="2399"/>
      <c r="AE189" s="2399"/>
      <c r="AF189" s="2399"/>
      <c r="AG189" s="2399"/>
      <c r="AH189" s="2399"/>
      <c r="AI189" s="2399"/>
      <c r="AJ189" s="2397"/>
    </row>
    <row r="190" spans="1:36" ht="18" x14ac:dyDescent="0.35">
      <c r="A190" s="2323" t="s">
        <v>568</v>
      </c>
      <c r="B190" s="2324"/>
      <c r="C190" s="2324"/>
      <c r="D190" s="2324"/>
      <c r="E190" s="2324"/>
      <c r="F190" s="2324"/>
      <c r="G190" s="2324"/>
      <c r="H190" s="2324"/>
      <c r="I190" s="2324"/>
      <c r="J190" s="2324"/>
      <c r="K190" s="2324"/>
      <c r="L190" s="2324"/>
      <c r="M190" s="2324"/>
      <c r="N190" s="2324"/>
      <c r="O190" s="2324"/>
      <c r="P190" s="2324"/>
      <c r="Q190" s="2324"/>
      <c r="R190" s="2324"/>
      <c r="S190" s="2324"/>
      <c r="T190" s="559"/>
      <c r="U190" s="563" t="s">
        <v>510</v>
      </c>
      <c r="V190" s="561" t="s">
        <v>11</v>
      </c>
      <c r="W190" s="561" t="s">
        <v>511</v>
      </c>
      <c r="X190" s="561" t="s">
        <v>512</v>
      </c>
      <c r="Y190" s="562" t="s">
        <v>513</v>
      </c>
      <c r="Z190" s="563" t="s">
        <v>514</v>
      </c>
      <c r="AA190" s="562" t="s">
        <v>515</v>
      </c>
      <c r="AB190" s="721" t="s">
        <v>0</v>
      </c>
      <c r="AC190" s="722" t="s">
        <v>4</v>
      </c>
      <c r="AD190" s="722" t="s">
        <v>2</v>
      </c>
      <c r="AE190" s="722" t="s">
        <v>153</v>
      </c>
      <c r="AF190" s="722" t="s">
        <v>154</v>
      </c>
      <c r="AG190" s="722" t="s">
        <v>155</v>
      </c>
      <c r="AH190" s="722" t="s">
        <v>156</v>
      </c>
      <c r="AI190" s="722" t="s">
        <v>5</v>
      </c>
      <c r="AJ190" s="562" t="s">
        <v>814</v>
      </c>
    </row>
    <row r="191" spans="1:36" x14ac:dyDescent="0.3">
      <c r="A191" s="154"/>
      <c r="B191" s="462"/>
      <c r="C191" s="462"/>
      <c r="D191" s="462"/>
      <c r="E191" s="462"/>
      <c r="F191" s="463"/>
      <c r="G191" s="462"/>
      <c r="H191" s="462"/>
      <c r="I191" s="465"/>
      <c r="J191" s="465"/>
      <c r="K191" s="465"/>
      <c r="L191" s="465"/>
      <c r="M191" s="462"/>
      <c r="N191" s="468"/>
      <c r="O191" s="468"/>
      <c r="P191" s="469"/>
      <c r="Q191" s="468"/>
      <c r="R191" s="468"/>
      <c r="S191" s="532"/>
      <c r="T191" s="149"/>
      <c r="U191" s="280"/>
      <c r="Y191" s="152"/>
      <c r="Z191" s="280"/>
      <c r="AA191" s="152"/>
      <c r="AB191" s="280"/>
      <c r="AJ191" s="152"/>
    </row>
    <row r="192" spans="1:36" x14ac:dyDescent="0.3">
      <c r="A192" s="157" t="s">
        <v>815</v>
      </c>
      <c r="B192" s="157" t="s">
        <v>157</v>
      </c>
      <c r="C192" s="157" t="s">
        <v>695</v>
      </c>
      <c r="D192" s="157" t="s">
        <v>433</v>
      </c>
      <c r="E192" s="157" t="s">
        <v>520</v>
      </c>
      <c r="F192" s="157" t="s">
        <v>816</v>
      </c>
      <c r="G192" s="1">
        <v>35</v>
      </c>
      <c r="H192" s="157" t="s">
        <v>22</v>
      </c>
      <c r="I192" s="188"/>
      <c r="J192" s="806">
        <v>35</v>
      </c>
      <c r="K192" s="807">
        <v>35</v>
      </c>
      <c r="L192" s="286"/>
      <c r="M192" s="163">
        <v>2</v>
      </c>
      <c r="N192" s="166">
        <v>1398.6</v>
      </c>
      <c r="O192" s="166">
        <f t="shared" ref="O192:O199" si="57">N192*M192*G192</f>
        <v>97902</v>
      </c>
      <c r="P192" s="165">
        <v>0.7</v>
      </c>
      <c r="Q192" s="186">
        <f t="shared" ref="Q192:Q199" si="58">N192*(1-P192)</f>
        <v>419.58000000000004</v>
      </c>
      <c r="R192" s="166">
        <f>Q192*M192*G192</f>
        <v>29370.600000000002</v>
      </c>
      <c r="S192" s="178">
        <f>R192/$R$204</f>
        <v>0.12323831966284497</v>
      </c>
      <c r="T192" s="168">
        <f>R192*4</f>
        <v>117482.40000000001</v>
      </c>
      <c r="U192" s="280"/>
      <c r="V192" s="169">
        <f>T192</f>
        <v>117482.40000000001</v>
      </c>
      <c r="Y192" s="152"/>
      <c r="Z192" s="282">
        <f>T192</f>
        <v>117482.40000000001</v>
      </c>
      <c r="AA192" s="152"/>
      <c r="AB192" s="282">
        <f>T192</f>
        <v>117482.40000000001</v>
      </c>
      <c r="AE192" s="169"/>
      <c r="AJ192" s="152"/>
    </row>
    <row r="193" spans="1:36" x14ac:dyDescent="0.3">
      <c r="A193" s="157" t="s">
        <v>815</v>
      </c>
      <c r="B193" s="157" t="s">
        <v>141</v>
      </c>
      <c r="C193" s="157" t="s">
        <v>819</v>
      </c>
      <c r="D193" s="157" t="s">
        <v>142</v>
      </c>
      <c r="E193" s="157" t="s">
        <v>518</v>
      </c>
      <c r="F193" s="157" t="s">
        <v>835</v>
      </c>
      <c r="G193" s="1">
        <v>8</v>
      </c>
      <c r="H193" s="157" t="s">
        <v>22</v>
      </c>
      <c r="I193" s="807">
        <v>8</v>
      </c>
      <c r="K193" s="812"/>
      <c r="L193" s="286"/>
      <c r="M193" s="163">
        <v>1</v>
      </c>
      <c r="N193" s="166">
        <v>26400</v>
      </c>
      <c r="O193" s="166">
        <f t="shared" si="57"/>
        <v>211200</v>
      </c>
      <c r="P193" s="173">
        <v>0.76</v>
      </c>
      <c r="Q193" s="186">
        <f t="shared" si="58"/>
        <v>6336</v>
      </c>
      <c r="R193" s="166">
        <f t="shared" ref="R193:R199" si="59">Q193*M193*G193</f>
        <v>50688</v>
      </c>
      <c r="S193" s="167">
        <f>R193/$R$204</f>
        <v>0.21268560897871633</v>
      </c>
      <c r="T193" s="168">
        <f t="shared" ref="T193:T199" si="60">R193*4</f>
        <v>202752</v>
      </c>
      <c r="U193" s="280"/>
      <c r="V193" s="169">
        <f>T193</f>
        <v>202752</v>
      </c>
      <c r="Y193" s="152"/>
      <c r="Z193" s="280"/>
      <c r="AA193" s="171">
        <f t="shared" ref="AA193" si="61">T193</f>
        <v>202752</v>
      </c>
      <c r="AB193" s="280"/>
      <c r="AC193" s="169">
        <f>T193</f>
        <v>202752</v>
      </c>
      <c r="AJ193" s="152"/>
    </row>
    <row r="194" spans="1:36" x14ac:dyDescent="0.3">
      <c r="A194" s="157" t="s">
        <v>815</v>
      </c>
      <c r="B194" s="157" t="s">
        <v>99</v>
      </c>
      <c r="C194" s="157" t="s">
        <v>695</v>
      </c>
      <c r="D194" s="810" t="s">
        <v>439</v>
      </c>
      <c r="E194" s="157" t="s">
        <v>520</v>
      </c>
      <c r="F194" s="157">
        <v>100</v>
      </c>
      <c r="G194" s="1">
        <v>100</v>
      </c>
      <c r="H194" s="157" t="s">
        <v>22</v>
      </c>
      <c r="I194" s="188"/>
      <c r="J194" s="828">
        <v>100</v>
      </c>
      <c r="K194" s="812"/>
      <c r="L194" s="286"/>
      <c r="M194" s="163">
        <v>1</v>
      </c>
      <c r="N194" s="166">
        <v>4427</v>
      </c>
      <c r="O194" s="166">
        <f t="shared" si="57"/>
        <v>442700</v>
      </c>
      <c r="P194" s="173">
        <v>0.85</v>
      </c>
      <c r="Q194" s="186">
        <f t="shared" si="58"/>
        <v>664.05000000000007</v>
      </c>
      <c r="R194" s="166">
        <f t="shared" si="59"/>
        <v>66405</v>
      </c>
      <c r="S194" s="178">
        <f t="shared" ref="S194:S197" si="62">R194/$R$204</f>
        <v>0.2786337567911864</v>
      </c>
      <c r="T194" s="168">
        <f t="shared" si="60"/>
        <v>265620</v>
      </c>
      <c r="U194" s="280"/>
      <c r="V194" s="169">
        <f t="shared" ref="V194" si="63">T194</f>
        <v>265620</v>
      </c>
      <c r="Y194" s="152"/>
      <c r="Z194" s="282">
        <f t="shared" ref="Z194:Z197" si="64">T194</f>
        <v>265620</v>
      </c>
      <c r="AA194" s="152"/>
      <c r="AB194" s="280"/>
      <c r="AD194" s="169">
        <f>T194</f>
        <v>265620</v>
      </c>
      <c r="AJ194" s="152"/>
    </row>
    <row r="195" spans="1:36" x14ac:dyDescent="0.3">
      <c r="A195" s="157" t="s">
        <v>815</v>
      </c>
      <c r="B195" s="157" t="s">
        <v>440</v>
      </c>
      <c r="C195" s="157" t="s">
        <v>696</v>
      </c>
      <c r="D195" s="814" t="s">
        <v>441</v>
      </c>
      <c r="E195" s="157" t="s">
        <v>520</v>
      </c>
      <c r="F195" s="832" t="s">
        <v>842</v>
      </c>
      <c r="G195" s="1">
        <v>12</v>
      </c>
      <c r="H195" s="157" t="s">
        <v>63</v>
      </c>
      <c r="I195" s="159">
        <v>10</v>
      </c>
      <c r="J195" s="161"/>
      <c r="L195" s="286"/>
      <c r="M195" s="163">
        <v>1</v>
      </c>
      <c r="N195" s="166">
        <v>2300</v>
      </c>
      <c r="O195" s="166">
        <f t="shared" si="57"/>
        <v>27600</v>
      </c>
      <c r="P195" s="173">
        <v>0.45</v>
      </c>
      <c r="Q195" s="186">
        <f t="shared" si="58"/>
        <v>1265</v>
      </c>
      <c r="R195" s="166">
        <f t="shared" si="59"/>
        <v>15180</v>
      </c>
      <c r="S195" s="178">
        <f t="shared" si="62"/>
        <v>6.3694908938938477E-2</v>
      </c>
      <c r="T195" s="168">
        <f t="shared" si="60"/>
        <v>60720</v>
      </c>
      <c r="U195" s="282">
        <f>T195</f>
        <v>60720</v>
      </c>
      <c r="Y195" s="152"/>
      <c r="Z195" s="282">
        <f t="shared" si="64"/>
        <v>60720</v>
      </c>
      <c r="AA195" s="152"/>
      <c r="AB195" s="280"/>
      <c r="AE195" s="169">
        <f>T195</f>
        <v>60720</v>
      </c>
      <c r="AJ195" s="152"/>
    </row>
    <row r="196" spans="1:36" x14ac:dyDescent="0.3">
      <c r="A196" s="157" t="s">
        <v>815</v>
      </c>
      <c r="B196" s="157" t="s">
        <v>440</v>
      </c>
      <c r="C196" s="157" t="s">
        <v>696</v>
      </c>
      <c r="D196" s="157" t="s">
        <v>442</v>
      </c>
      <c r="E196" s="157" t="s">
        <v>520</v>
      </c>
      <c r="F196" s="157" t="s">
        <v>842</v>
      </c>
      <c r="G196" s="1">
        <v>12</v>
      </c>
      <c r="H196" s="157" t="s">
        <v>63</v>
      </c>
      <c r="I196" s="175">
        <v>10</v>
      </c>
      <c r="J196" s="176"/>
      <c r="L196" s="162"/>
      <c r="M196" s="163">
        <v>1</v>
      </c>
      <c r="N196" s="166">
        <v>2300</v>
      </c>
      <c r="O196" s="166">
        <f t="shared" si="57"/>
        <v>27600</v>
      </c>
      <c r="P196" s="173">
        <v>0.45</v>
      </c>
      <c r="Q196" s="186">
        <f t="shared" si="58"/>
        <v>1265</v>
      </c>
      <c r="R196" s="166">
        <f t="shared" si="59"/>
        <v>15180</v>
      </c>
      <c r="S196" s="178">
        <f t="shared" si="62"/>
        <v>6.3694908938938477E-2</v>
      </c>
      <c r="T196" s="168">
        <f t="shared" si="60"/>
        <v>60720</v>
      </c>
      <c r="U196" s="282">
        <f>T196</f>
        <v>60720</v>
      </c>
      <c r="Y196" s="152"/>
      <c r="Z196" s="282">
        <f t="shared" si="64"/>
        <v>60720</v>
      </c>
      <c r="AA196" s="152"/>
      <c r="AB196" s="280"/>
      <c r="AE196" s="169">
        <f>T196</f>
        <v>60720</v>
      </c>
      <c r="AJ196" s="152"/>
    </row>
    <row r="197" spans="1:36" x14ac:dyDescent="0.3">
      <c r="A197" s="157" t="s">
        <v>815</v>
      </c>
      <c r="B197" s="157" t="s">
        <v>443</v>
      </c>
      <c r="C197" s="157" t="s">
        <v>817</v>
      </c>
      <c r="D197" s="157" t="s">
        <v>26</v>
      </c>
      <c r="E197" s="157" t="s">
        <v>520</v>
      </c>
      <c r="F197" s="808" t="s">
        <v>834</v>
      </c>
      <c r="G197" s="1">
        <v>4</v>
      </c>
      <c r="H197" s="157" t="s">
        <v>24</v>
      </c>
      <c r="I197" s="175">
        <v>4</v>
      </c>
      <c r="J197" s="176"/>
      <c r="K197" s="176"/>
      <c r="L197" s="177"/>
      <c r="M197" s="163">
        <v>1</v>
      </c>
      <c r="N197" s="166">
        <v>8500</v>
      </c>
      <c r="O197" s="166">
        <f t="shared" si="57"/>
        <v>34000</v>
      </c>
      <c r="P197" s="173">
        <v>0.25</v>
      </c>
      <c r="Q197" s="186">
        <f t="shared" si="58"/>
        <v>6375</v>
      </c>
      <c r="R197" s="166">
        <f t="shared" si="59"/>
        <v>25500</v>
      </c>
      <c r="S197" s="178">
        <f t="shared" si="62"/>
        <v>0.10699737667608243</v>
      </c>
      <c r="T197" s="168">
        <f t="shared" si="60"/>
        <v>102000</v>
      </c>
      <c r="U197" s="282">
        <f>T197</f>
        <v>102000</v>
      </c>
      <c r="Y197" s="152"/>
      <c r="Z197" s="282">
        <f t="shared" si="64"/>
        <v>102000</v>
      </c>
      <c r="AA197" s="152"/>
      <c r="AB197" s="280"/>
      <c r="AF197" s="169">
        <f>T197</f>
        <v>102000</v>
      </c>
      <c r="AJ197" s="152"/>
    </row>
    <row r="198" spans="1:36" x14ac:dyDescent="0.3">
      <c r="A198" s="157" t="s">
        <v>815</v>
      </c>
      <c r="B198" s="157" t="s">
        <v>108</v>
      </c>
      <c r="C198" s="157" t="s">
        <v>696</v>
      </c>
      <c r="D198" s="157" t="s">
        <v>448</v>
      </c>
      <c r="E198" s="157" t="s">
        <v>518</v>
      </c>
      <c r="F198" s="157" t="s">
        <v>843</v>
      </c>
      <c r="G198" s="1">
        <v>1</v>
      </c>
      <c r="H198" s="157" t="s">
        <v>63</v>
      </c>
      <c r="I198" s="159">
        <v>1</v>
      </c>
      <c r="J198" s="806"/>
      <c r="L198" s="286"/>
      <c r="M198" s="157">
        <v>1</v>
      </c>
      <c r="N198" s="166">
        <v>12000</v>
      </c>
      <c r="O198" s="166">
        <f t="shared" si="57"/>
        <v>12000</v>
      </c>
      <c r="P198" s="173">
        <v>0.25</v>
      </c>
      <c r="Q198" s="186">
        <f t="shared" si="58"/>
        <v>9000</v>
      </c>
      <c r="R198" s="166">
        <f t="shared" si="59"/>
        <v>9000</v>
      </c>
      <c r="S198" s="167">
        <f>R198/$R$204</f>
        <v>3.7763780003323213E-2</v>
      </c>
      <c r="T198" s="168">
        <f t="shared" si="60"/>
        <v>36000</v>
      </c>
      <c r="U198" s="282">
        <f>T198</f>
        <v>36000</v>
      </c>
      <c r="Y198" s="152"/>
      <c r="Z198" s="280"/>
      <c r="AA198" s="171">
        <f t="shared" ref="AA198:AA199" si="65">T198</f>
        <v>36000</v>
      </c>
      <c r="AB198" s="280"/>
      <c r="AI198" s="169">
        <f>T198</f>
        <v>36000</v>
      </c>
      <c r="AJ198" s="152"/>
    </row>
    <row r="199" spans="1:36" x14ac:dyDescent="0.3">
      <c r="A199" s="157" t="s">
        <v>815</v>
      </c>
      <c r="B199" s="157" t="s">
        <v>108</v>
      </c>
      <c r="C199" s="157" t="s">
        <v>696</v>
      </c>
      <c r="D199" s="157" t="s">
        <v>449</v>
      </c>
      <c r="E199" s="157" t="s">
        <v>518</v>
      </c>
      <c r="F199" s="157" t="s">
        <v>843</v>
      </c>
      <c r="G199" s="1">
        <v>1</v>
      </c>
      <c r="H199" s="157" t="s">
        <v>63</v>
      </c>
      <c r="I199" s="159">
        <v>1</v>
      </c>
      <c r="J199" s="806"/>
      <c r="L199" s="286"/>
      <c r="M199" s="157">
        <v>1</v>
      </c>
      <c r="N199" s="166">
        <v>36000</v>
      </c>
      <c r="O199" s="166">
        <f t="shared" si="57"/>
        <v>36000</v>
      </c>
      <c r="P199" s="173">
        <v>0.25</v>
      </c>
      <c r="Q199" s="186">
        <f t="shared" si="58"/>
        <v>27000</v>
      </c>
      <c r="R199" s="166">
        <f t="shared" si="59"/>
        <v>27000</v>
      </c>
      <c r="S199" s="167">
        <f>R199/$R$204</f>
        <v>0.11329134000996964</v>
      </c>
      <c r="T199" s="168">
        <f t="shared" si="60"/>
        <v>108000</v>
      </c>
      <c r="U199" s="282">
        <f>T199</f>
        <v>108000</v>
      </c>
      <c r="Y199" s="152"/>
      <c r="Z199" s="280"/>
      <c r="AA199" s="171">
        <f t="shared" si="65"/>
        <v>108000</v>
      </c>
      <c r="AB199" s="280"/>
      <c r="AI199" s="169">
        <f>T199</f>
        <v>108000</v>
      </c>
      <c r="AJ199" s="152"/>
    </row>
    <row r="200" spans="1:36" x14ac:dyDescent="0.3">
      <c r="A200" s="157"/>
      <c r="B200" s="157"/>
      <c r="C200" s="157"/>
      <c r="D200" s="157"/>
      <c r="E200" s="157"/>
      <c r="F200" s="158"/>
      <c r="G200" s="157"/>
      <c r="H200" s="157"/>
      <c r="L200" s="286"/>
      <c r="M200" s="157"/>
      <c r="N200" s="166"/>
      <c r="O200" s="166"/>
      <c r="P200" s="173"/>
      <c r="Q200" s="166"/>
      <c r="R200" s="166"/>
      <c r="S200" s="6"/>
      <c r="T200" s="168"/>
      <c r="U200" s="280"/>
      <c r="X200" s="169"/>
      <c r="Y200" s="152"/>
      <c r="Z200" s="280"/>
      <c r="AA200" s="152"/>
      <c r="AB200" s="280"/>
      <c r="AJ200" s="152"/>
    </row>
    <row r="201" spans="1:36" x14ac:dyDescent="0.3">
      <c r="A201" s="108" t="s">
        <v>815</v>
      </c>
      <c r="B201" s="108" t="s">
        <v>528</v>
      </c>
      <c r="C201" s="289"/>
      <c r="D201" s="252"/>
      <c r="E201" s="252"/>
      <c r="F201" s="253"/>
      <c r="G201" s="252"/>
      <c r="H201" s="252"/>
      <c r="I201" s="254"/>
      <c r="J201" s="254"/>
      <c r="K201" s="254"/>
      <c r="L201" s="254"/>
      <c r="M201" s="252"/>
      <c r="N201" s="255"/>
      <c r="O201" s="255"/>
      <c r="P201" s="256"/>
      <c r="Q201" s="290"/>
      <c r="R201" s="257"/>
      <c r="S201" s="256"/>
      <c r="T201" s="168">
        <f>R201</f>
        <v>0</v>
      </c>
      <c r="U201" s="280"/>
      <c r="X201" s="169">
        <f>T201</f>
        <v>0</v>
      </c>
      <c r="Y201" s="152"/>
      <c r="Z201" s="280"/>
      <c r="AA201" s="152"/>
      <c r="AB201" s="280"/>
      <c r="AJ201" s="152"/>
    </row>
    <row r="202" spans="1:36" x14ac:dyDescent="0.3">
      <c r="A202" s="108" t="s">
        <v>815</v>
      </c>
      <c r="B202" s="108" t="s">
        <v>529</v>
      </c>
      <c r="C202" s="289"/>
      <c r="D202" s="252"/>
      <c r="E202" s="252"/>
      <c r="F202" s="253"/>
      <c r="G202" s="252"/>
      <c r="H202" s="252"/>
      <c r="I202" s="254"/>
      <c r="J202" s="254"/>
      <c r="K202" s="254"/>
      <c r="L202" s="254"/>
      <c r="M202" s="252"/>
      <c r="N202" s="255"/>
      <c r="O202" s="255"/>
      <c r="P202" s="256"/>
      <c r="Q202" s="290"/>
      <c r="R202" s="257"/>
      <c r="S202" s="291"/>
      <c r="T202" s="168">
        <f>R202</f>
        <v>0</v>
      </c>
      <c r="U202" s="280"/>
      <c r="Y202" s="171">
        <f>T202</f>
        <v>0</v>
      </c>
      <c r="Z202" s="280"/>
      <c r="AA202" s="152"/>
      <c r="AB202" s="280"/>
      <c r="AJ202" s="152"/>
    </row>
    <row r="203" spans="1:36" x14ac:dyDescent="0.3">
      <c r="I203" s="115">
        <f>I204/$M$204</f>
        <v>0.16666666666666666</v>
      </c>
      <c r="J203" s="115">
        <f t="shared" ref="J203:L203" si="66">J204/$M$204</f>
        <v>0.66176470588235292</v>
      </c>
      <c r="K203" s="115">
        <f t="shared" si="66"/>
        <v>0.17156862745098039</v>
      </c>
      <c r="L203">
        <f t="shared" si="66"/>
        <v>0</v>
      </c>
      <c r="T203" s="149"/>
      <c r="U203" s="566"/>
      <c r="V203" s="245"/>
      <c r="W203" s="245"/>
      <c r="X203" s="245"/>
      <c r="Y203" s="567"/>
      <c r="Z203" s="566"/>
      <c r="AA203" s="567"/>
      <c r="AB203" s="566"/>
      <c r="AC203" s="245"/>
      <c r="AD203" s="245"/>
      <c r="AE203" s="245"/>
      <c r="AF203" s="245"/>
      <c r="AG203" s="245"/>
      <c r="AH203" s="245"/>
      <c r="AI203" s="245"/>
      <c r="AJ203" s="567"/>
    </row>
    <row r="204" spans="1:36" x14ac:dyDescent="0.3">
      <c r="A204" s="396" t="s">
        <v>531</v>
      </c>
      <c r="B204" s="373"/>
      <c r="C204" s="373"/>
      <c r="D204" s="373"/>
      <c r="E204" s="373"/>
      <c r="F204" s="397"/>
      <c r="G204" s="373"/>
      <c r="H204" s="373"/>
      <c r="I204" s="373">
        <f>I199+I198+I197+I196+I195+I193</f>
        <v>34</v>
      </c>
      <c r="J204" s="373">
        <f>J194+J192</f>
        <v>135</v>
      </c>
      <c r="K204" s="373">
        <f>K192</f>
        <v>35</v>
      </c>
      <c r="L204" s="373"/>
      <c r="M204" s="373">
        <f>SUM(I204:L204)</f>
        <v>204</v>
      </c>
      <c r="N204" s="398"/>
      <c r="O204" s="398">
        <f>SUM(O192:O203)</f>
        <v>889002</v>
      </c>
      <c r="P204" s="399">
        <f>1-R204/O204</f>
        <v>0.73192006317196134</v>
      </c>
      <c r="Q204" s="398"/>
      <c r="R204" s="400">
        <f>SUM(R191:R203)</f>
        <v>238323.6</v>
      </c>
      <c r="S204" s="401">
        <f>SUM(S191:S202)</f>
        <v>1</v>
      </c>
      <c r="T204" s="753">
        <f>SUM(T191:T203)</f>
        <v>953294.4</v>
      </c>
      <c r="U204" s="754">
        <f t="shared" ref="U204:AA204" si="67">SUM(U191:U202)</f>
        <v>367440</v>
      </c>
      <c r="V204" s="652">
        <f t="shared" si="67"/>
        <v>585854.4</v>
      </c>
      <c r="W204" s="652">
        <f t="shared" si="67"/>
        <v>0</v>
      </c>
      <c r="X204" s="652">
        <f t="shared" si="67"/>
        <v>0</v>
      </c>
      <c r="Y204" s="654">
        <f t="shared" si="67"/>
        <v>0</v>
      </c>
      <c r="Z204" s="653">
        <f t="shared" si="67"/>
        <v>606542.4</v>
      </c>
      <c r="AA204" s="654">
        <f t="shared" si="67"/>
        <v>346752</v>
      </c>
      <c r="AB204" s="754">
        <f>SUM(AB192:AB203)</f>
        <v>117482.40000000001</v>
      </c>
      <c r="AC204" s="652">
        <f>SUM(AC192:AC203)</f>
        <v>202752</v>
      </c>
      <c r="AD204" s="652">
        <f t="shared" ref="AD204:AI204" si="68">SUM(AD192:AD203)</f>
        <v>265620</v>
      </c>
      <c r="AE204" s="652">
        <f t="shared" si="68"/>
        <v>121440</v>
      </c>
      <c r="AF204" s="652">
        <f t="shared" si="68"/>
        <v>102000</v>
      </c>
      <c r="AG204" s="652">
        <f t="shared" si="68"/>
        <v>0</v>
      </c>
      <c r="AH204" s="652">
        <f t="shared" si="68"/>
        <v>0</v>
      </c>
      <c r="AI204" s="652">
        <f t="shared" si="68"/>
        <v>144000</v>
      </c>
      <c r="AJ204" s="654"/>
    </row>
    <row r="205" spans="1:36" x14ac:dyDescent="0.3">
      <c r="A205" s="410" t="s">
        <v>532</v>
      </c>
      <c r="B205" s="411"/>
      <c r="C205" s="411"/>
      <c r="D205" s="411"/>
      <c r="E205" s="411"/>
      <c r="F205" s="412"/>
      <c r="G205" s="411"/>
      <c r="H205" s="411"/>
      <c r="I205" s="411">
        <f>I199+I198+I197+I196+I195+I193</f>
        <v>34</v>
      </c>
      <c r="J205" s="411">
        <f>I199+I198+I197+I196+I195+J194+J192</f>
        <v>161</v>
      </c>
      <c r="K205" s="411">
        <f>I197+K192</f>
        <v>39</v>
      </c>
      <c r="L205" s="411"/>
      <c r="M205" s="411">
        <f>SUM(I205:L205)</f>
        <v>234</v>
      </c>
      <c r="N205" s="413"/>
      <c r="O205" s="413"/>
      <c r="P205" s="414"/>
      <c r="Q205" s="413"/>
      <c r="R205" s="413"/>
      <c r="S205" s="415"/>
      <c r="T205" s="416"/>
      <c r="U205" s="417">
        <f>U204/T204</f>
        <v>0.38544231456725225</v>
      </c>
      <c r="V205" s="418">
        <f>V204/T204</f>
        <v>0.6145576854327478</v>
      </c>
      <c r="W205" s="418">
        <f>W204/T204</f>
        <v>0</v>
      </c>
      <c r="X205" s="418">
        <f>X204/T204</f>
        <v>0</v>
      </c>
      <c r="Y205" s="419">
        <f>Y204/T204</f>
        <v>0</v>
      </c>
      <c r="Z205" s="420">
        <f>Z204/T204</f>
        <v>0.63625927100799085</v>
      </c>
      <c r="AA205" s="419">
        <f>AA204/T204</f>
        <v>0.36374072899200915</v>
      </c>
      <c r="AB205" s="833"/>
      <c r="AC205" s="550"/>
      <c r="AD205" s="550"/>
      <c r="AE205" s="550"/>
      <c r="AF205" s="550"/>
      <c r="AG205" s="550"/>
      <c r="AH205" s="550"/>
      <c r="AI205" s="550"/>
      <c r="AJ205" s="424"/>
    </row>
    <row r="206" spans="1:36" x14ac:dyDescent="0.3">
      <c r="A206" s="243" t="s">
        <v>533</v>
      </c>
      <c r="B206" s="193"/>
      <c r="C206" s="193"/>
      <c r="D206" s="193"/>
      <c r="E206" s="193"/>
      <c r="F206" s="244"/>
      <c r="G206" s="193"/>
      <c r="H206" s="193"/>
      <c r="I206" s="2182">
        <f>I205/$M$205</f>
        <v>0.14529914529914531</v>
      </c>
      <c r="J206" s="2182">
        <f>J205/$M$205</f>
        <v>0.68803418803418803</v>
      </c>
      <c r="K206" s="2182">
        <f>K205/$M$205</f>
        <v>0.16666666666666666</v>
      </c>
      <c r="L206" s="245"/>
      <c r="M206" s="193"/>
      <c r="N206" s="246"/>
      <c r="O206" s="246"/>
      <c r="P206" s="196"/>
      <c r="Q206" s="246"/>
      <c r="R206" s="194">
        <f>U204/4</f>
        <v>91860</v>
      </c>
      <c r="S206" s="247">
        <f>R206/R211</f>
        <v>0.38544231456725225</v>
      </c>
      <c r="Y206" s="248">
        <f>SUM(U191:Y203)</f>
        <v>953294.4</v>
      </c>
      <c r="Z206" s="830">
        <f>J192+K192+J194+I195+I196+I197</f>
        <v>194</v>
      </c>
      <c r="AA206" s="831">
        <f>I193+I198+I199</f>
        <v>10</v>
      </c>
    </row>
    <row r="207" spans="1:36" x14ac:dyDescent="0.3">
      <c r="A207" s="251" t="s">
        <v>11</v>
      </c>
      <c r="B207" s="252"/>
      <c r="C207" s="252"/>
      <c r="D207" s="252"/>
      <c r="E207" s="252"/>
      <c r="F207" s="253"/>
      <c r="G207" s="252"/>
      <c r="H207" s="252"/>
      <c r="I207" s="254"/>
      <c r="J207" s="254"/>
      <c r="K207" s="254"/>
      <c r="L207" s="254"/>
      <c r="M207" s="252"/>
      <c r="N207" s="255"/>
      <c r="O207" s="255"/>
      <c r="P207" s="256"/>
      <c r="Q207" s="255"/>
      <c r="R207" s="257">
        <f>V204/4</f>
        <v>146463.6</v>
      </c>
      <c r="S207" s="262">
        <f>R207/R211</f>
        <v>0.6145576854327478</v>
      </c>
      <c r="T207" s="551">
        <f>R204/M204</f>
        <v>1168.2529411764706</v>
      </c>
      <c r="U207" s="426" t="s">
        <v>535</v>
      </c>
      <c r="Z207" s="195">
        <f>Z206/M204</f>
        <v>0.9509803921568627</v>
      </c>
      <c r="AA207" s="247">
        <f>AA206/M204</f>
        <v>4.9019607843137254E-2</v>
      </c>
    </row>
    <row r="208" spans="1:36" x14ac:dyDescent="0.3">
      <c r="A208" s="251" t="s">
        <v>536</v>
      </c>
      <c r="B208" s="252"/>
      <c r="C208" s="252"/>
      <c r="D208" s="252"/>
      <c r="E208" s="252"/>
      <c r="F208" s="253"/>
      <c r="G208" s="252"/>
      <c r="H208" s="252"/>
      <c r="I208" s="254"/>
      <c r="J208" s="254"/>
      <c r="K208" s="254"/>
      <c r="L208" s="254"/>
      <c r="M208" s="252"/>
      <c r="N208" s="255"/>
      <c r="O208" s="255"/>
      <c r="P208" s="256"/>
      <c r="Q208" s="255"/>
      <c r="R208" s="257">
        <f>W204</f>
        <v>0</v>
      </c>
      <c r="S208" s="262">
        <f>R208/R211</f>
        <v>0</v>
      </c>
      <c r="X208" s="99"/>
      <c r="Z208" s="2265" t="s">
        <v>537</v>
      </c>
      <c r="AA208" s="2265"/>
    </row>
    <row r="209" spans="1:38" x14ac:dyDescent="0.3">
      <c r="A209" s="251" t="s">
        <v>529</v>
      </c>
      <c r="B209" s="252"/>
      <c r="C209" s="252"/>
      <c r="D209" s="252"/>
      <c r="E209" s="252"/>
      <c r="F209" s="253"/>
      <c r="G209" s="252"/>
      <c r="H209" s="252"/>
      <c r="I209" s="254"/>
      <c r="J209" s="254"/>
      <c r="K209" s="254"/>
      <c r="L209" s="254"/>
      <c r="M209" s="252"/>
      <c r="N209" s="255"/>
      <c r="O209" s="255"/>
      <c r="P209" s="256"/>
      <c r="Q209" s="255"/>
      <c r="R209" s="257">
        <f>Y204</f>
        <v>0</v>
      </c>
      <c r="S209" s="262">
        <f>R209/R211</f>
        <v>0</v>
      </c>
    </row>
    <row r="210" spans="1:38" x14ac:dyDescent="0.3">
      <c r="A210" s="251" t="s">
        <v>528</v>
      </c>
      <c r="B210" s="252"/>
      <c r="C210" s="252"/>
      <c r="D210" s="252"/>
      <c r="E210" s="252"/>
      <c r="F210" s="253"/>
      <c r="G210" s="252"/>
      <c r="H210" s="252"/>
      <c r="I210" s="254"/>
      <c r="J210" s="254"/>
      <c r="K210" s="254"/>
      <c r="L210" s="254"/>
      <c r="M210" s="252"/>
      <c r="N210" s="255"/>
      <c r="O210" s="255"/>
      <c r="P210" s="256"/>
      <c r="Q210" s="255"/>
      <c r="R210" s="257">
        <f>X204</f>
        <v>0</v>
      </c>
      <c r="S210" s="262">
        <f>R210/R211</f>
        <v>0</v>
      </c>
    </row>
    <row r="211" spans="1:38" x14ac:dyDescent="0.3">
      <c r="A211" s="251"/>
      <c r="B211" s="252"/>
      <c r="C211" s="252"/>
      <c r="D211" s="252"/>
      <c r="E211" s="252"/>
      <c r="F211" s="253"/>
      <c r="G211" s="252"/>
      <c r="H211" s="252"/>
      <c r="I211" s="254"/>
      <c r="J211" s="254"/>
      <c r="K211" s="254"/>
      <c r="L211" s="254"/>
      <c r="M211" s="252"/>
      <c r="N211" s="255"/>
      <c r="O211" s="255"/>
      <c r="P211" s="256"/>
      <c r="Q211" s="255"/>
      <c r="R211" s="264">
        <f>SUM(R206:R210)</f>
        <v>238323.6</v>
      </c>
      <c r="S211" s="262">
        <f>SUM(S206:S210)</f>
        <v>1</v>
      </c>
    </row>
    <row r="212" spans="1:38" x14ac:dyDescent="0.3">
      <c r="A212" s="188"/>
      <c r="N212" s="5"/>
      <c r="O212" s="5"/>
      <c r="P212" s="6"/>
      <c r="Q212" s="5"/>
      <c r="R212" s="5"/>
      <c r="S212" s="6"/>
      <c r="T212" s="600"/>
    </row>
    <row r="213" spans="1:38" ht="15.6" x14ac:dyDescent="0.3">
      <c r="A213" s="188"/>
      <c r="N213" s="5"/>
      <c r="O213" s="5"/>
      <c r="P213" s="6"/>
      <c r="Q213" s="5"/>
      <c r="R213" s="5"/>
      <c r="S213" s="6"/>
      <c r="T213" s="600"/>
      <c r="AA213" s="303">
        <f>SUM(AB214:AJ214)</f>
        <v>5601022.4000000004</v>
      </c>
      <c r="AB213" s="834" t="s">
        <v>0</v>
      </c>
      <c r="AC213" s="834" t="s">
        <v>4</v>
      </c>
      <c r="AD213" s="834" t="s">
        <v>2</v>
      </c>
      <c r="AE213" s="834" t="s">
        <v>153</v>
      </c>
      <c r="AF213" s="834" t="s">
        <v>154</v>
      </c>
      <c r="AG213" s="834" t="s">
        <v>155</v>
      </c>
      <c r="AH213" s="834" t="s">
        <v>156</v>
      </c>
      <c r="AI213" s="834" t="s">
        <v>5</v>
      </c>
      <c r="AJ213" s="835" t="s">
        <v>139</v>
      </c>
    </row>
    <row r="214" spans="1:38" ht="18" x14ac:dyDescent="0.35">
      <c r="A214" s="430" t="s">
        <v>569</v>
      </c>
      <c r="B214" s="431"/>
      <c r="C214" s="431"/>
      <c r="D214" s="432"/>
      <c r="E214" s="432"/>
      <c r="F214" s="433"/>
      <c r="G214" s="432"/>
      <c r="H214" s="432"/>
      <c r="I214" s="434"/>
      <c r="J214" s="434"/>
      <c r="K214" s="434"/>
      <c r="L214" s="434"/>
      <c r="M214" s="431"/>
      <c r="N214" s="435"/>
      <c r="O214" s="436"/>
      <c r="P214" s="435"/>
      <c r="Q214" s="435"/>
      <c r="R214" s="436"/>
      <c r="S214" s="763"/>
      <c r="T214" s="763">
        <f>T204+T169+T135+T93+T57</f>
        <v>5847982.4000000004</v>
      </c>
      <c r="AA214" s="137" t="s">
        <v>601</v>
      </c>
      <c r="AB214" s="836">
        <f>AB204+AB169+AB135+AB93+AB57</f>
        <v>436363.20000000007</v>
      </c>
      <c r="AC214" s="836">
        <f t="shared" ref="AC214:AJ214" si="69">AC204+AC169+AC135+AC93+AC57</f>
        <v>2052288</v>
      </c>
      <c r="AD214" s="836">
        <f t="shared" si="69"/>
        <v>1020895.2000000001</v>
      </c>
      <c r="AE214" s="836">
        <f t="shared" si="69"/>
        <v>390540</v>
      </c>
      <c r="AF214" s="836">
        <f t="shared" si="69"/>
        <v>222700</v>
      </c>
      <c r="AG214" s="836">
        <f t="shared" si="69"/>
        <v>232764</v>
      </c>
      <c r="AH214" s="836">
        <f t="shared" si="69"/>
        <v>592900</v>
      </c>
      <c r="AI214" s="836">
        <f t="shared" si="69"/>
        <v>518400</v>
      </c>
      <c r="AJ214" s="836">
        <f t="shared" si="69"/>
        <v>134172</v>
      </c>
      <c r="AK214" s="837"/>
      <c r="AL214" s="837"/>
    </row>
    <row r="215" spans="1:38" x14ac:dyDescent="0.3">
      <c r="O215" s="3"/>
      <c r="P215" s="99"/>
      <c r="R215" s="3"/>
      <c r="S215" s="3" t="s">
        <v>571</v>
      </c>
      <c r="T215" s="838">
        <f>D19-T214</f>
        <v>-43269.149999999441</v>
      </c>
      <c r="U215" s="111"/>
    </row>
    <row r="216" spans="1:38" x14ac:dyDescent="0.3">
      <c r="R216" s="116"/>
      <c r="S216" s="62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83"/>
  <sheetViews>
    <sheetView topLeftCell="A34" workbookViewId="0">
      <selection activeCell="H46" sqref="H46:H58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386</v>
      </c>
      <c r="C2" t="s">
        <v>431</v>
      </c>
      <c r="D2" t="s">
        <v>432</v>
      </c>
      <c r="E2" s="1" t="s">
        <v>157</v>
      </c>
      <c r="F2" s="1" t="s">
        <v>433</v>
      </c>
      <c r="G2" s="2186">
        <v>4</v>
      </c>
      <c r="H2" s="2186">
        <f>VLOOKUP(G2,Pesos!A:B,2,0)</f>
        <v>0.6</v>
      </c>
      <c r="I2" s="1" t="s">
        <v>305</v>
      </c>
      <c r="J2" s="1"/>
      <c r="K2" s="1">
        <v>50</v>
      </c>
      <c r="L2" s="1">
        <v>250</v>
      </c>
      <c r="M2" s="1">
        <v>120</v>
      </c>
      <c r="N2" s="1" t="s">
        <v>22</v>
      </c>
      <c r="O2" s="1"/>
      <c r="P2" s="1"/>
      <c r="Q2" s="1">
        <v>120</v>
      </c>
      <c r="R2" s="1">
        <v>120</v>
      </c>
      <c r="S2" s="1">
        <v>2</v>
      </c>
      <c r="T2" s="5">
        <v>1398.6</v>
      </c>
      <c r="U2" s="29">
        <v>0.7</v>
      </c>
      <c r="V2" s="25">
        <f>T2*(1-U2)</f>
        <v>419.58000000000004</v>
      </c>
      <c r="W2" s="25">
        <f>V2*S2*M2</f>
        <v>100699.20000000001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386</v>
      </c>
      <c r="C3" t="s">
        <v>431</v>
      </c>
      <c r="D3" t="s">
        <v>432</v>
      </c>
      <c r="E3" s="1" t="s">
        <v>141</v>
      </c>
      <c r="F3" s="1" t="s">
        <v>434</v>
      </c>
      <c r="G3" s="2186">
        <v>2</v>
      </c>
      <c r="H3" s="2186">
        <f>VLOOKUP(G3,Pesos!A:B,2,0)</f>
        <v>0.8</v>
      </c>
      <c r="J3" s="1" t="s">
        <v>305</v>
      </c>
      <c r="K3" s="1">
        <v>1</v>
      </c>
      <c r="L3" s="1">
        <v>6</v>
      </c>
      <c r="M3" s="1">
        <v>1</v>
      </c>
      <c r="N3" s="1" t="s">
        <v>22</v>
      </c>
      <c r="R3" s="1">
        <v>1</v>
      </c>
      <c r="S3" s="1">
        <v>1</v>
      </c>
      <c r="T3" s="9">
        <v>396000</v>
      </c>
      <c r="U3" s="29">
        <v>0.76</v>
      </c>
      <c r="V3" s="26">
        <f>T3*(1-U3)</f>
        <v>95040</v>
      </c>
      <c r="W3" s="26">
        <f>V3*S3*M3</f>
        <v>95040</v>
      </c>
      <c r="X3" s="6"/>
      <c r="Y3" s="22"/>
      <c r="Z3" s="1"/>
    </row>
    <row r="4" spans="1:32" x14ac:dyDescent="0.3">
      <c r="A4" t="s">
        <v>327</v>
      </c>
      <c r="B4" t="s">
        <v>386</v>
      </c>
      <c r="C4" t="s">
        <v>431</v>
      </c>
      <c r="D4" t="s">
        <v>432</v>
      </c>
      <c r="E4" s="1" t="s">
        <v>141</v>
      </c>
      <c r="F4" s="1" t="s">
        <v>435</v>
      </c>
      <c r="G4" s="2186">
        <v>2</v>
      </c>
      <c r="H4" s="2186">
        <f>VLOOKUP(G4,Pesos!A:B,2,0)</f>
        <v>0.8</v>
      </c>
      <c r="J4" s="1" t="s">
        <v>305</v>
      </c>
      <c r="K4" s="1">
        <v>1</v>
      </c>
      <c r="L4" s="1">
        <v>6</v>
      </c>
      <c r="M4" s="1">
        <v>1</v>
      </c>
      <c r="N4" s="1" t="s">
        <v>22</v>
      </c>
      <c r="Q4" s="1">
        <v>1</v>
      </c>
      <c r="S4" s="1">
        <v>1</v>
      </c>
      <c r="T4" s="5">
        <v>633000</v>
      </c>
      <c r="U4" s="29">
        <v>0.76</v>
      </c>
      <c r="V4" s="26">
        <f t="shared" ref="V4" si="0">T4*(1-U4)</f>
        <v>151920</v>
      </c>
      <c r="W4" s="26">
        <f>V4*S4*M4</f>
        <v>151920</v>
      </c>
      <c r="X4" s="6"/>
      <c r="Y4" s="22"/>
      <c r="Z4" s="1"/>
    </row>
    <row r="5" spans="1:32" x14ac:dyDescent="0.3">
      <c r="A5" t="s">
        <v>327</v>
      </c>
      <c r="B5" t="s">
        <v>386</v>
      </c>
      <c r="C5" t="s">
        <v>431</v>
      </c>
      <c r="D5" t="s">
        <v>432</v>
      </c>
      <c r="E5" s="1" t="s">
        <v>141</v>
      </c>
      <c r="F5" s="1" t="s">
        <v>142</v>
      </c>
      <c r="G5" s="2186">
        <v>1</v>
      </c>
      <c r="H5" s="2186">
        <f>VLOOKUP(G5,Pesos!A:B,2,0)</f>
        <v>0.9</v>
      </c>
      <c r="J5" s="1" t="s">
        <v>305</v>
      </c>
      <c r="K5" s="1">
        <v>20</v>
      </c>
      <c r="L5" s="1">
        <v>35</v>
      </c>
      <c r="M5" s="1">
        <v>25</v>
      </c>
      <c r="N5" s="1" t="s">
        <v>22</v>
      </c>
      <c r="O5" s="1">
        <v>25</v>
      </c>
      <c r="R5" s="1">
        <v>25</v>
      </c>
      <c r="S5" s="1">
        <v>2</v>
      </c>
      <c r="T5" s="5">
        <v>26400</v>
      </c>
      <c r="U5" s="29">
        <v>0.76</v>
      </c>
      <c r="V5" s="26">
        <f>T5*(1-U5)</f>
        <v>6336</v>
      </c>
      <c r="W5" s="26">
        <f>V5*S5*M5</f>
        <v>316800</v>
      </c>
      <c r="X5" s="18"/>
      <c r="Y5" s="22"/>
      <c r="Z5" s="1"/>
    </row>
    <row r="6" spans="1:32" x14ac:dyDescent="0.3">
      <c r="A6" t="s">
        <v>327</v>
      </c>
      <c r="B6" t="s">
        <v>386</v>
      </c>
      <c r="C6" t="s">
        <v>431</v>
      </c>
      <c r="D6" t="s">
        <v>432</v>
      </c>
      <c r="E6" s="1" t="s">
        <v>99</v>
      </c>
      <c r="F6" s="86" t="s">
        <v>436</v>
      </c>
      <c r="G6" s="2189">
        <v>4</v>
      </c>
      <c r="H6" s="2186">
        <f>VLOOKUP(G6,Pesos!A:B,2,0)</f>
        <v>0.6</v>
      </c>
      <c r="J6" s="1" t="s">
        <v>305</v>
      </c>
      <c r="K6" s="1">
        <v>16</v>
      </c>
      <c r="L6" s="1">
        <v>16</v>
      </c>
      <c r="M6" s="1">
        <v>1</v>
      </c>
      <c r="N6" s="1" t="s">
        <v>22</v>
      </c>
      <c r="O6" s="1">
        <v>16</v>
      </c>
      <c r="S6" s="1">
        <v>1</v>
      </c>
      <c r="T6" s="5">
        <v>67000</v>
      </c>
      <c r="U6" s="24">
        <v>0.85</v>
      </c>
      <c r="V6" s="26">
        <f>T6*(1-U6)</f>
        <v>10050.000000000002</v>
      </c>
      <c r="W6" s="26">
        <f>V6*S6*M6</f>
        <v>10050.000000000002</v>
      </c>
      <c r="X6" s="6"/>
      <c r="Y6" s="22"/>
      <c r="Z6" s="1"/>
    </row>
    <row r="7" spans="1:32" x14ac:dyDescent="0.3">
      <c r="A7" t="s">
        <v>327</v>
      </c>
      <c r="B7" t="s">
        <v>386</v>
      </c>
      <c r="C7" t="s">
        <v>431</v>
      </c>
      <c r="D7" t="s">
        <v>432</v>
      </c>
      <c r="E7" s="1" t="s">
        <v>99</v>
      </c>
      <c r="F7" s="86" t="s">
        <v>437</v>
      </c>
      <c r="G7" s="2189">
        <v>4</v>
      </c>
      <c r="H7" s="2186">
        <f>VLOOKUP(G7,Pesos!A:B,2,0)</f>
        <v>0.6</v>
      </c>
      <c r="J7" s="1" t="s">
        <v>305</v>
      </c>
      <c r="K7" s="1">
        <v>16</v>
      </c>
      <c r="L7" s="1">
        <v>16</v>
      </c>
      <c r="M7" s="1">
        <v>1</v>
      </c>
      <c r="N7" s="1" t="s">
        <v>22</v>
      </c>
      <c r="R7" s="1">
        <v>16</v>
      </c>
      <c r="S7" s="1">
        <v>1</v>
      </c>
      <c r="T7" s="5">
        <v>189142</v>
      </c>
      <c r="U7" s="24">
        <v>0.85</v>
      </c>
      <c r="V7" s="26">
        <f t="shared" ref="V7:V25" si="1">T7*(1-U7)</f>
        <v>28371.300000000003</v>
      </c>
      <c r="W7" s="26">
        <f t="shared" ref="W7:W25" si="2">V7*S7*M7</f>
        <v>28371.300000000003</v>
      </c>
      <c r="X7" s="6"/>
      <c r="Y7" s="22"/>
      <c r="Z7" s="1"/>
    </row>
    <row r="8" spans="1:32" x14ac:dyDescent="0.3">
      <c r="A8" t="s">
        <v>327</v>
      </c>
      <c r="B8" t="s">
        <v>386</v>
      </c>
      <c r="C8" t="s">
        <v>431</v>
      </c>
      <c r="D8" t="s">
        <v>432</v>
      </c>
      <c r="E8" s="1" t="s">
        <v>99</v>
      </c>
      <c r="F8" s="86" t="s">
        <v>438</v>
      </c>
      <c r="G8" s="2189">
        <v>4</v>
      </c>
      <c r="H8" s="2186">
        <f>VLOOKUP(G8,Pesos!A:B,2,0)</f>
        <v>0.6</v>
      </c>
      <c r="I8" s="1" t="s">
        <v>305</v>
      </c>
      <c r="K8" s="1">
        <v>28</v>
      </c>
      <c r="L8" s="1">
        <v>28</v>
      </c>
      <c r="M8" s="1">
        <v>1</v>
      </c>
      <c r="N8" s="1" t="s">
        <v>22</v>
      </c>
      <c r="P8" s="1">
        <v>28</v>
      </c>
      <c r="S8" s="1">
        <v>1</v>
      </c>
      <c r="T8" s="5">
        <v>67000</v>
      </c>
      <c r="U8" s="24">
        <v>0.85</v>
      </c>
      <c r="V8" s="26">
        <f t="shared" si="1"/>
        <v>10050.000000000002</v>
      </c>
      <c r="W8" s="26">
        <f t="shared" si="2"/>
        <v>10050.000000000002</v>
      </c>
      <c r="X8" s="6"/>
      <c r="Y8" s="22"/>
      <c r="Z8" s="1"/>
    </row>
    <row r="9" spans="1:32" x14ac:dyDescent="0.3">
      <c r="A9" t="s">
        <v>327</v>
      </c>
      <c r="B9" t="s">
        <v>386</v>
      </c>
      <c r="C9" t="s">
        <v>431</v>
      </c>
      <c r="D9" t="s">
        <v>432</v>
      </c>
      <c r="E9" s="1" t="s">
        <v>99</v>
      </c>
      <c r="F9" s="86" t="s">
        <v>439</v>
      </c>
      <c r="G9" s="2189">
        <v>4</v>
      </c>
      <c r="H9" s="2186">
        <f>VLOOKUP(G9,Pesos!A:B,2,0)</f>
        <v>0.6</v>
      </c>
      <c r="I9" s="1" t="s">
        <v>305</v>
      </c>
      <c r="K9" s="1">
        <v>100</v>
      </c>
      <c r="L9" s="1">
        <v>100</v>
      </c>
      <c r="M9" s="1">
        <v>100</v>
      </c>
      <c r="N9" s="1" t="s">
        <v>22</v>
      </c>
      <c r="Q9" s="1">
        <v>100</v>
      </c>
      <c r="S9" s="1">
        <v>1</v>
      </c>
      <c r="T9" s="5">
        <v>4427</v>
      </c>
      <c r="U9" s="24">
        <v>0.85</v>
      </c>
      <c r="V9" s="26">
        <f t="shared" si="1"/>
        <v>664.05000000000007</v>
      </c>
      <c r="W9" s="26">
        <f t="shared" si="2"/>
        <v>66405</v>
      </c>
      <c r="X9" s="6"/>
      <c r="Y9" s="22"/>
      <c r="Z9" s="1"/>
    </row>
    <row r="10" spans="1:32" x14ac:dyDescent="0.3">
      <c r="A10" t="s">
        <v>327</v>
      </c>
      <c r="B10" t="s">
        <v>386</v>
      </c>
      <c r="C10" t="s">
        <v>431</v>
      </c>
      <c r="D10" t="s">
        <v>432</v>
      </c>
      <c r="E10" s="1" t="s">
        <v>440</v>
      </c>
      <c r="F10" s="87" t="s">
        <v>441</v>
      </c>
      <c r="G10" s="2190">
        <v>6</v>
      </c>
      <c r="H10" s="2186">
        <f>VLOOKUP(G10,Pesos!A:B,2,0)</f>
        <v>0.4</v>
      </c>
      <c r="I10" s="1" t="s">
        <v>305</v>
      </c>
      <c r="K10" s="1">
        <v>20</v>
      </c>
      <c r="L10" s="1">
        <v>30</v>
      </c>
      <c r="M10" s="1">
        <v>23</v>
      </c>
      <c r="N10" s="1" t="s">
        <v>63</v>
      </c>
      <c r="O10" s="1">
        <v>23</v>
      </c>
      <c r="S10" s="1">
        <v>1</v>
      </c>
      <c r="T10" s="5">
        <v>2300</v>
      </c>
      <c r="U10" s="24">
        <v>0.5</v>
      </c>
      <c r="V10" s="26">
        <f t="shared" si="1"/>
        <v>1150</v>
      </c>
      <c r="W10" s="26">
        <f t="shared" si="2"/>
        <v>26450</v>
      </c>
      <c r="X10" s="6"/>
      <c r="Y10" s="22"/>
      <c r="Z10" s="1"/>
    </row>
    <row r="11" spans="1:32" x14ac:dyDescent="0.3">
      <c r="A11" t="s">
        <v>327</v>
      </c>
      <c r="B11" t="s">
        <v>386</v>
      </c>
      <c r="C11" t="s">
        <v>431</v>
      </c>
      <c r="D11" t="s">
        <v>432</v>
      </c>
      <c r="E11" s="1" t="s">
        <v>440</v>
      </c>
      <c r="F11" s="1" t="s">
        <v>442</v>
      </c>
      <c r="G11" s="2186">
        <v>6</v>
      </c>
      <c r="H11" s="2186">
        <f>VLOOKUP(G11,Pesos!A:B,2,0)</f>
        <v>0.4</v>
      </c>
      <c r="I11" s="1" t="s">
        <v>305</v>
      </c>
      <c r="K11" s="1">
        <v>20</v>
      </c>
      <c r="L11" s="1">
        <v>30</v>
      </c>
      <c r="M11" s="1">
        <v>23</v>
      </c>
      <c r="N11" s="1" t="s">
        <v>63</v>
      </c>
      <c r="O11" s="1">
        <v>23</v>
      </c>
      <c r="S11" s="1">
        <v>1</v>
      </c>
      <c r="T11" s="5">
        <v>2300</v>
      </c>
      <c r="U11" s="24">
        <v>0.5</v>
      </c>
      <c r="V11" s="26">
        <f t="shared" si="1"/>
        <v>1150</v>
      </c>
      <c r="W11" s="26">
        <f t="shared" si="2"/>
        <v>26450</v>
      </c>
      <c r="X11" s="6"/>
      <c r="Y11" s="22"/>
      <c r="Z11" s="1"/>
    </row>
    <row r="12" spans="1:32" x14ac:dyDescent="0.3">
      <c r="A12" t="s">
        <v>327</v>
      </c>
      <c r="B12" t="s">
        <v>386</v>
      </c>
      <c r="C12" t="s">
        <v>431</v>
      </c>
      <c r="D12" t="s">
        <v>432</v>
      </c>
      <c r="E12" s="1" t="s">
        <v>443</v>
      </c>
      <c r="F12" s="1" t="s">
        <v>26</v>
      </c>
      <c r="G12" s="2186">
        <v>5</v>
      </c>
      <c r="H12" s="2186">
        <f>VLOOKUP(G12,Pesos!A:B,2,0)</f>
        <v>0.5</v>
      </c>
      <c r="I12" s="1" t="s">
        <v>305</v>
      </c>
      <c r="K12" s="1">
        <v>4</v>
      </c>
      <c r="L12" s="1">
        <v>10</v>
      </c>
      <c r="M12" s="1">
        <v>8</v>
      </c>
      <c r="N12" s="88" t="s">
        <v>24</v>
      </c>
      <c r="O12" s="1">
        <v>8</v>
      </c>
      <c r="S12" s="1">
        <v>1</v>
      </c>
      <c r="T12" s="5">
        <v>8500</v>
      </c>
      <c r="U12" s="24">
        <v>0.35</v>
      </c>
      <c r="V12" s="26">
        <f t="shared" si="1"/>
        <v>5525</v>
      </c>
      <c r="W12" s="26">
        <f t="shared" si="2"/>
        <v>44200</v>
      </c>
      <c r="X12" s="6"/>
      <c r="Y12" s="22"/>
      <c r="Z12" s="1"/>
    </row>
    <row r="13" spans="1:32" x14ac:dyDescent="0.3">
      <c r="A13" t="s">
        <v>327</v>
      </c>
      <c r="B13" t="s">
        <v>386</v>
      </c>
      <c r="C13" t="s">
        <v>431</v>
      </c>
      <c r="D13" t="s">
        <v>432</v>
      </c>
      <c r="E13" s="1" t="s">
        <v>444</v>
      </c>
      <c r="F13" s="1" t="s">
        <v>445</v>
      </c>
      <c r="G13" s="2186">
        <v>2</v>
      </c>
      <c r="H13" s="2186">
        <f>VLOOKUP(G13,Pesos!A:B,2,0)</f>
        <v>0.8</v>
      </c>
      <c r="I13" s="1" t="s">
        <v>305</v>
      </c>
      <c r="K13" s="1">
        <v>1</v>
      </c>
      <c r="L13" s="1">
        <v>6</v>
      </c>
      <c r="M13" s="1">
        <v>1</v>
      </c>
      <c r="N13" s="1" t="s">
        <v>24</v>
      </c>
      <c r="O13" s="1">
        <v>1</v>
      </c>
      <c r="Q13" s="1">
        <v>1</v>
      </c>
      <c r="S13" s="1">
        <v>2</v>
      </c>
      <c r="T13" s="5">
        <v>65200</v>
      </c>
      <c r="U13" s="24">
        <v>0.49</v>
      </c>
      <c r="V13" s="26">
        <f t="shared" si="1"/>
        <v>33252</v>
      </c>
      <c r="W13" s="26">
        <f t="shared" si="2"/>
        <v>66504</v>
      </c>
      <c r="X13" s="6"/>
      <c r="Y13" s="22"/>
      <c r="Z13" s="1"/>
    </row>
    <row r="14" spans="1:32" x14ac:dyDescent="0.3">
      <c r="A14" t="s">
        <v>327</v>
      </c>
      <c r="B14" t="s">
        <v>386</v>
      </c>
      <c r="C14" t="s">
        <v>431</v>
      </c>
      <c r="D14" t="s">
        <v>432</v>
      </c>
      <c r="E14" s="1" t="s">
        <v>158</v>
      </c>
      <c r="F14" s="1" t="s">
        <v>446</v>
      </c>
      <c r="G14" s="2186">
        <v>4</v>
      </c>
      <c r="H14" s="2186">
        <f>VLOOKUP(G14,Pesos!A:B,2,0)</f>
        <v>0.6</v>
      </c>
      <c r="J14" s="1" t="s">
        <v>305</v>
      </c>
      <c r="K14" s="1">
        <v>88</v>
      </c>
      <c r="L14" s="2" t="s">
        <v>447</v>
      </c>
      <c r="M14" s="1">
        <v>1</v>
      </c>
      <c r="N14" s="1" t="s">
        <v>22</v>
      </c>
      <c r="Q14" s="1">
        <v>88</v>
      </c>
      <c r="S14" s="1">
        <v>1</v>
      </c>
      <c r="T14" s="5">
        <v>338800</v>
      </c>
      <c r="U14" s="89">
        <v>0.75</v>
      </c>
      <c r="V14" s="26">
        <f t="shared" si="1"/>
        <v>84700</v>
      </c>
      <c r="W14" s="26">
        <f t="shared" si="2"/>
        <v>84700</v>
      </c>
      <c r="X14" s="6"/>
      <c r="Y14" s="22"/>
      <c r="Z14" s="1"/>
    </row>
    <row r="15" spans="1:32" x14ac:dyDescent="0.3">
      <c r="A15" t="s">
        <v>327</v>
      </c>
      <c r="B15" t="s">
        <v>386</v>
      </c>
      <c r="C15" t="s">
        <v>431</v>
      </c>
      <c r="D15" t="s">
        <v>432</v>
      </c>
      <c r="E15" s="1" t="s">
        <v>108</v>
      </c>
      <c r="F15" s="1" t="s">
        <v>448</v>
      </c>
      <c r="G15" s="2186">
        <v>3</v>
      </c>
      <c r="H15" s="2186">
        <f>VLOOKUP(G15,Pesos!A:B,2,0)</f>
        <v>0.7</v>
      </c>
      <c r="J15" s="1" t="s">
        <v>305</v>
      </c>
      <c r="K15" s="1">
        <v>2</v>
      </c>
      <c r="L15" s="1">
        <v>8</v>
      </c>
      <c r="M15" s="1">
        <v>1</v>
      </c>
      <c r="N15" s="88" t="s">
        <v>63</v>
      </c>
      <c r="O15" s="1">
        <v>1</v>
      </c>
      <c r="Q15" s="1">
        <v>1</v>
      </c>
      <c r="S15" s="1">
        <v>2</v>
      </c>
      <c r="T15" s="5">
        <v>12000</v>
      </c>
      <c r="U15" s="24">
        <v>0.3</v>
      </c>
      <c r="V15" s="26">
        <f t="shared" si="1"/>
        <v>8400</v>
      </c>
      <c r="W15" s="26">
        <f t="shared" si="2"/>
        <v>16800</v>
      </c>
      <c r="X15" s="6"/>
      <c r="Y15" s="22"/>
      <c r="Z15" s="1"/>
    </row>
    <row r="16" spans="1:32" x14ac:dyDescent="0.3">
      <c r="A16" t="s">
        <v>327</v>
      </c>
      <c r="B16" t="s">
        <v>386</v>
      </c>
      <c r="C16" t="s">
        <v>431</v>
      </c>
      <c r="D16" t="s">
        <v>432</v>
      </c>
      <c r="E16" s="1" t="s">
        <v>108</v>
      </c>
      <c r="F16" s="1" t="s">
        <v>449</v>
      </c>
      <c r="G16" s="2186">
        <v>3</v>
      </c>
      <c r="H16" s="2186">
        <f>VLOOKUP(G16,Pesos!A:B,2,0)</f>
        <v>0.7</v>
      </c>
      <c r="J16" s="1" t="s">
        <v>305</v>
      </c>
      <c r="K16" s="1">
        <v>2</v>
      </c>
      <c r="L16" s="1">
        <v>8</v>
      </c>
      <c r="M16" s="1">
        <v>1</v>
      </c>
      <c r="N16" s="88" t="s">
        <v>63</v>
      </c>
      <c r="O16" s="1">
        <v>1</v>
      </c>
      <c r="Q16" s="1">
        <v>1</v>
      </c>
      <c r="S16" s="1">
        <v>2</v>
      </c>
      <c r="T16" s="5">
        <v>36000</v>
      </c>
      <c r="U16" s="24">
        <v>0.3</v>
      </c>
      <c r="V16" s="26">
        <f t="shared" si="1"/>
        <v>25200</v>
      </c>
      <c r="W16" s="26">
        <f t="shared" si="2"/>
        <v>50400</v>
      </c>
      <c r="X16" s="6"/>
      <c r="Y16" s="22"/>
      <c r="Z16" s="1"/>
    </row>
    <row r="17" spans="1:30" x14ac:dyDescent="0.3">
      <c r="G17" s="2186"/>
      <c r="H17" s="2186"/>
      <c r="M17" s="1"/>
      <c r="T17" s="7"/>
      <c r="U17" s="24"/>
      <c r="V17" s="26"/>
      <c r="W17" s="26"/>
      <c r="X17" s="6"/>
      <c r="Y17" s="22"/>
      <c r="Z17" s="1"/>
    </row>
    <row r="18" spans="1:30" x14ac:dyDescent="0.3">
      <c r="A18" t="s">
        <v>340</v>
      </c>
      <c r="B18" t="s">
        <v>386</v>
      </c>
      <c r="C18" t="s">
        <v>431</v>
      </c>
      <c r="D18" t="s">
        <v>432</v>
      </c>
      <c r="E18" s="1" t="s">
        <v>157</v>
      </c>
      <c r="F18" s="1" t="s">
        <v>433</v>
      </c>
      <c r="G18" s="2186">
        <v>2</v>
      </c>
      <c r="H18" s="2186">
        <f>VLOOKUP(G18,Pesos!A:B,2,0)</f>
        <v>0.8</v>
      </c>
      <c r="I18" s="1" t="s">
        <v>305</v>
      </c>
      <c r="K18" s="1">
        <v>50</v>
      </c>
      <c r="L18" s="1">
        <v>250</v>
      </c>
      <c r="M18" s="1">
        <v>150</v>
      </c>
      <c r="N18" s="1" t="s">
        <v>22</v>
      </c>
      <c r="Q18" s="1">
        <v>150</v>
      </c>
      <c r="R18" s="1">
        <v>150</v>
      </c>
      <c r="S18" s="1">
        <v>2</v>
      </c>
      <c r="T18" s="5">
        <v>1398.6</v>
      </c>
      <c r="U18" s="29">
        <v>0.7</v>
      </c>
      <c r="V18" s="26">
        <f t="shared" si="1"/>
        <v>419.58000000000004</v>
      </c>
      <c r="W18" s="26">
        <f t="shared" si="2"/>
        <v>125874.00000000001</v>
      </c>
      <c r="X18" s="6"/>
      <c r="Y18" s="22"/>
      <c r="Z18" s="1"/>
    </row>
    <row r="19" spans="1:30" x14ac:dyDescent="0.3">
      <c r="A19" t="s">
        <v>340</v>
      </c>
      <c r="B19" t="s">
        <v>386</v>
      </c>
      <c r="C19" t="s">
        <v>431</v>
      </c>
      <c r="D19" t="s">
        <v>432</v>
      </c>
      <c r="E19" s="1" t="s">
        <v>141</v>
      </c>
      <c r="F19" s="1" t="s">
        <v>142</v>
      </c>
      <c r="G19" s="2186">
        <v>1</v>
      </c>
      <c r="H19" s="2186">
        <f>VLOOKUP(G19,Pesos!A:B,2,0)</f>
        <v>0.9</v>
      </c>
      <c r="J19" s="1" t="s">
        <v>305</v>
      </c>
      <c r="K19" s="1">
        <v>20</v>
      </c>
      <c r="L19" s="1">
        <v>35</v>
      </c>
      <c r="M19" s="1">
        <v>30</v>
      </c>
      <c r="N19" s="1" t="s">
        <v>22</v>
      </c>
      <c r="P19" s="1">
        <v>30</v>
      </c>
      <c r="R19" s="1">
        <v>30</v>
      </c>
      <c r="S19" s="1">
        <v>2</v>
      </c>
      <c r="T19" s="5">
        <v>26400</v>
      </c>
      <c r="U19" s="24">
        <v>0.76</v>
      </c>
      <c r="V19" s="26">
        <f t="shared" si="1"/>
        <v>6336</v>
      </c>
      <c r="W19" s="26">
        <f t="shared" si="2"/>
        <v>380160</v>
      </c>
      <c r="X19" s="6"/>
      <c r="Y19" s="22"/>
      <c r="Z19" s="1"/>
    </row>
    <row r="20" spans="1:30" x14ac:dyDescent="0.3">
      <c r="A20" t="s">
        <v>340</v>
      </c>
      <c r="B20" t="s">
        <v>386</v>
      </c>
      <c r="C20" t="s">
        <v>431</v>
      </c>
      <c r="D20" t="s">
        <v>432</v>
      </c>
      <c r="E20" s="1" t="s">
        <v>99</v>
      </c>
      <c r="F20" s="86" t="s">
        <v>436</v>
      </c>
      <c r="G20" s="2189">
        <v>2</v>
      </c>
      <c r="H20" s="2186">
        <f>VLOOKUP(G20,Pesos!A:B,2,0)</f>
        <v>0.8</v>
      </c>
      <c r="J20" s="1" t="s">
        <v>305</v>
      </c>
      <c r="K20" s="1">
        <v>16</v>
      </c>
      <c r="L20" s="1">
        <v>16</v>
      </c>
      <c r="M20" s="1">
        <v>1</v>
      </c>
      <c r="N20" s="1" t="s">
        <v>22</v>
      </c>
      <c r="O20" s="1">
        <v>16</v>
      </c>
      <c r="S20" s="1">
        <v>1</v>
      </c>
      <c r="T20" s="5">
        <v>67000</v>
      </c>
      <c r="U20" s="24">
        <v>0.85</v>
      </c>
      <c r="V20" s="26">
        <f t="shared" si="1"/>
        <v>10050.000000000002</v>
      </c>
      <c r="W20" s="26">
        <f t="shared" si="2"/>
        <v>10050.000000000002</v>
      </c>
      <c r="X20" s="6"/>
      <c r="Y20" s="22"/>
      <c r="Z20" s="1"/>
    </row>
    <row r="21" spans="1:30" x14ac:dyDescent="0.3">
      <c r="A21" t="s">
        <v>340</v>
      </c>
      <c r="B21" t="s">
        <v>386</v>
      </c>
      <c r="C21" t="s">
        <v>431</v>
      </c>
      <c r="D21" t="s">
        <v>432</v>
      </c>
      <c r="E21" s="1" t="s">
        <v>99</v>
      </c>
      <c r="F21" s="86" t="s">
        <v>437</v>
      </c>
      <c r="G21" s="2189">
        <v>2</v>
      </c>
      <c r="H21" s="2186">
        <f>VLOOKUP(G21,Pesos!A:B,2,0)</f>
        <v>0.8</v>
      </c>
      <c r="J21" s="1" t="s">
        <v>305</v>
      </c>
      <c r="K21" s="1">
        <v>16</v>
      </c>
      <c r="L21" s="1">
        <v>16</v>
      </c>
      <c r="M21" s="1">
        <v>1</v>
      </c>
      <c r="N21" s="1" t="s">
        <v>22</v>
      </c>
      <c r="R21" s="1">
        <v>16</v>
      </c>
      <c r="S21" s="1">
        <v>1</v>
      </c>
      <c r="T21" s="5">
        <v>189142</v>
      </c>
      <c r="U21" s="24">
        <v>0.85</v>
      </c>
      <c r="V21" s="26">
        <f t="shared" si="1"/>
        <v>28371.300000000003</v>
      </c>
      <c r="W21" s="26">
        <f t="shared" si="2"/>
        <v>28371.300000000003</v>
      </c>
      <c r="X21" s="6"/>
      <c r="Y21" s="22"/>
      <c r="Z21" s="1"/>
    </row>
    <row r="22" spans="1:30" x14ac:dyDescent="0.3">
      <c r="A22" t="s">
        <v>340</v>
      </c>
      <c r="B22" t="s">
        <v>386</v>
      </c>
      <c r="C22" t="s">
        <v>431</v>
      </c>
      <c r="D22" t="s">
        <v>432</v>
      </c>
      <c r="E22" s="1" t="s">
        <v>99</v>
      </c>
      <c r="F22" s="86" t="s">
        <v>438</v>
      </c>
      <c r="G22" s="2189">
        <v>2</v>
      </c>
      <c r="H22" s="2186">
        <f>VLOOKUP(G22,Pesos!A:B,2,0)</f>
        <v>0.8</v>
      </c>
      <c r="I22" s="1" t="s">
        <v>305</v>
      </c>
      <c r="K22" s="1">
        <v>28</v>
      </c>
      <c r="L22" s="1">
        <v>28</v>
      </c>
      <c r="M22" s="1">
        <v>1</v>
      </c>
      <c r="N22" s="1" t="s">
        <v>22</v>
      </c>
      <c r="P22" s="1">
        <v>28</v>
      </c>
      <c r="S22" s="1">
        <v>1</v>
      </c>
      <c r="T22" s="5">
        <v>67000</v>
      </c>
      <c r="U22" s="24">
        <v>0.85</v>
      </c>
      <c r="V22" s="26">
        <f t="shared" si="1"/>
        <v>10050.000000000002</v>
      </c>
      <c r="W22" s="26">
        <f t="shared" si="2"/>
        <v>10050.000000000002</v>
      </c>
      <c r="X22" s="6"/>
      <c r="Y22" s="22"/>
      <c r="Z22" s="1"/>
    </row>
    <row r="23" spans="1:30" x14ac:dyDescent="0.3">
      <c r="A23" t="s">
        <v>340</v>
      </c>
      <c r="B23" t="s">
        <v>386</v>
      </c>
      <c r="C23" t="s">
        <v>431</v>
      </c>
      <c r="D23" t="s">
        <v>432</v>
      </c>
      <c r="E23" s="1" t="s">
        <v>99</v>
      </c>
      <c r="F23" s="86" t="s">
        <v>439</v>
      </c>
      <c r="G23" s="2189">
        <v>2</v>
      </c>
      <c r="H23" s="2186">
        <f>VLOOKUP(G23,Pesos!A:B,2,0)</f>
        <v>0.8</v>
      </c>
      <c r="I23" s="1" t="s">
        <v>305</v>
      </c>
      <c r="K23" s="1">
        <v>100</v>
      </c>
      <c r="L23" s="1">
        <v>100</v>
      </c>
      <c r="M23" s="1">
        <v>100</v>
      </c>
      <c r="N23" s="1" t="s">
        <v>22</v>
      </c>
      <c r="Q23" s="1">
        <v>100</v>
      </c>
      <c r="R23" s="1">
        <v>100</v>
      </c>
      <c r="S23" s="1">
        <v>2</v>
      </c>
      <c r="T23" s="5">
        <v>4427</v>
      </c>
      <c r="U23" s="24">
        <v>0.85</v>
      </c>
      <c r="V23" s="26">
        <f t="shared" si="1"/>
        <v>664.05000000000007</v>
      </c>
      <c r="W23" s="26">
        <f t="shared" si="2"/>
        <v>132810</v>
      </c>
      <c r="X23" s="6"/>
      <c r="Y23" s="22"/>
      <c r="Z23" s="1"/>
    </row>
    <row r="24" spans="1:30" x14ac:dyDescent="0.3">
      <c r="A24" t="s">
        <v>340</v>
      </c>
      <c r="B24" t="s">
        <v>386</v>
      </c>
      <c r="C24" t="s">
        <v>431</v>
      </c>
      <c r="D24" t="s">
        <v>432</v>
      </c>
      <c r="E24" s="1" t="s">
        <v>440</v>
      </c>
      <c r="F24" s="87" t="s">
        <v>441</v>
      </c>
      <c r="G24" s="2190">
        <v>7</v>
      </c>
      <c r="H24" s="2186">
        <f>VLOOKUP(G24,Pesos!A:B,2,0)</f>
        <v>0.3</v>
      </c>
      <c r="I24" s="1" t="s">
        <v>305</v>
      </c>
      <c r="K24" s="1">
        <v>20</v>
      </c>
      <c r="L24" s="1">
        <v>30</v>
      </c>
      <c r="M24" s="1">
        <v>20</v>
      </c>
      <c r="N24" s="1" t="s">
        <v>63</v>
      </c>
      <c r="O24" s="1">
        <v>20</v>
      </c>
      <c r="S24" s="1">
        <v>1</v>
      </c>
      <c r="T24" s="5">
        <v>2300</v>
      </c>
      <c r="U24" s="24">
        <v>0.5</v>
      </c>
      <c r="V24" s="26">
        <f t="shared" si="1"/>
        <v>1150</v>
      </c>
      <c r="W24" s="26">
        <f t="shared" si="2"/>
        <v>23000</v>
      </c>
      <c r="X24" s="6"/>
      <c r="Y24" s="22"/>
      <c r="Z24" s="1"/>
    </row>
    <row r="25" spans="1:30" x14ac:dyDescent="0.3">
      <c r="A25" t="s">
        <v>340</v>
      </c>
      <c r="B25" t="s">
        <v>386</v>
      </c>
      <c r="C25" t="s">
        <v>431</v>
      </c>
      <c r="D25" t="s">
        <v>432</v>
      </c>
      <c r="E25" s="1" t="s">
        <v>440</v>
      </c>
      <c r="F25" s="1" t="s">
        <v>442</v>
      </c>
      <c r="G25" s="2186">
        <v>7</v>
      </c>
      <c r="H25" s="2186">
        <f>VLOOKUP(G25,Pesos!A:B,2,0)</f>
        <v>0.3</v>
      </c>
      <c r="I25" s="1" t="s">
        <v>305</v>
      </c>
      <c r="K25" s="1">
        <v>20</v>
      </c>
      <c r="L25" s="1">
        <v>30</v>
      </c>
      <c r="M25" s="1">
        <v>20</v>
      </c>
      <c r="N25" s="1" t="s">
        <v>63</v>
      </c>
      <c r="O25" s="1">
        <v>20</v>
      </c>
      <c r="S25" s="1">
        <v>1</v>
      </c>
      <c r="T25" s="5">
        <v>2300</v>
      </c>
      <c r="U25" s="24">
        <v>0.5</v>
      </c>
      <c r="V25" s="26">
        <f t="shared" si="1"/>
        <v>1150</v>
      </c>
      <c r="W25" s="26">
        <f t="shared" si="2"/>
        <v>23000</v>
      </c>
      <c r="X25" s="6"/>
      <c r="Y25" s="22"/>
      <c r="Z25" s="1"/>
    </row>
    <row r="26" spans="1:30" x14ac:dyDescent="0.3">
      <c r="A26" t="s">
        <v>340</v>
      </c>
      <c r="B26" t="s">
        <v>386</v>
      </c>
      <c r="C26" t="s">
        <v>431</v>
      </c>
      <c r="D26" t="s">
        <v>432</v>
      </c>
      <c r="E26" s="1" t="s">
        <v>443</v>
      </c>
      <c r="F26" s="1" t="s">
        <v>26</v>
      </c>
      <c r="G26" s="2186">
        <v>5</v>
      </c>
      <c r="H26" s="2186">
        <f>VLOOKUP(G26,Pesos!A:B,2,0)</f>
        <v>0.5</v>
      </c>
      <c r="I26" s="1" t="s">
        <v>305</v>
      </c>
      <c r="K26" s="1">
        <v>4</v>
      </c>
      <c r="L26" s="2" t="s">
        <v>203</v>
      </c>
      <c r="M26" s="1">
        <v>4</v>
      </c>
      <c r="N26" s="1" t="s">
        <v>24</v>
      </c>
      <c r="O26" s="1">
        <v>4</v>
      </c>
      <c r="S26" s="1">
        <v>1</v>
      </c>
      <c r="T26" s="5">
        <v>8500</v>
      </c>
      <c r="U26" s="24">
        <v>0.35</v>
      </c>
      <c r="V26" s="25">
        <f>T26*(1-U26)</f>
        <v>5525</v>
      </c>
      <c r="W26" s="25">
        <f>V26*S26*M26</f>
        <v>22100</v>
      </c>
      <c r="X26" s="18"/>
    </row>
    <row r="27" spans="1:30" x14ac:dyDescent="0.3">
      <c r="A27" t="s">
        <v>340</v>
      </c>
      <c r="B27" t="s">
        <v>386</v>
      </c>
      <c r="C27" t="s">
        <v>431</v>
      </c>
      <c r="D27" t="s">
        <v>432</v>
      </c>
      <c r="E27" s="1" t="s">
        <v>158</v>
      </c>
      <c r="F27" s="1" t="s">
        <v>446</v>
      </c>
      <c r="G27" s="2186">
        <v>2</v>
      </c>
      <c r="H27" s="2186">
        <f>VLOOKUP(G27,Pesos!A:B,2,0)</f>
        <v>0.8</v>
      </c>
      <c r="I27" s="8"/>
      <c r="J27" s="1" t="s">
        <v>305</v>
      </c>
      <c r="K27" s="1">
        <v>88</v>
      </c>
      <c r="L27" s="2" t="s">
        <v>447</v>
      </c>
      <c r="M27" s="1">
        <v>1</v>
      </c>
      <c r="N27" s="1" t="s">
        <v>22</v>
      </c>
      <c r="Q27" s="1">
        <v>88</v>
      </c>
      <c r="S27" s="1">
        <v>1</v>
      </c>
      <c r="T27" s="5">
        <v>338800</v>
      </c>
      <c r="U27" s="89">
        <v>0.75</v>
      </c>
      <c r="V27" s="26">
        <f>T27*(1-U27)</f>
        <v>84700</v>
      </c>
      <c r="W27" s="26">
        <f>V27*S27*M27</f>
        <v>84700</v>
      </c>
      <c r="X27" s="6"/>
    </row>
    <row r="28" spans="1:30" x14ac:dyDescent="0.3">
      <c r="A28" t="s">
        <v>340</v>
      </c>
      <c r="B28" t="s">
        <v>386</v>
      </c>
      <c r="C28" t="s">
        <v>431</v>
      </c>
      <c r="D28" t="s">
        <v>432</v>
      </c>
      <c r="E28" s="1" t="s">
        <v>108</v>
      </c>
      <c r="F28" s="1" t="s">
        <v>448</v>
      </c>
      <c r="G28" s="2186">
        <v>4</v>
      </c>
      <c r="H28" s="2186">
        <f>VLOOKUP(G28,Pesos!A:B,2,0)</f>
        <v>0.6</v>
      </c>
      <c r="I28" s="1"/>
      <c r="J28" s="1" t="s">
        <v>305</v>
      </c>
      <c r="K28" s="1">
        <v>2</v>
      </c>
      <c r="L28" s="2" t="s">
        <v>330</v>
      </c>
      <c r="M28" s="1">
        <v>1</v>
      </c>
      <c r="N28" s="1" t="s">
        <v>63</v>
      </c>
      <c r="O28" s="1">
        <v>1</v>
      </c>
      <c r="P28" s="1"/>
      <c r="Q28" s="1">
        <v>1</v>
      </c>
      <c r="R28" s="1"/>
      <c r="S28" s="1">
        <v>2</v>
      </c>
      <c r="T28" s="5">
        <v>12000</v>
      </c>
      <c r="U28" s="24">
        <v>0.3</v>
      </c>
      <c r="V28" s="26">
        <f t="shared" ref="V28:V29" si="3">T28*(1-U28)</f>
        <v>8400</v>
      </c>
      <c r="W28" s="26">
        <f t="shared" ref="W28:W46" si="4">V28*S28*M28</f>
        <v>16800</v>
      </c>
      <c r="X28" s="6"/>
      <c r="AB28" s="1"/>
      <c r="AD28" s="1"/>
    </row>
    <row r="29" spans="1:30" x14ac:dyDescent="0.3">
      <c r="A29" t="s">
        <v>340</v>
      </c>
      <c r="B29" t="s">
        <v>386</v>
      </c>
      <c r="C29" t="s">
        <v>431</v>
      </c>
      <c r="D29" t="s">
        <v>432</v>
      </c>
      <c r="E29" s="1" t="s">
        <v>108</v>
      </c>
      <c r="F29" s="1" t="s">
        <v>449</v>
      </c>
      <c r="G29" s="2186">
        <v>4</v>
      </c>
      <c r="H29" s="2186">
        <f>VLOOKUP(G29,Pesos!A:B,2,0)</f>
        <v>0.6</v>
      </c>
      <c r="I29" s="1"/>
      <c r="J29" s="1" t="s">
        <v>305</v>
      </c>
      <c r="K29" s="1">
        <v>2</v>
      </c>
      <c r="L29" s="2" t="s">
        <v>330</v>
      </c>
      <c r="M29" s="1">
        <v>1</v>
      </c>
      <c r="N29" s="1" t="s">
        <v>63</v>
      </c>
      <c r="O29" s="1">
        <v>1</v>
      </c>
      <c r="P29" s="1"/>
      <c r="Q29" s="1">
        <v>1</v>
      </c>
      <c r="R29" s="1"/>
      <c r="S29" s="1">
        <v>2</v>
      </c>
      <c r="T29" s="5">
        <v>36000</v>
      </c>
      <c r="U29" s="24">
        <v>0.3</v>
      </c>
      <c r="V29" s="26">
        <f t="shared" si="3"/>
        <v>25200</v>
      </c>
      <c r="W29" s="26">
        <f t="shared" si="4"/>
        <v>50400</v>
      </c>
      <c r="X29" s="6"/>
      <c r="AB29" s="1"/>
      <c r="AD29" s="1"/>
    </row>
    <row r="30" spans="1:30" x14ac:dyDescent="0.3">
      <c r="A30" t="s">
        <v>340</v>
      </c>
      <c r="B30" t="s">
        <v>386</v>
      </c>
      <c r="C30" t="s">
        <v>431</v>
      </c>
      <c r="D30" t="s">
        <v>432</v>
      </c>
      <c r="E30" s="1" t="s">
        <v>41</v>
      </c>
      <c r="F30" s="1" t="s">
        <v>450</v>
      </c>
      <c r="G30" s="2186">
        <v>6</v>
      </c>
      <c r="H30" s="2186">
        <f>VLOOKUP(G30,Pesos!A:B,2,0)</f>
        <v>0.4</v>
      </c>
      <c r="I30" s="1" t="s">
        <v>305</v>
      </c>
      <c r="J30" s="1"/>
      <c r="K30" s="1">
        <v>30</v>
      </c>
      <c r="L30" s="2" t="s">
        <v>151</v>
      </c>
      <c r="M30" s="1">
        <v>45</v>
      </c>
      <c r="N30" s="1" t="s">
        <v>24</v>
      </c>
      <c r="O30" s="1">
        <v>45</v>
      </c>
      <c r="P30" s="1"/>
      <c r="Q30" s="1"/>
      <c r="R30" s="1"/>
      <c r="S30" s="1">
        <v>1</v>
      </c>
      <c r="T30" s="5">
        <v>1600</v>
      </c>
      <c r="U30" s="24">
        <v>0.7</v>
      </c>
      <c r="V30" s="26">
        <f>T30*(1-U30)</f>
        <v>480.00000000000006</v>
      </c>
      <c r="W30" s="26">
        <f t="shared" si="4"/>
        <v>21600.000000000004</v>
      </c>
      <c r="X30" s="6"/>
      <c r="AB30" s="1"/>
      <c r="AD30" s="1"/>
    </row>
    <row r="31" spans="1:30" x14ac:dyDescent="0.3">
      <c r="A31" t="s">
        <v>340</v>
      </c>
      <c r="B31" t="s">
        <v>386</v>
      </c>
      <c r="C31" t="s">
        <v>431</v>
      </c>
      <c r="D31" t="s">
        <v>432</v>
      </c>
      <c r="E31" s="1" t="s">
        <v>150</v>
      </c>
      <c r="F31" s="1" t="s">
        <v>68</v>
      </c>
      <c r="G31" s="2186">
        <v>3</v>
      </c>
      <c r="H31" s="2186">
        <f>VLOOKUP(G31,Pesos!A:B,2,0)</f>
        <v>0.7</v>
      </c>
      <c r="I31" s="1" t="s">
        <v>305</v>
      </c>
      <c r="J31" s="1"/>
      <c r="K31" s="1">
        <v>10</v>
      </c>
      <c r="L31" s="2" t="s">
        <v>152</v>
      </c>
      <c r="M31" s="1">
        <v>20</v>
      </c>
      <c r="N31" s="1" t="s">
        <v>24</v>
      </c>
      <c r="O31" s="1">
        <v>20</v>
      </c>
      <c r="P31" s="1"/>
      <c r="Q31" s="1"/>
      <c r="R31" s="1"/>
      <c r="S31" s="1">
        <v>1</v>
      </c>
      <c r="T31" s="5">
        <v>11181</v>
      </c>
      <c r="U31" s="24">
        <v>0.4</v>
      </c>
      <c r="V31" s="26">
        <f>T31*(1-U31)</f>
        <v>6708.5999999999995</v>
      </c>
      <c r="W31" s="26">
        <f t="shared" si="4"/>
        <v>134172</v>
      </c>
      <c r="X31" s="6"/>
      <c r="AB31" s="1"/>
      <c r="AD31" s="1"/>
    </row>
    <row r="32" spans="1:30" x14ac:dyDescent="0.3">
      <c r="E32" s="1"/>
      <c r="F32" s="1"/>
      <c r="G32" s="2186"/>
      <c r="H32" s="2186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7"/>
      <c r="U32" s="24"/>
      <c r="V32" s="26"/>
      <c r="W32" s="26"/>
      <c r="X32" s="6"/>
      <c r="AB32" s="1"/>
      <c r="AD32" s="1"/>
    </row>
    <row r="33" spans="1:30" x14ac:dyDescent="0.3">
      <c r="A33" t="s">
        <v>342</v>
      </c>
      <c r="B33" t="s">
        <v>386</v>
      </c>
      <c r="C33" t="s">
        <v>431</v>
      </c>
      <c r="D33" t="s">
        <v>432</v>
      </c>
      <c r="E33" s="1" t="s">
        <v>157</v>
      </c>
      <c r="F33" s="1" t="s">
        <v>433</v>
      </c>
      <c r="G33" s="2186">
        <v>4</v>
      </c>
      <c r="H33" s="2186">
        <f>VLOOKUP(G33,Pesos!A:B,2,0)</f>
        <v>0.6</v>
      </c>
      <c r="I33" s="1" t="s">
        <v>305</v>
      </c>
      <c r="J33" s="1"/>
      <c r="K33" s="1">
        <v>50</v>
      </c>
      <c r="L33" s="2" t="s">
        <v>84</v>
      </c>
      <c r="M33" s="1">
        <v>90</v>
      </c>
      <c r="N33" s="1" t="s">
        <v>22</v>
      </c>
      <c r="O33" s="1"/>
      <c r="P33" s="1"/>
      <c r="Q33" s="1">
        <v>90</v>
      </c>
      <c r="R33" s="1">
        <v>90</v>
      </c>
      <c r="S33" s="1">
        <v>2</v>
      </c>
      <c r="T33" s="5">
        <v>1398.6</v>
      </c>
      <c r="U33" s="29">
        <v>0.7</v>
      </c>
      <c r="V33" s="26">
        <f t="shared" ref="V33:V46" si="5">T33*(1-U33)</f>
        <v>419.58000000000004</v>
      </c>
      <c r="W33" s="26">
        <f t="shared" si="4"/>
        <v>75524.400000000009</v>
      </c>
      <c r="X33" s="6"/>
      <c r="AB33" s="1"/>
      <c r="AD33" s="1"/>
    </row>
    <row r="34" spans="1:30" x14ac:dyDescent="0.3">
      <c r="A34" t="s">
        <v>342</v>
      </c>
      <c r="B34" t="s">
        <v>386</v>
      </c>
      <c r="C34" t="s">
        <v>431</v>
      </c>
      <c r="D34" t="s">
        <v>432</v>
      </c>
      <c r="E34" s="1" t="s">
        <v>141</v>
      </c>
      <c r="F34" s="1" t="s">
        <v>435</v>
      </c>
      <c r="G34" s="2186">
        <v>2</v>
      </c>
      <c r="H34" s="2186">
        <f>VLOOKUP(G34,Pesos!A:B,2,0)</f>
        <v>0.8</v>
      </c>
      <c r="I34" s="1"/>
      <c r="J34" s="1" t="s">
        <v>305</v>
      </c>
      <c r="K34" s="1">
        <v>1</v>
      </c>
      <c r="L34" s="2" t="s">
        <v>346</v>
      </c>
      <c r="M34" s="1">
        <v>1</v>
      </c>
      <c r="N34" s="1" t="s">
        <v>22</v>
      </c>
      <c r="O34" s="2"/>
      <c r="P34" s="1"/>
      <c r="Q34" s="1">
        <v>1</v>
      </c>
      <c r="R34" s="29"/>
      <c r="S34" s="1">
        <v>1</v>
      </c>
      <c r="T34" s="5">
        <v>633000</v>
      </c>
      <c r="U34" s="24">
        <v>0.76</v>
      </c>
      <c r="V34" s="26">
        <f t="shared" si="5"/>
        <v>151920</v>
      </c>
      <c r="W34" s="26">
        <f t="shared" si="4"/>
        <v>151920</v>
      </c>
      <c r="X34" s="6"/>
      <c r="AB34" s="1"/>
      <c r="AD34" s="1"/>
    </row>
    <row r="35" spans="1:30" x14ac:dyDescent="0.3">
      <c r="A35" t="s">
        <v>342</v>
      </c>
      <c r="B35" t="s">
        <v>386</v>
      </c>
      <c r="C35" t="s">
        <v>431</v>
      </c>
      <c r="D35" t="s">
        <v>432</v>
      </c>
      <c r="E35" s="1" t="s">
        <v>141</v>
      </c>
      <c r="F35" s="1" t="s">
        <v>142</v>
      </c>
      <c r="G35" s="2186">
        <v>1</v>
      </c>
      <c r="H35" s="2186">
        <f>VLOOKUP(G35,Pesos!A:B,2,0)</f>
        <v>0.9</v>
      </c>
      <c r="I35" s="1"/>
      <c r="J35" s="1" t="s">
        <v>305</v>
      </c>
      <c r="K35" s="1">
        <v>18</v>
      </c>
      <c r="L35" s="2" t="s">
        <v>152</v>
      </c>
      <c r="M35" s="1">
        <v>19</v>
      </c>
      <c r="N35" s="1" t="s">
        <v>22</v>
      </c>
      <c r="O35" s="1"/>
      <c r="P35" s="1"/>
      <c r="Q35" s="1"/>
      <c r="R35" s="24">
        <v>19</v>
      </c>
      <c r="S35" s="1">
        <v>1</v>
      </c>
      <c r="T35" s="5">
        <v>26400</v>
      </c>
      <c r="U35" s="24">
        <v>0.76</v>
      </c>
      <c r="V35" s="26">
        <f t="shared" si="5"/>
        <v>6336</v>
      </c>
      <c r="W35" s="26">
        <f t="shared" si="4"/>
        <v>120384</v>
      </c>
      <c r="X35" s="6"/>
      <c r="AB35" s="1"/>
      <c r="AD35" s="1"/>
    </row>
    <row r="36" spans="1:30" x14ac:dyDescent="0.3">
      <c r="A36" t="s">
        <v>342</v>
      </c>
      <c r="B36" t="s">
        <v>386</v>
      </c>
      <c r="C36" t="s">
        <v>431</v>
      </c>
      <c r="D36" t="s">
        <v>432</v>
      </c>
      <c r="E36" s="1" t="s">
        <v>99</v>
      </c>
      <c r="F36" s="86" t="s">
        <v>438</v>
      </c>
      <c r="G36" s="2189">
        <v>4</v>
      </c>
      <c r="H36" s="2186">
        <f>VLOOKUP(G36,Pesos!A:B,2,0)</f>
        <v>0.6</v>
      </c>
      <c r="I36" s="1" t="s">
        <v>305</v>
      </c>
      <c r="J36" s="1"/>
      <c r="K36" s="1">
        <v>28</v>
      </c>
      <c r="L36" s="1">
        <v>28</v>
      </c>
      <c r="M36" s="1">
        <v>1</v>
      </c>
      <c r="N36" s="1" t="s">
        <v>22</v>
      </c>
      <c r="O36" s="1"/>
      <c r="P36" s="1"/>
      <c r="Q36" s="1">
        <v>28</v>
      </c>
      <c r="R36" s="24"/>
      <c r="S36" s="1">
        <v>1</v>
      </c>
      <c r="T36" s="5">
        <v>67000</v>
      </c>
      <c r="U36" s="24">
        <v>0.85</v>
      </c>
      <c r="V36" s="26">
        <f t="shared" si="5"/>
        <v>10050.000000000002</v>
      </c>
      <c r="W36" s="26">
        <f t="shared" si="4"/>
        <v>10050.000000000002</v>
      </c>
      <c r="X36" s="6"/>
      <c r="AB36" s="1"/>
      <c r="AD36" s="1"/>
    </row>
    <row r="37" spans="1:30" x14ac:dyDescent="0.3">
      <c r="A37" t="s">
        <v>342</v>
      </c>
      <c r="B37" t="s">
        <v>386</v>
      </c>
      <c r="C37" t="s">
        <v>431</v>
      </c>
      <c r="D37" t="s">
        <v>432</v>
      </c>
      <c r="E37" s="1" t="s">
        <v>99</v>
      </c>
      <c r="F37" s="86" t="s">
        <v>439</v>
      </c>
      <c r="G37" s="2189">
        <v>4</v>
      </c>
      <c r="H37" s="2186">
        <f>VLOOKUP(G37,Pesos!A:B,2,0)</f>
        <v>0.6</v>
      </c>
      <c r="I37" s="1" t="s">
        <v>305</v>
      </c>
      <c r="J37" s="1"/>
      <c r="K37" s="1">
        <v>100</v>
      </c>
      <c r="L37" s="2" t="s">
        <v>303</v>
      </c>
      <c r="M37" s="1">
        <v>100</v>
      </c>
      <c r="N37" s="1" t="s">
        <v>22</v>
      </c>
      <c r="O37" s="1"/>
      <c r="P37" s="1">
        <v>100</v>
      </c>
      <c r="Q37" s="1">
        <v>100</v>
      </c>
      <c r="R37" s="29"/>
      <c r="S37" s="1">
        <v>2</v>
      </c>
      <c r="T37" s="5">
        <v>4427</v>
      </c>
      <c r="U37" s="24">
        <v>0.85</v>
      </c>
      <c r="V37" s="26">
        <f t="shared" si="5"/>
        <v>664.05000000000007</v>
      </c>
      <c r="W37" s="26">
        <f t="shared" si="4"/>
        <v>132810</v>
      </c>
      <c r="X37" s="6"/>
      <c r="AB37" s="1"/>
      <c r="AD37" s="1"/>
    </row>
    <row r="38" spans="1:30" x14ac:dyDescent="0.3">
      <c r="A38" t="s">
        <v>342</v>
      </c>
      <c r="B38" t="s">
        <v>386</v>
      </c>
      <c r="C38" t="s">
        <v>431</v>
      </c>
      <c r="D38" t="s">
        <v>432</v>
      </c>
      <c r="E38" s="1" t="s">
        <v>440</v>
      </c>
      <c r="F38" s="87" t="s">
        <v>441</v>
      </c>
      <c r="G38" s="2190">
        <v>6</v>
      </c>
      <c r="H38" s="2186">
        <f>VLOOKUP(G38,Pesos!A:B,2,0)</f>
        <v>0.4</v>
      </c>
      <c r="I38" s="1" t="s">
        <v>305</v>
      </c>
      <c r="J38" s="1"/>
      <c r="K38" s="1">
        <v>15</v>
      </c>
      <c r="L38" s="2" t="s">
        <v>185</v>
      </c>
      <c r="M38" s="1">
        <v>10</v>
      </c>
      <c r="N38" s="1" t="s">
        <v>63</v>
      </c>
      <c r="O38" s="1"/>
      <c r="P38" s="1">
        <v>10</v>
      </c>
      <c r="Q38" s="1"/>
      <c r="R38" s="29"/>
      <c r="S38" s="1">
        <v>1</v>
      </c>
      <c r="T38" s="5">
        <v>2300</v>
      </c>
      <c r="U38" s="24">
        <v>0.5</v>
      </c>
      <c r="V38" s="26">
        <f t="shared" si="5"/>
        <v>1150</v>
      </c>
      <c r="W38" s="26">
        <f t="shared" si="4"/>
        <v>11500</v>
      </c>
      <c r="X38" s="6"/>
      <c r="AB38" s="1"/>
      <c r="AD38" s="1"/>
    </row>
    <row r="39" spans="1:30" x14ac:dyDescent="0.3">
      <c r="A39" t="s">
        <v>342</v>
      </c>
      <c r="B39" t="s">
        <v>386</v>
      </c>
      <c r="C39" t="s">
        <v>431</v>
      </c>
      <c r="D39" t="s">
        <v>432</v>
      </c>
      <c r="E39" s="1" t="s">
        <v>440</v>
      </c>
      <c r="F39" s="1" t="s">
        <v>442</v>
      </c>
      <c r="G39" s="2186">
        <v>6</v>
      </c>
      <c r="H39" s="2186">
        <f>VLOOKUP(G39,Pesos!A:B,2,0)</f>
        <v>0.4</v>
      </c>
      <c r="I39" s="1" t="s">
        <v>305</v>
      </c>
      <c r="J39" s="1"/>
      <c r="K39" s="1">
        <v>15</v>
      </c>
      <c r="L39" s="2" t="s">
        <v>185</v>
      </c>
      <c r="M39" s="1">
        <v>10</v>
      </c>
      <c r="N39" s="1" t="s">
        <v>63</v>
      </c>
      <c r="O39" s="1"/>
      <c r="P39" s="1">
        <v>10</v>
      </c>
      <c r="Q39" s="1"/>
      <c r="R39" s="1"/>
      <c r="S39" s="1">
        <v>1</v>
      </c>
      <c r="T39" s="5">
        <v>2300</v>
      </c>
      <c r="U39" s="24">
        <v>0.5</v>
      </c>
      <c r="V39" s="26">
        <f t="shared" si="5"/>
        <v>1150</v>
      </c>
      <c r="W39" s="26">
        <f t="shared" si="4"/>
        <v>11500</v>
      </c>
      <c r="AB39" s="1"/>
      <c r="AD39" s="1"/>
    </row>
    <row r="40" spans="1:30" x14ac:dyDescent="0.3">
      <c r="A40" t="s">
        <v>342</v>
      </c>
      <c r="B40" t="s">
        <v>386</v>
      </c>
      <c r="C40" t="s">
        <v>431</v>
      </c>
      <c r="D40" t="s">
        <v>432</v>
      </c>
      <c r="E40" s="1" t="s">
        <v>443</v>
      </c>
      <c r="F40" s="1" t="s">
        <v>26</v>
      </c>
      <c r="G40" s="2186">
        <v>5</v>
      </c>
      <c r="H40" s="2186">
        <f>VLOOKUP(G40,Pesos!A:B,2,0)</f>
        <v>0.5</v>
      </c>
      <c r="I40" s="1" t="s">
        <v>305</v>
      </c>
      <c r="J40" s="1"/>
      <c r="K40" s="1">
        <v>4</v>
      </c>
      <c r="L40" s="2" t="s">
        <v>203</v>
      </c>
      <c r="M40" s="1">
        <v>2</v>
      </c>
      <c r="N40" s="1" t="s">
        <v>24</v>
      </c>
      <c r="O40" s="88"/>
      <c r="P40" s="1">
        <v>2</v>
      </c>
      <c r="Q40" s="1"/>
      <c r="R40" s="1"/>
      <c r="S40" s="1">
        <v>1</v>
      </c>
      <c r="T40" s="5">
        <v>8500</v>
      </c>
      <c r="U40" s="24">
        <v>0.35</v>
      </c>
      <c r="V40" s="26">
        <f t="shared" si="5"/>
        <v>5525</v>
      </c>
      <c r="W40" s="26">
        <f t="shared" si="4"/>
        <v>11050</v>
      </c>
      <c r="AB40" s="1"/>
      <c r="AD40" s="1"/>
    </row>
    <row r="41" spans="1:30" x14ac:dyDescent="0.3">
      <c r="A41" t="s">
        <v>342</v>
      </c>
      <c r="B41" t="s">
        <v>386</v>
      </c>
      <c r="C41" t="s">
        <v>431</v>
      </c>
      <c r="D41" t="s">
        <v>432</v>
      </c>
      <c r="E41" s="1" t="s">
        <v>444</v>
      </c>
      <c r="F41" s="1" t="s">
        <v>445</v>
      </c>
      <c r="G41" s="2186">
        <v>2</v>
      </c>
      <c r="H41" s="2186">
        <f>VLOOKUP(G41,Pesos!A:B,2,0)</f>
        <v>0.8</v>
      </c>
      <c r="I41" s="1" t="s">
        <v>305</v>
      </c>
      <c r="J41" s="1"/>
      <c r="K41" s="1">
        <v>1</v>
      </c>
      <c r="L41" s="2" t="s">
        <v>346</v>
      </c>
      <c r="M41" s="1">
        <v>1</v>
      </c>
      <c r="N41" s="1" t="s">
        <v>24</v>
      </c>
      <c r="O41" s="1"/>
      <c r="P41" s="1">
        <v>1</v>
      </c>
      <c r="Q41" s="1"/>
      <c r="R41" s="1"/>
      <c r="S41" s="1">
        <v>1</v>
      </c>
      <c r="T41" s="5">
        <v>65200</v>
      </c>
      <c r="U41" s="24">
        <v>0.49</v>
      </c>
      <c r="V41" s="26">
        <f t="shared" si="5"/>
        <v>33252</v>
      </c>
      <c r="W41" s="26">
        <f t="shared" si="4"/>
        <v>33252</v>
      </c>
      <c r="AB41" s="1"/>
      <c r="AD41" s="1"/>
    </row>
    <row r="42" spans="1:30" x14ac:dyDescent="0.3">
      <c r="A42" t="s">
        <v>342</v>
      </c>
      <c r="B42" t="s">
        <v>386</v>
      </c>
      <c r="C42" t="s">
        <v>431</v>
      </c>
      <c r="D42" t="s">
        <v>432</v>
      </c>
      <c r="E42" s="1" t="s">
        <v>158</v>
      </c>
      <c r="F42" s="1" t="s">
        <v>446</v>
      </c>
      <c r="G42" s="2186">
        <v>4</v>
      </c>
      <c r="H42" s="2186">
        <f>VLOOKUP(G42,Pesos!A:B,2,0)</f>
        <v>0.6</v>
      </c>
      <c r="I42" s="1"/>
      <c r="J42" s="1" t="s">
        <v>305</v>
      </c>
      <c r="K42" s="1">
        <v>88</v>
      </c>
      <c r="L42" s="1">
        <v>88</v>
      </c>
      <c r="M42" s="1">
        <v>1</v>
      </c>
      <c r="N42" s="1" t="s">
        <v>22</v>
      </c>
      <c r="O42" s="1"/>
      <c r="P42" s="1"/>
      <c r="Q42" s="1">
        <v>88</v>
      </c>
      <c r="R42" s="1"/>
      <c r="S42" s="1">
        <v>1</v>
      </c>
      <c r="T42" s="5">
        <v>338800</v>
      </c>
      <c r="U42" s="89">
        <v>0.75</v>
      </c>
      <c r="V42" s="26">
        <f t="shared" si="5"/>
        <v>84700</v>
      </c>
      <c r="W42" s="26">
        <f t="shared" si="4"/>
        <v>84700</v>
      </c>
      <c r="AB42" s="1"/>
      <c r="AD42" s="1"/>
    </row>
    <row r="43" spans="1:30" x14ac:dyDescent="0.3">
      <c r="A43" t="s">
        <v>342</v>
      </c>
      <c r="B43" t="s">
        <v>386</v>
      </c>
      <c r="C43" t="s">
        <v>431</v>
      </c>
      <c r="D43" t="s">
        <v>432</v>
      </c>
      <c r="E43" s="1" t="s">
        <v>108</v>
      </c>
      <c r="F43" s="1" t="s">
        <v>448</v>
      </c>
      <c r="G43" s="2186">
        <v>3</v>
      </c>
      <c r="H43" s="2186">
        <f>VLOOKUP(G43,Pesos!A:B,2,0)</f>
        <v>0.7</v>
      </c>
      <c r="I43" s="1"/>
      <c r="J43" s="1" t="s">
        <v>305</v>
      </c>
      <c r="K43" s="1">
        <v>2</v>
      </c>
      <c r="L43" s="1">
        <v>8</v>
      </c>
      <c r="M43" s="1">
        <v>1</v>
      </c>
      <c r="N43" s="1" t="s">
        <v>63</v>
      </c>
      <c r="O43" s="1"/>
      <c r="P43" s="1">
        <v>1</v>
      </c>
      <c r="Q43" s="1"/>
      <c r="R43" s="1"/>
      <c r="S43" s="1">
        <v>1</v>
      </c>
      <c r="T43" s="5">
        <v>12000</v>
      </c>
      <c r="U43" s="24">
        <v>0.3</v>
      </c>
      <c r="V43" s="26">
        <f t="shared" si="5"/>
        <v>8400</v>
      </c>
      <c r="W43" s="26">
        <f t="shared" si="4"/>
        <v>8400</v>
      </c>
      <c r="X43" s="6"/>
      <c r="AB43" s="1"/>
      <c r="AD43" s="1"/>
    </row>
    <row r="44" spans="1:30" x14ac:dyDescent="0.3">
      <c r="A44" t="s">
        <v>342</v>
      </c>
      <c r="B44" t="s">
        <v>386</v>
      </c>
      <c r="C44" t="s">
        <v>431</v>
      </c>
      <c r="D44" t="s">
        <v>432</v>
      </c>
      <c r="E44" s="1" t="s">
        <v>108</v>
      </c>
      <c r="F44" s="1" t="s">
        <v>449</v>
      </c>
      <c r="G44" s="2186">
        <v>3</v>
      </c>
      <c r="H44" s="2186">
        <f>VLOOKUP(G44,Pesos!A:B,2,0)</f>
        <v>0.7</v>
      </c>
      <c r="I44" s="1"/>
      <c r="J44" s="1" t="s">
        <v>305</v>
      </c>
      <c r="K44" s="1">
        <v>2</v>
      </c>
      <c r="L44" s="1">
        <v>8</v>
      </c>
      <c r="M44" s="1">
        <v>1</v>
      </c>
      <c r="N44" s="1" t="s">
        <v>63</v>
      </c>
      <c r="O44" s="1"/>
      <c r="P44" s="1">
        <v>1</v>
      </c>
      <c r="Q44" s="1"/>
      <c r="R44" s="1"/>
      <c r="S44" s="1">
        <v>1</v>
      </c>
      <c r="T44" s="5">
        <v>36000</v>
      </c>
      <c r="U44" s="24">
        <v>0.3</v>
      </c>
      <c r="V44" s="26">
        <f t="shared" si="5"/>
        <v>25200</v>
      </c>
      <c r="W44" s="26">
        <f t="shared" si="4"/>
        <v>25200</v>
      </c>
      <c r="AB44" s="1"/>
      <c r="AD44" s="1"/>
    </row>
    <row r="45" spans="1:30" x14ac:dyDescent="0.3">
      <c r="E45" s="1"/>
      <c r="F45" s="1"/>
      <c r="G45" s="2186"/>
      <c r="H45" s="218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5"/>
      <c r="U45" s="24"/>
      <c r="V45" s="26"/>
      <c r="W45" s="26"/>
      <c r="AB45" s="1"/>
      <c r="AD45" s="1"/>
    </row>
    <row r="46" spans="1:30" x14ac:dyDescent="0.3">
      <c r="A46" t="s">
        <v>343</v>
      </c>
      <c r="B46" t="s">
        <v>386</v>
      </c>
      <c r="C46" t="s">
        <v>431</v>
      </c>
      <c r="D46" t="s">
        <v>432</v>
      </c>
      <c r="E46" s="1" t="s">
        <v>157</v>
      </c>
      <c r="F46" s="1" t="s">
        <v>433</v>
      </c>
      <c r="G46" s="2186">
        <v>2</v>
      </c>
      <c r="H46" s="2186">
        <f>VLOOKUP(G46,Pesos!A:B,2,0)</f>
        <v>0.8</v>
      </c>
      <c r="I46" s="1" t="s">
        <v>305</v>
      </c>
      <c r="J46" s="1"/>
      <c r="K46" s="1">
        <v>50</v>
      </c>
      <c r="L46" s="1">
        <v>250</v>
      </c>
      <c r="M46" s="1">
        <v>85</v>
      </c>
      <c r="N46" s="1" t="s">
        <v>22</v>
      </c>
      <c r="O46" s="1"/>
      <c r="P46" s="1">
        <v>85</v>
      </c>
      <c r="Q46" s="1">
        <v>85</v>
      </c>
      <c r="R46" s="1"/>
      <c r="S46" s="1">
        <v>2</v>
      </c>
      <c r="T46" s="5">
        <v>1398.6</v>
      </c>
      <c r="U46" s="29">
        <v>0.7</v>
      </c>
      <c r="V46" s="26">
        <f t="shared" si="5"/>
        <v>419.58000000000004</v>
      </c>
      <c r="W46" s="26">
        <f t="shared" si="4"/>
        <v>71328.600000000006</v>
      </c>
      <c r="AB46" s="1"/>
      <c r="AD46" s="1"/>
    </row>
    <row r="47" spans="1:30" x14ac:dyDescent="0.3">
      <c r="A47" t="s">
        <v>343</v>
      </c>
      <c r="B47" t="s">
        <v>386</v>
      </c>
      <c r="C47" t="s">
        <v>431</v>
      </c>
      <c r="D47" t="s">
        <v>432</v>
      </c>
      <c r="E47" s="1" t="s">
        <v>141</v>
      </c>
      <c r="F47" s="1" t="s">
        <v>142</v>
      </c>
      <c r="G47" s="2186">
        <v>1</v>
      </c>
      <c r="H47" s="2186">
        <f>VLOOKUP(G47,Pesos!A:B,2,0)</f>
        <v>0.9</v>
      </c>
      <c r="I47" s="1"/>
      <c r="J47" s="1" t="s">
        <v>305</v>
      </c>
      <c r="K47" s="1">
        <v>18</v>
      </c>
      <c r="L47" s="1">
        <v>35</v>
      </c>
      <c r="M47" s="1">
        <v>27</v>
      </c>
      <c r="N47" s="1" t="s">
        <v>22</v>
      </c>
      <c r="O47" s="1"/>
      <c r="P47" s="1"/>
      <c r="Q47" s="1"/>
      <c r="R47" s="1">
        <v>27</v>
      </c>
      <c r="S47" s="1">
        <v>1</v>
      </c>
      <c r="T47" s="5">
        <v>26400</v>
      </c>
      <c r="U47" s="24">
        <v>0.76</v>
      </c>
      <c r="V47" s="26"/>
      <c r="W47" s="26"/>
      <c r="AB47" s="1"/>
      <c r="AD47" s="1"/>
    </row>
    <row r="48" spans="1:30" x14ac:dyDescent="0.3">
      <c r="A48" t="s">
        <v>343</v>
      </c>
      <c r="B48" t="s">
        <v>386</v>
      </c>
      <c r="C48" t="s">
        <v>431</v>
      </c>
      <c r="D48" t="s">
        <v>432</v>
      </c>
      <c r="E48" s="1" t="s">
        <v>99</v>
      </c>
      <c r="F48" s="86" t="s">
        <v>436</v>
      </c>
      <c r="G48" s="2189">
        <v>2</v>
      </c>
      <c r="H48" s="2186">
        <f>VLOOKUP(G48,Pesos!A:B,2,0)</f>
        <v>0.8</v>
      </c>
      <c r="I48" s="1"/>
      <c r="J48" s="1" t="s">
        <v>305</v>
      </c>
      <c r="K48" s="1">
        <v>16</v>
      </c>
      <c r="L48" s="1">
        <v>16</v>
      </c>
      <c r="M48" s="1">
        <v>1</v>
      </c>
      <c r="N48" s="1" t="s">
        <v>22</v>
      </c>
      <c r="O48" s="1"/>
      <c r="P48" s="1">
        <v>16</v>
      </c>
      <c r="Q48" s="1"/>
      <c r="R48" s="1"/>
      <c r="S48" s="1">
        <v>1</v>
      </c>
      <c r="T48" s="5">
        <v>189142</v>
      </c>
      <c r="U48" s="24">
        <v>0.85</v>
      </c>
      <c r="V48" s="26">
        <f t="shared" ref="V48:V58" si="6">T48*(1-U48)</f>
        <v>28371.300000000003</v>
      </c>
      <c r="W48" s="26">
        <f t="shared" ref="W48:W58" si="7">V48*S48*M48</f>
        <v>28371.300000000003</v>
      </c>
      <c r="AB48" s="1"/>
      <c r="AD48" s="1"/>
    </row>
    <row r="49" spans="1:30" x14ac:dyDescent="0.3">
      <c r="A49" t="s">
        <v>343</v>
      </c>
      <c r="B49" t="s">
        <v>386</v>
      </c>
      <c r="C49" t="s">
        <v>431</v>
      </c>
      <c r="D49" t="s">
        <v>432</v>
      </c>
      <c r="E49" s="1" t="s">
        <v>99</v>
      </c>
      <c r="F49" s="86" t="s">
        <v>438</v>
      </c>
      <c r="G49" s="2189">
        <v>2</v>
      </c>
      <c r="H49" s="2186">
        <f>VLOOKUP(G49,Pesos!A:B,2,0)</f>
        <v>0.8</v>
      </c>
      <c r="I49" s="1" t="s">
        <v>305</v>
      </c>
      <c r="J49" s="1"/>
      <c r="K49" s="1">
        <v>28</v>
      </c>
      <c r="L49" s="1">
        <v>28</v>
      </c>
      <c r="M49" s="1">
        <v>1</v>
      </c>
      <c r="N49" s="1" t="s">
        <v>22</v>
      </c>
      <c r="O49" s="1">
        <v>28</v>
      </c>
      <c r="P49" s="1"/>
      <c r="Q49" s="1"/>
      <c r="R49" s="1"/>
      <c r="S49" s="1">
        <v>1</v>
      </c>
      <c r="T49" s="5">
        <v>67000</v>
      </c>
      <c r="U49" s="24">
        <v>0.85</v>
      </c>
      <c r="V49" s="26">
        <f t="shared" si="6"/>
        <v>10050.000000000002</v>
      </c>
      <c r="W49" s="26">
        <f t="shared" si="7"/>
        <v>10050.000000000002</v>
      </c>
      <c r="AB49" s="1"/>
      <c r="AD49" s="1"/>
    </row>
    <row r="50" spans="1:30" x14ac:dyDescent="0.3">
      <c r="A50" t="s">
        <v>343</v>
      </c>
      <c r="B50" t="s">
        <v>386</v>
      </c>
      <c r="C50" t="s">
        <v>431</v>
      </c>
      <c r="D50" t="s">
        <v>432</v>
      </c>
      <c r="E50" s="1" t="s">
        <v>99</v>
      </c>
      <c r="F50" s="86" t="s">
        <v>439</v>
      </c>
      <c r="G50" s="2189">
        <v>2</v>
      </c>
      <c r="H50" s="2186">
        <f>VLOOKUP(G50,Pesos!A:B,2,0)</f>
        <v>0.8</v>
      </c>
      <c r="I50" s="1" t="s">
        <v>305</v>
      </c>
      <c r="J50" s="1"/>
      <c r="K50" s="1">
        <v>100</v>
      </c>
      <c r="L50" s="1">
        <v>100</v>
      </c>
      <c r="M50" s="1">
        <v>100</v>
      </c>
      <c r="N50" s="1" t="s">
        <v>22</v>
      </c>
      <c r="O50" s="1"/>
      <c r="P50" s="1">
        <v>100</v>
      </c>
      <c r="Q50" s="1">
        <v>100</v>
      </c>
      <c r="R50" s="1"/>
      <c r="S50" s="1">
        <v>2</v>
      </c>
      <c r="T50" s="5">
        <v>4427</v>
      </c>
      <c r="U50" s="24">
        <v>0.85</v>
      </c>
      <c r="V50" s="26">
        <f t="shared" si="6"/>
        <v>664.05000000000007</v>
      </c>
      <c r="W50" s="26">
        <f t="shared" si="7"/>
        <v>132810</v>
      </c>
      <c r="AB50" s="1"/>
      <c r="AD50" s="1"/>
    </row>
    <row r="51" spans="1:30" x14ac:dyDescent="0.3">
      <c r="A51" t="s">
        <v>343</v>
      </c>
      <c r="B51" t="s">
        <v>386</v>
      </c>
      <c r="C51" t="s">
        <v>431</v>
      </c>
      <c r="D51" t="s">
        <v>432</v>
      </c>
      <c r="E51" s="1" t="s">
        <v>440</v>
      </c>
      <c r="F51" s="87" t="s">
        <v>441</v>
      </c>
      <c r="G51" s="2190">
        <v>6</v>
      </c>
      <c r="H51" s="2186">
        <f>VLOOKUP(G51,Pesos!A:B,2,0)</f>
        <v>0.4</v>
      </c>
      <c r="I51" s="1" t="s">
        <v>305</v>
      </c>
      <c r="J51" s="1"/>
      <c r="K51" s="1">
        <v>15</v>
      </c>
      <c r="L51" s="1">
        <v>30</v>
      </c>
      <c r="M51" s="1">
        <v>22</v>
      </c>
      <c r="N51" s="1" t="s">
        <v>63</v>
      </c>
      <c r="O51" s="1">
        <v>22</v>
      </c>
      <c r="P51" s="1"/>
      <c r="Q51" s="1"/>
      <c r="R51" s="1"/>
      <c r="S51" s="1">
        <v>1</v>
      </c>
      <c r="T51" s="5">
        <v>2300</v>
      </c>
      <c r="U51" s="24">
        <v>0.5</v>
      </c>
      <c r="V51" s="26">
        <f t="shared" si="6"/>
        <v>1150</v>
      </c>
      <c r="W51" s="26">
        <f t="shared" si="7"/>
        <v>25300</v>
      </c>
      <c r="AB51" s="1"/>
      <c r="AD51" s="1"/>
    </row>
    <row r="52" spans="1:30" x14ac:dyDescent="0.3">
      <c r="A52" t="s">
        <v>343</v>
      </c>
      <c r="B52" t="s">
        <v>386</v>
      </c>
      <c r="C52" t="s">
        <v>431</v>
      </c>
      <c r="D52" t="s">
        <v>432</v>
      </c>
      <c r="E52" s="1" t="s">
        <v>440</v>
      </c>
      <c r="F52" s="1" t="s">
        <v>442</v>
      </c>
      <c r="G52" s="2186">
        <v>6</v>
      </c>
      <c r="H52" s="2186">
        <f>VLOOKUP(G52,Pesos!A:B,2,0)</f>
        <v>0.4</v>
      </c>
      <c r="I52" s="1" t="s">
        <v>305</v>
      </c>
      <c r="J52" s="1"/>
      <c r="K52" s="1">
        <v>15</v>
      </c>
      <c r="L52" s="1">
        <v>30</v>
      </c>
      <c r="M52" s="1">
        <v>22</v>
      </c>
      <c r="N52" s="1" t="s">
        <v>63</v>
      </c>
      <c r="O52" s="1">
        <v>22</v>
      </c>
      <c r="P52" s="1"/>
      <c r="Q52" s="1"/>
      <c r="R52" s="1"/>
      <c r="S52" s="1">
        <v>1</v>
      </c>
      <c r="T52" s="5">
        <v>2300</v>
      </c>
      <c r="U52" s="24">
        <v>0.5</v>
      </c>
      <c r="V52" s="26">
        <f t="shared" si="6"/>
        <v>1150</v>
      </c>
      <c r="W52" s="26">
        <f t="shared" si="7"/>
        <v>25300</v>
      </c>
      <c r="AB52" s="1"/>
      <c r="AD52" s="1"/>
    </row>
    <row r="53" spans="1:30" x14ac:dyDescent="0.3">
      <c r="A53" t="s">
        <v>343</v>
      </c>
      <c r="B53" t="s">
        <v>386</v>
      </c>
      <c r="C53" t="s">
        <v>431</v>
      </c>
      <c r="D53" t="s">
        <v>432</v>
      </c>
      <c r="E53" s="1" t="s">
        <v>443</v>
      </c>
      <c r="F53" s="1" t="s">
        <v>26</v>
      </c>
      <c r="G53" s="2186">
        <v>5</v>
      </c>
      <c r="H53" s="2186">
        <f>VLOOKUP(G53,Pesos!A:B,2,0)</f>
        <v>0.5</v>
      </c>
      <c r="I53" s="1" t="s">
        <v>305</v>
      </c>
      <c r="J53" s="1"/>
      <c r="K53" s="1">
        <v>4</v>
      </c>
      <c r="L53" s="1">
        <v>10</v>
      </c>
      <c r="M53" s="1">
        <v>2</v>
      </c>
      <c r="N53" s="1" t="s">
        <v>24</v>
      </c>
      <c r="O53" s="1">
        <v>2</v>
      </c>
      <c r="P53" s="1"/>
      <c r="Q53" s="1"/>
      <c r="R53" s="1"/>
      <c r="S53" s="1">
        <v>1</v>
      </c>
      <c r="T53" s="5">
        <v>8500</v>
      </c>
      <c r="U53" s="24">
        <v>0.35</v>
      </c>
      <c r="V53" s="26">
        <f t="shared" si="6"/>
        <v>5525</v>
      </c>
      <c r="W53" s="26">
        <f t="shared" si="7"/>
        <v>11050</v>
      </c>
      <c r="AB53" s="1"/>
      <c r="AD53" s="1"/>
    </row>
    <row r="54" spans="1:30" x14ac:dyDescent="0.3">
      <c r="A54" t="s">
        <v>343</v>
      </c>
      <c r="B54" t="s">
        <v>386</v>
      </c>
      <c r="C54" t="s">
        <v>431</v>
      </c>
      <c r="D54" t="s">
        <v>432</v>
      </c>
      <c r="E54" s="1" t="s">
        <v>158</v>
      </c>
      <c r="F54" s="1" t="s">
        <v>446</v>
      </c>
      <c r="G54" s="2186">
        <v>2</v>
      </c>
      <c r="H54" s="2186">
        <f>VLOOKUP(G54,Pesos!A:B,2,0)</f>
        <v>0.8</v>
      </c>
      <c r="I54" s="1"/>
      <c r="J54" s="1" t="s">
        <v>305</v>
      </c>
      <c r="K54" s="1">
        <v>88</v>
      </c>
      <c r="L54" s="1">
        <v>88</v>
      </c>
      <c r="M54" s="1">
        <v>1</v>
      </c>
      <c r="N54" s="1" t="s">
        <v>22</v>
      </c>
      <c r="O54" s="1"/>
      <c r="P54" s="1"/>
      <c r="Q54" s="1">
        <v>88</v>
      </c>
      <c r="R54" s="1"/>
      <c r="S54" s="1">
        <v>1</v>
      </c>
      <c r="T54" s="5">
        <v>338800</v>
      </c>
      <c r="U54" s="89">
        <v>0.75</v>
      </c>
      <c r="V54" s="26">
        <f t="shared" si="6"/>
        <v>84700</v>
      </c>
      <c r="W54" s="26">
        <f t="shared" si="7"/>
        <v>84700</v>
      </c>
      <c r="AB54" s="1"/>
      <c r="AD54" s="1"/>
    </row>
    <row r="55" spans="1:30" x14ac:dyDescent="0.3">
      <c r="A55" t="s">
        <v>343</v>
      </c>
      <c r="B55" t="s">
        <v>386</v>
      </c>
      <c r="C55" t="s">
        <v>431</v>
      </c>
      <c r="D55" t="s">
        <v>432</v>
      </c>
      <c r="E55" s="1" t="s">
        <v>108</v>
      </c>
      <c r="F55" s="1" t="s">
        <v>448</v>
      </c>
      <c r="G55" s="2186">
        <v>4</v>
      </c>
      <c r="H55" s="2186">
        <f>VLOOKUP(G55,Pesos!A:B,2,0)</f>
        <v>0.6</v>
      </c>
      <c r="I55" s="1"/>
      <c r="J55" s="1" t="s">
        <v>305</v>
      </c>
      <c r="K55" s="1">
        <v>2</v>
      </c>
      <c r="L55" s="1">
        <v>8</v>
      </c>
      <c r="M55" s="1">
        <v>1</v>
      </c>
      <c r="N55" s="1" t="s">
        <v>63</v>
      </c>
      <c r="O55" s="1">
        <v>1</v>
      </c>
      <c r="P55" s="1"/>
      <c r="Q55" s="1"/>
      <c r="R55" s="1"/>
      <c r="S55" s="1">
        <v>1</v>
      </c>
      <c r="T55" s="5">
        <v>12000</v>
      </c>
      <c r="U55" s="24">
        <v>0.3</v>
      </c>
      <c r="V55" s="26">
        <f t="shared" si="6"/>
        <v>8400</v>
      </c>
      <c r="W55" s="26">
        <f t="shared" si="7"/>
        <v>8400</v>
      </c>
      <c r="AB55" s="1"/>
      <c r="AD55" s="1"/>
    </row>
    <row r="56" spans="1:30" x14ac:dyDescent="0.3">
      <c r="A56" t="s">
        <v>343</v>
      </c>
      <c r="B56" t="s">
        <v>386</v>
      </c>
      <c r="C56" t="s">
        <v>431</v>
      </c>
      <c r="D56" t="s">
        <v>432</v>
      </c>
      <c r="E56" s="1" t="s">
        <v>108</v>
      </c>
      <c r="F56" s="1" t="s">
        <v>449</v>
      </c>
      <c r="G56" s="2186">
        <v>4</v>
      </c>
      <c r="H56" s="2186">
        <f>VLOOKUP(G56,Pesos!A:B,2,0)</f>
        <v>0.6</v>
      </c>
      <c r="I56" s="1"/>
      <c r="J56" s="1" t="s">
        <v>305</v>
      </c>
      <c r="K56" s="1">
        <v>2</v>
      </c>
      <c r="L56" s="1">
        <v>8</v>
      </c>
      <c r="M56" s="1">
        <v>1</v>
      </c>
      <c r="N56" s="1" t="s">
        <v>63</v>
      </c>
      <c r="O56" s="1">
        <v>1</v>
      </c>
      <c r="P56" s="1"/>
      <c r="Q56" s="1"/>
      <c r="R56" s="1"/>
      <c r="S56" s="1">
        <v>1</v>
      </c>
      <c r="T56" s="5">
        <v>36000</v>
      </c>
      <c r="U56" s="24">
        <v>0.3</v>
      </c>
      <c r="V56" s="26">
        <f t="shared" si="6"/>
        <v>25200</v>
      </c>
      <c r="W56" s="26">
        <f t="shared" si="7"/>
        <v>25200</v>
      </c>
      <c r="AB56" s="1"/>
      <c r="AD56" s="1"/>
    </row>
    <row r="57" spans="1:30" x14ac:dyDescent="0.3">
      <c r="A57" t="s">
        <v>343</v>
      </c>
      <c r="B57" t="s">
        <v>386</v>
      </c>
      <c r="C57" t="s">
        <v>431</v>
      </c>
      <c r="D57" t="s">
        <v>432</v>
      </c>
      <c r="E57" s="1" t="s">
        <v>41</v>
      </c>
      <c r="F57" s="1" t="s">
        <v>450</v>
      </c>
      <c r="G57" s="2186">
        <v>7</v>
      </c>
      <c r="H57" s="2186">
        <f>VLOOKUP(G57,Pesos!A:B,2,0)</f>
        <v>0.3</v>
      </c>
      <c r="I57" s="1" t="s">
        <v>305</v>
      </c>
      <c r="J57" s="1"/>
      <c r="K57" s="1">
        <v>20</v>
      </c>
      <c r="L57" s="1">
        <v>40</v>
      </c>
      <c r="M57" s="1">
        <v>15</v>
      </c>
      <c r="N57" s="1" t="s">
        <v>24</v>
      </c>
      <c r="O57" s="2" t="s">
        <v>152</v>
      </c>
      <c r="P57" s="1"/>
      <c r="Q57" s="1"/>
      <c r="R57" s="1"/>
      <c r="S57" s="1">
        <v>1</v>
      </c>
      <c r="T57" s="5">
        <v>1600</v>
      </c>
      <c r="U57" s="24">
        <v>0.7</v>
      </c>
      <c r="V57" s="26">
        <f t="shared" si="6"/>
        <v>480.00000000000006</v>
      </c>
      <c r="W57" s="26">
        <f t="shared" si="7"/>
        <v>7200.0000000000009</v>
      </c>
      <c r="AB57" s="1"/>
      <c r="AD57" s="1"/>
    </row>
    <row r="58" spans="1:30" x14ac:dyDescent="0.3">
      <c r="A58" t="s">
        <v>343</v>
      </c>
      <c r="B58" t="s">
        <v>386</v>
      </c>
      <c r="C58" t="s">
        <v>431</v>
      </c>
      <c r="D58" t="s">
        <v>432</v>
      </c>
      <c r="E58" s="1" t="s">
        <v>150</v>
      </c>
      <c r="F58" s="1" t="s">
        <v>68</v>
      </c>
      <c r="G58" s="2186">
        <v>3</v>
      </c>
      <c r="H58" s="2186">
        <f>VLOOKUP(G58,Pesos!A:B,2,0)</f>
        <v>0.7</v>
      </c>
      <c r="I58" s="1" t="s">
        <v>305</v>
      </c>
      <c r="J58" s="1"/>
      <c r="K58" s="1">
        <v>10</v>
      </c>
      <c r="L58" s="1">
        <v>20</v>
      </c>
      <c r="M58" s="1">
        <v>10</v>
      </c>
      <c r="N58" s="1" t="s">
        <v>24</v>
      </c>
      <c r="O58" s="2" t="s">
        <v>203</v>
      </c>
      <c r="P58" s="1"/>
      <c r="Q58" s="1"/>
      <c r="R58" s="1"/>
      <c r="S58" s="1">
        <v>1</v>
      </c>
      <c r="T58" s="5">
        <v>11181</v>
      </c>
      <c r="U58" s="24">
        <v>0.4</v>
      </c>
      <c r="V58" s="26">
        <f t="shared" si="6"/>
        <v>6708.5999999999995</v>
      </c>
      <c r="W58" s="26">
        <f t="shared" si="7"/>
        <v>67086</v>
      </c>
      <c r="AB58" s="1"/>
      <c r="AD58" s="1"/>
    </row>
    <row r="59" spans="1:30" x14ac:dyDescent="0.3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"/>
      <c r="U59" s="29"/>
      <c r="V59" s="26"/>
      <c r="W59" s="26"/>
      <c r="AB59" s="1"/>
      <c r="AD59" s="1"/>
    </row>
    <row r="61" spans="1:30" x14ac:dyDescent="0.3">
      <c r="A61" s="47"/>
      <c r="B61" s="47"/>
      <c r="C61" s="47"/>
      <c r="D61" s="47"/>
      <c r="E61" s="4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5"/>
      <c r="U61" s="24"/>
      <c r="V61" s="26"/>
      <c r="W61" s="26"/>
      <c r="AB61" s="1"/>
      <c r="AD61" s="1"/>
    </row>
    <row r="62" spans="1:30" x14ac:dyDescent="0.3">
      <c r="A62" s="47"/>
      <c r="D62" s="43" t="s">
        <v>1158</v>
      </c>
      <c r="E62" s="43" t="s">
        <v>1159</v>
      </c>
      <c r="F62" s="43" t="s">
        <v>1160</v>
      </c>
      <c r="G62" s="4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"/>
      <c r="U62" s="29"/>
      <c r="V62" s="26"/>
      <c r="W62" s="26"/>
      <c r="AB62" s="1"/>
      <c r="AD62" s="1"/>
    </row>
    <row r="63" spans="1:30" x14ac:dyDescent="0.3">
      <c r="A63" s="47" t="s">
        <v>1161</v>
      </c>
      <c r="B63" s="2174"/>
      <c r="C63" s="2174"/>
      <c r="D63" s="2181">
        <f>E63*(1-10%)</f>
        <v>1797.2434588235296</v>
      </c>
      <c r="E63" s="427">
        <f>'RIO DE JANEIRO'!T60</f>
        <v>1996.9371764705884</v>
      </c>
      <c r="F63" s="427">
        <f>E63*(1+15%)</f>
        <v>2296.4777529411763</v>
      </c>
      <c r="G63" s="427"/>
    </row>
    <row r="64" spans="1:30" x14ac:dyDescent="0.3">
      <c r="A64" s="47" t="s">
        <v>1162</v>
      </c>
      <c r="B64" s="2174"/>
      <c r="C64" s="2174"/>
      <c r="D64" s="2181">
        <f>E64*(1-25%)</f>
        <v>1087.2148477157361</v>
      </c>
      <c r="E64" s="427">
        <f>'RIO DE JANEIRO'!T96</f>
        <v>1449.6197969543148</v>
      </c>
      <c r="F64" s="427">
        <f>E64*(1+5%)</f>
        <v>1522.1007868020306</v>
      </c>
      <c r="G64" s="42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5"/>
      <c r="U64" s="24"/>
      <c r="V64" s="26"/>
      <c r="W64" s="26"/>
      <c r="AB64" s="1"/>
      <c r="AD64" s="1"/>
    </row>
    <row r="65" spans="1:30" x14ac:dyDescent="0.3">
      <c r="A65" s="47" t="s">
        <v>550</v>
      </c>
      <c r="B65" s="2174"/>
      <c r="C65" s="2174"/>
      <c r="D65" s="2181">
        <f>E65*(1-15%)</f>
        <v>1274.5087435897435</v>
      </c>
      <c r="E65" s="427">
        <f>'RIO DE JANEIRO'!T138</f>
        <v>1499.4220512820511</v>
      </c>
      <c r="F65" s="427">
        <f>E65*(1+15%)</f>
        <v>1724.3353589743588</v>
      </c>
      <c r="G65" s="42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24"/>
      <c r="V65" s="26"/>
      <c r="W65" s="26"/>
      <c r="AB65" s="1"/>
      <c r="AD65" s="1"/>
    </row>
    <row r="66" spans="1:30" x14ac:dyDescent="0.3">
      <c r="A66" s="47" t="s">
        <v>679</v>
      </c>
      <c r="B66" s="2174"/>
      <c r="C66" s="2174"/>
      <c r="D66" s="2181">
        <f>E66*(1-25%)</f>
        <v>981.43242187500005</v>
      </c>
      <c r="E66" s="427">
        <f>'RIO DE JANEIRO'!T172</f>
        <v>1308.5765625000001</v>
      </c>
      <c r="F66" s="427">
        <f>E66*(1+5%)</f>
        <v>1374.0053906250002</v>
      </c>
      <c r="G66" s="42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5"/>
      <c r="U66" s="24"/>
      <c r="V66" s="26"/>
      <c r="W66" s="26"/>
      <c r="AB66" s="1"/>
      <c r="AD66" s="1"/>
    </row>
    <row r="67" spans="1:30" x14ac:dyDescent="0.3">
      <c r="A67" s="47" t="s">
        <v>568</v>
      </c>
      <c r="B67" s="2174"/>
      <c r="C67" s="2174"/>
      <c r="D67" s="2181">
        <f>E67*(1-25%)</f>
        <v>876.18970588235288</v>
      </c>
      <c r="E67" s="427">
        <f>'RIO DE JANEIRO'!T207</f>
        <v>1168.2529411764706</v>
      </c>
      <c r="F67" s="427">
        <f>E67*(1+5%)</f>
        <v>1226.6655882352941</v>
      </c>
      <c r="G67" s="42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5"/>
      <c r="U67" s="24"/>
      <c r="V67" s="26"/>
      <c r="W67" s="26"/>
      <c r="AB67" s="1"/>
      <c r="AD67" s="1"/>
    </row>
    <row r="68" spans="1:30" x14ac:dyDescent="0.3">
      <c r="A68" s="47"/>
      <c r="B68" s="47"/>
      <c r="C68" s="47"/>
      <c r="D68" s="4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5"/>
      <c r="U68" s="24"/>
      <c r="V68" s="26"/>
      <c r="W68" s="26"/>
      <c r="AB68" s="1"/>
      <c r="AD68" s="1"/>
    </row>
    <row r="69" spans="1:30" x14ac:dyDescent="0.3">
      <c r="A69" s="47"/>
      <c r="B69" s="46"/>
      <c r="C69" s="46"/>
      <c r="D69" s="2314" t="s">
        <v>1163</v>
      </c>
      <c r="E69" s="2315"/>
      <c r="F69" s="2315"/>
      <c r="G69" s="231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5"/>
      <c r="U69" s="24"/>
      <c r="V69" s="26"/>
      <c r="W69" s="26"/>
      <c r="AB69" s="1"/>
      <c r="AD69" s="1"/>
    </row>
    <row r="70" spans="1:30" x14ac:dyDescent="0.3">
      <c r="A70" s="47" t="s">
        <v>1161</v>
      </c>
      <c r="B70" s="2175"/>
      <c r="C70" s="2175"/>
      <c r="D70" s="3">
        <v>0.14823529411764705</v>
      </c>
      <c r="E70" s="3">
        <v>0.18588235294117647</v>
      </c>
      <c r="F70" s="3">
        <v>0.56941176470588239</v>
      </c>
      <c r="G70" s="3">
        <v>9.6470588235294114E-2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29"/>
      <c r="V70" s="26"/>
      <c r="W70" s="26"/>
      <c r="AB70" s="1"/>
      <c r="AD70" s="1"/>
    </row>
    <row r="71" spans="1:30" x14ac:dyDescent="0.3">
      <c r="A71" s="47" t="s">
        <v>1162</v>
      </c>
      <c r="B71" s="2175"/>
      <c r="C71" s="2175"/>
      <c r="D71" s="2175">
        <v>0.18104906937394247</v>
      </c>
      <c r="E71" s="304">
        <v>0.17428087986463622</v>
      </c>
      <c r="F71" s="304">
        <v>0.40609137055837563</v>
      </c>
      <c r="G71" s="304">
        <v>0.23857868020304568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29"/>
      <c r="V71" s="26"/>
      <c r="W71" s="26"/>
      <c r="AB71" s="1"/>
      <c r="AD71" s="1"/>
    </row>
    <row r="72" spans="1:30" x14ac:dyDescent="0.3">
      <c r="A72" s="47" t="s">
        <v>550</v>
      </c>
      <c r="B72" s="2175"/>
      <c r="C72" s="2175"/>
      <c r="D72" s="2175">
        <v>8.9743589743589744E-2</v>
      </c>
      <c r="E72" s="304">
        <v>0.45384615384615384</v>
      </c>
      <c r="F72" s="304">
        <v>0.4564102564102564</v>
      </c>
      <c r="G72" s="30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29"/>
      <c r="V72" s="26"/>
      <c r="W72" s="26"/>
      <c r="AB72" s="1"/>
      <c r="AD72" s="1"/>
    </row>
    <row r="73" spans="1:30" x14ac:dyDescent="0.3">
      <c r="A73" s="47" t="s">
        <v>679</v>
      </c>
      <c r="B73" s="2175"/>
      <c r="C73" s="2175"/>
      <c r="D73" s="2175">
        <v>0.2611607142857143</v>
      </c>
      <c r="E73" s="304">
        <v>0.3705357142857143</v>
      </c>
      <c r="F73" s="304">
        <v>0.36830357142857145</v>
      </c>
      <c r="G73" s="304"/>
    </row>
    <row r="74" spans="1:30" x14ac:dyDescent="0.3">
      <c r="A74" s="47" t="s">
        <v>568</v>
      </c>
      <c r="B74" s="47"/>
      <c r="C74" s="47"/>
      <c r="D74" s="2175">
        <v>0.16666666666666666</v>
      </c>
      <c r="E74" s="3">
        <v>0.66176470588235292</v>
      </c>
      <c r="F74" s="304">
        <v>0.17156862745098039</v>
      </c>
    </row>
    <row r="75" spans="1:30" x14ac:dyDescent="0.3">
      <c r="A75" s="47"/>
      <c r="B75" s="47"/>
      <c r="C75" s="47"/>
      <c r="D75" s="48"/>
    </row>
    <row r="76" spans="1:30" x14ac:dyDescent="0.3">
      <c r="A76" s="47"/>
      <c r="B76" s="47"/>
      <c r="C76" s="47"/>
      <c r="D76" s="48"/>
    </row>
    <row r="77" spans="1:30" x14ac:dyDescent="0.3">
      <c r="A77" s="47"/>
      <c r="B77" s="47"/>
      <c r="C77" s="47"/>
      <c r="D77" s="48"/>
    </row>
    <row r="78" spans="1:30" x14ac:dyDescent="0.3">
      <c r="A78" s="47"/>
      <c r="B78" s="46"/>
      <c r="C78" s="46"/>
      <c r="D78" s="2314" t="s">
        <v>1164</v>
      </c>
      <c r="E78" s="2315"/>
      <c r="F78" s="2315"/>
      <c r="G78" s="2316"/>
    </row>
    <row r="79" spans="1:30" x14ac:dyDescent="0.3">
      <c r="A79" s="47" t="s">
        <v>1161</v>
      </c>
      <c r="B79" s="2175"/>
      <c r="C79" s="2175"/>
      <c r="D79" s="2175">
        <v>0.12022900763358779</v>
      </c>
      <c r="E79" s="2175">
        <v>0.24045801526717558</v>
      </c>
      <c r="F79" s="2175">
        <v>0.54770992366412219</v>
      </c>
      <c r="G79" s="2175">
        <v>9.1603053435114504E-2</v>
      </c>
    </row>
    <row r="80" spans="1:30" x14ac:dyDescent="0.3">
      <c r="A80" s="47" t="s">
        <v>1162</v>
      </c>
      <c r="B80" s="6"/>
      <c r="C80" s="6"/>
      <c r="D80" s="6">
        <v>0.13682864450127877</v>
      </c>
      <c r="E80" s="2175">
        <v>0.24808184143222506</v>
      </c>
      <c r="F80" s="2175">
        <v>0.36956521739130432</v>
      </c>
      <c r="G80" s="2175">
        <v>0.24552429667519182</v>
      </c>
    </row>
    <row r="81" spans="1:7" x14ac:dyDescent="0.3">
      <c r="A81" s="47" t="s">
        <v>550</v>
      </c>
      <c r="B81" s="2175"/>
      <c r="C81" s="2175"/>
      <c r="D81" s="2175">
        <v>0.31615925058548011</v>
      </c>
      <c r="E81" s="2175">
        <v>0.49648711943793911</v>
      </c>
      <c r="F81" s="2175">
        <v>0.18735362997658081</v>
      </c>
      <c r="G81" s="2175"/>
    </row>
    <row r="82" spans="1:7" x14ac:dyDescent="0.3">
      <c r="A82" s="47" t="s">
        <v>679</v>
      </c>
      <c r="B82" s="2175"/>
      <c r="C82" s="2175"/>
      <c r="D82" s="6">
        <v>0.20034246575342465</v>
      </c>
      <c r="E82" s="2175">
        <v>0.43664383561643838</v>
      </c>
      <c r="F82" s="2175">
        <v>0.36301369863013699</v>
      </c>
      <c r="G82" s="2175"/>
    </row>
    <row r="83" spans="1:7" x14ac:dyDescent="0.3">
      <c r="A83" s="47" t="s">
        <v>568</v>
      </c>
      <c r="B83" s="47"/>
      <c r="C83" s="47"/>
      <c r="D83" s="6">
        <v>0.14529914529914531</v>
      </c>
      <c r="E83" s="2175">
        <v>0.68803418803418803</v>
      </c>
      <c r="F83" s="2175">
        <v>0.16666666666666666</v>
      </c>
      <c r="G83" s="217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J180"/>
  <sheetViews>
    <sheetView workbookViewId="0"/>
  </sheetViews>
  <sheetFormatPr defaultRowHeight="14.4" x14ac:dyDescent="0.3"/>
  <sheetData>
    <row r="1" spans="1:9" ht="21" x14ac:dyDescent="0.4">
      <c r="A1" s="92" t="s">
        <v>804</v>
      </c>
    </row>
    <row r="2" spans="1:9" x14ac:dyDescent="0.3">
      <c r="A2" t="s">
        <v>452</v>
      </c>
    </row>
    <row r="5" spans="1:9" x14ac:dyDescent="0.3">
      <c r="B5" s="95"/>
    </row>
    <row r="6" spans="1:9" x14ac:dyDescent="0.3">
      <c r="B6" s="96"/>
    </row>
    <row r="7" spans="1:9" x14ac:dyDescent="0.3">
      <c r="A7" s="100" t="s">
        <v>805</v>
      </c>
      <c r="B7" s="101">
        <v>4132230.98</v>
      </c>
      <c r="C7" s="603"/>
      <c r="F7" s="98"/>
      <c r="G7" s="98"/>
      <c r="H7" s="98"/>
      <c r="I7" s="99"/>
    </row>
    <row r="8" spans="1:9" x14ac:dyDescent="0.3">
      <c r="A8" s="100" t="s">
        <v>806</v>
      </c>
      <c r="B8" s="101">
        <v>7670335.549999998</v>
      </c>
      <c r="C8" s="102"/>
      <c r="F8" s="98"/>
      <c r="G8" s="98"/>
      <c r="H8" s="98"/>
      <c r="I8" s="99"/>
    </row>
    <row r="9" spans="1:9" x14ac:dyDescent="0.3">
      <c r="C9" s="97"/>
      <c r="F9" s="98"/>
      <c r="G9" s="98"/>
      <c r="H9" s="98"/>
      <c r="I9" s="99"/>
    </row>
    <row r="10" spans="1:9" x14ac:dyDescent="0.3">
      <c r="A10" s="103" t="s">
        <v>807</v>
      </c>
      <c r="B10" s="104">
        <v>5804713.25</v>
      </c>
      <c r="C10" s="97"/>
      <c r="F10" s="98"/>
      <c r="G10" s="98"/>
      <c r="H10" s="98"/>
      <c r="I10" s="99"/>
    </row>
    <row r="11" spans="1:9" x14ac:dyDescent="0.3">
      <c r="A11" s="100" t="s">
        <v>808</v>
      </c>
      <c r="B11" s="101">
        <v>8292447.5</v>
      </c>
      <c r="C11" s="105"/>
      <c r="F11" s="98"/>
      <c r="G11" s="98"/>
      <c r="H11" s="98"/>
      <c r="I11" s="99"/>
    </row>
    <row r="12" spans="1:9" x14ac:dyDescent="0.3">
      <c r="C12" s="3"/>
      <c r="F12" s="98"/>
      <c r="G12" s="98"/>
      <c r="H12" s="98"/>
      <c r="I12" s="99"/>
    </row>
    <row r="13" spans="1:9" x14ac:dyDescent="0.3">
      <c r="F13" s="98"/>
      <c r="G13" s="98"/>
      <c r="H13" s="98"/>
      <c r="I13" s="99"/>
    </row>
    <row r="14" spans="1:9" x14ac:dyDescent="0.3">
      <c r="F14" s="98"/>
      <c r="G14" s="98"/>
      <c r="H14" s="98"/>
      <c r="I14" s="99"/>
    </row>
    <row r="15" spans="1:9" x14ac:dyDescent="0.3">
      <c r="A15" s="4" t="s">
        <v>457</v>
      </c>
      <c r="F15" s="98"/>
      <c r="G15" s="98"/>
      <c r="H15" s="98"/>
      <c r="I15" s="99"/>
    </row>
    <row r="16" spans="1:9" x14ac:dyDescent="0.3">
      <c r="A16" s="106" t="s">
        <v>458</v>
      </c>
      <c r="B16" s="106"/>
      <c r="C16" s="106" t="s">
        <v>459</v>
      </c>
      <c r="D16" s="106" t="s">
        <v>460</v>
      </c>
      <c r="E16" s="106" t="s">
        <v>461</v>
      </c>
      <c r="F16" s="98"/>
      <c r="G16" s="98"/>
      <c r="H16" s="98"/>
      <c r="I16" s="99"/>
    </row>
    <row r="17" spans="1:36" x14ac:dyDescent="0.3">
      <c r="A17" s="107" t="s">
        <v>606</v>
      </c>
      <c r="B17" s="108" t="s">
        <v>463</v>
      </c>
      <c r="C17" s="109">
        <v>0.54</v>
      </c>
      <c r="D17" s="110">
        <v>4477921.6500000004</v>
      </c>
      <c r="E17" s="110">
        <v>1492640.55</v>
      </c>
      <c r="F17" s="98"/>
      <c r="G17" s="98"/>
      <c r="H17" s="98"/>
      <c r="I17" s="99"/>
    </row>
    <row r="18" spans="1:36" x14ac:dyDescent="0.3">
      <c r="A18" s="107" t="s">
        <v>607</v>
      </c>
      <c r="B18" s="108" t="s">
        <v>809</v>
      </c>
      <c r="C18" s="109">
        <v>0.46</v>
      </c>
      <c r="D18" s="110">
        <v>3814525.85</v>
      </c>
      <c r="E18" s="110">
        <v>953631.46250000002</v>
      </c>
      <c r="F18" s="98"/>
      <c r="G18" s="98"/>
      <c r="H18" s="98"/>
      <c r="I18" s="99"/>
    </row>
    <row r="19" spans="1:36" x14ac:dyDescent="0.3">
      <c r="A19" s="107" t="s">
        <v>608</v>
      </c>
      <c r="B19" s="108"/>
      <c r="C19" s="109"/>
      <c r="D19" s="110">
        <v>0</v>
      </c>
      <c r="E19" s="110">
        <v>0</v>
      </c>
      <c r="F19" s="98"/>
      <c r="G19" s="98"/>
      <c r="H19" s="98"/>
      <c r="I19" s="99"/>
    </row>
    <row r="20" spans="1:36" x14ac:dyDescent="0.3">
      <c r="B20" s="1" t="s">
        <v>844</v>
      </c>
      <c r="C20" s="3">
        <f>SUM(C17:C19)</f>
        <v>1</v>
      </c>
      <c r="D20" s="112">
        <v>8292447.5</v>
      </c>
      <c r="F20" s="98"/>
      <c r="G20" s="98"/>
      <c r="H20" s="98"/>
      <c r="I20" s="99"/>
    </row>
    <row r="21" spans="1:36" x14ac:dyDescent="0.3">
      <c r="D21" s="112">
        <f>D20-'RIO DE JANEIRO'!D19</f>
        <v>2487734.2499999991</v>
      </c>
      <c r="F21" s="98"/>
      <c r="G21" s="98"/>
      <c r="H21" s="98"/>
      <c r="I21" s="99"/>
    </row>
    <row r="22" spans="1:36" x14ac:dyDescent="0.3">
      <c r="A22" s="100" t="s">
        <v>769</v>
      </c>
      <c r="B22" s="769">
        <v>6211223</v>
      </c>
      <c r="F22" s="98"/>
      <c r="G22" s="98"/>
      <c r="H22" s="98"/>
      <c r="I22" s="99"/>
    </row>
    <row r="23" spans="1:36" x14ac:dyDescent="0.3">
      <c r="A23" s="714" t="s">
        <v>579</v>
      </c>
      <c r="B23" s="770">
        <v>3469260</v>
      </c>
      <c r="R23" s="115"/>
    </row>
    <row r="24" spans="1:36" x14ac:dyDescent="0.3">
      <c r="E24" s="1" t="s">
        <v>470</v>
      </c>
      <c r="F24" s="2" t="s">
        <v>628</v>
      </c>
      <c r="H24" s="1" t="s">
        <v>472</v>
      </c>
      <c r="J24" s="2" t="s">
        <v>845</v>
      </c>
      <c r="K24" s="2"/>
      <c r="L24" s="2"/>
    </row>
    <row r="25" spans="1:36" x14ac:dyDescent="0.3">
      <c r="E25" s="1" t="s">
        <v>473</v>
      </c>
      <c r="F25" s="2" t="s">
        <v>474</v>
      </c>
      <c r="H25" s="1" t="s">
        <v>473</v>
      </c>
      <c r="J25" s="2" t="s">
        <v>712</v>
      </c>
      <c r="K25" s="2"/>
      <c r="L25" s="2"/>
    </row>
    <row r="26" spans="1:36" x14ac:dyDescent="0.3">
      <c r="E26" s="1" t="s">
        <v>475</v>
      </c>
      <c r="F26" s="2" t="s">
        <v>846</v>
      </c>
      <c r="H26" s="1" t="s">
        <v>475</v>
      </c>
      <c r="J26" s="2" t="s">
        <v>847</v>
      </c>
      <c r="K26" s="2"/>
      <c r="L26" s="2"/>
      <c r="Q26" s="115"/>
    </row>
    <row r="27" spans="1:36" x14ac:dyDescent="0.3">
      <c r="E27" s="1" t="s">
        <v>477</v>
      </c>
      <c r="F27" s="2" t="s">
        <v>848</v>
      </c>
      <c r="H27" s="1" t="s">
        <v>477</v>
      </c>
      <c r="J27" s="2" t="s">
        <v>849</v>
      </c>
      <c r="K27" s="2"/>
      <c r="L27" s="2"/>
      <c r="T27" s="116"/>
    </row>
    <row r="28" spans="1:36" ht="18" x14ac:dyDescent="0.35">
      <c r="A28" s="118" t="s">
        <v>479</v>
      </c>
      <c r="O28" s="3"/>
      <c r="P28" s="115"/>
      <c r="R28" s="3"/>
      <c r="S28" s="99"/>
    </row>
    <row r="29" spans="1:36" x14ac:dyDescent="0.3">
      <c r="O29" s="3"/>
      <c r="P29" s="99"/>
      <c r="R29" s="3"/>
      <c r="S29" s="99"/>
    </row>
    <row r="30" spans="1:36" x14ac:dyDescent="0.3">
      <c r="A30" s="2446" t="s">
        <v>480</v>
      </c>
      <c r="B30" s="2447"/>
      <c r="C30" s="2447"/>
      <c r="D30" s="2447"/>
      <c r="E30" s="2447"/>
      <c r="F30" s="2447"/>
      <c r="G30" s="2447"/>
      <c r="H30" s="2447"/>
      <c r="I30" s="2447"/>
      <c r="J30" s="2447"/>
      <c r="K30" s="2447"/>
      <c r="L30" s="2447"/>
      <c r="M30" s="2447"/>
      <c r="N30" s="2447"/>
      <c r="O30" s="2447"/>
      <c r="P30" s="2447"/>
      <c r="Q30" s="2447"/>
      <c r="R30" s="2447"/>
      <c r="S30" s="2448"/>
      <c r="T30" s="2374" t="s">
        <v>584</v>
      </c>
      <c r="U30" s="2375"/>
      <c r="V30" s="2375"/>
      <c r="W30" s="2375"/>
      <c r="X30" s="2375"/>
      <c r="Y30" s="2375"/>
      <c r="Z30" s="2375"/>
      <c r="AA30" s="2375"/>
      <c r="AB30" s="2375"/>
      <c r="AC30" s="2375"/>
      <c r="AD30" s="2375"/>
      <c r="AE30" s="2375"/>
      <c r="AF30" s="2375"/>
      <c r="AG30" s="2375"/>
      <c r="AH30" s="2375"/>
      <c r="AI30" s="2375"/>
      <c r="AJ30" s="2376"/>
    </row>
    <row r="31" spans="1:36" ht="18" x14ac:dyDescent="0.35">
      <c r="A31" s="2284" t="s">
        <v>482</v>
      </c>
      <c r="B31" s="2286" t="s">
        <v>483</v>
      </c>
      <c r="C31" s="2286" t="s">
        <v>484</v>
      </c>
      <c r="D31" s="2286" t="s">
        <v>485</v>
      </c>
      <c r="E31" s="2286" t="s">
        <v>486</v>
      </c>
      <c r="F31" s="2288" t="s">
        <v>487</v>
      </c>
      <c r="G31" s="2286" t="s">
        <v>488</v>
      </c>
      <c r="H31" s="2286" t="s">
        <v>489</v>
      </c>
      <c r="I31" s="805" t="s">
        <v>490</v>
      </c>
      <c r="J31" s="213"/>
      <c r="K31" s="213"/>
      <c r="L31" s="2473"/>
      <c r="M31" s="265" t="s">
        <v>491</v>
      </c>
      <c r="N31" s="266" t="s">
        <v>492</v>
      </c>
      <c r="O31" s="266" t="s">
        <v>812</v>
      </c>
      <c r="P31" s="267" t="s">
        <v>493</v>
      </c>
      <c r="Q31" s="266" t="s">
        <v>492</v>
      </c>
      <c r="R31" s="266" t="s">
        <v>494</v>
      </c>
      <c r="S31" s="2267" t="s">
        <v>495</v>
      </c>
      <c r="T31" s="692" t="s">
        <v>496</v>
      </c>
      <c r="U31" s="2424" t="s">
        <v>497</v>
      </c>
      <c r="V31" s="2425"/>
      <c r="W31" s="2425"/>
      <c r="X31" s="2425"/>
      <c r="Y31" s="2425"/>
      <c r="Z31" s="2418" t="s">
        <v>498</v>
      </c>
      <c r="AA31" s="2419"/>
      <c r="AB31" s="2422"/>
      <c r="AC31" s="2422"/>
      <c r="AD31" s="2422"/>
      <c r="AE31" s="2422"/>
      <c r="AF31" s="2422"/>
      <c r="AG31" s="2422"/>
      <c r="AH31" s="2422"/>
      <c r="AI31" s="2422"/>
      <c r="AJ31" s="2419"/>
    </row>
    <row r="32" spans="1:36" ht="18" x14ac:dyDescent="0.35">
      <c r="A32" s="2285"/>
      <c r="B32" s="2287"/>
      <c r="C32" s="2287"/>
      <c r="D32" s="2287"/>
      <c r="E32" s="2287"/>
      <c r="F32" s="2289"/>
      <c r="G32" s="2287"/>
      <c r="H32" s="2287"/>
      <c r="I32" s="269" t="s">
        <v>500</v>
      </c>
      <c r="J32" s="269" t="s">
        <v>501</v>
      </c>
      <c r="K32" s="269" t="s">
        <v>502</v>
      </c>
      <c r="L32" s="269" t="s">
        <v>503</v>
      </c>
      <c r="M32" s="270" t="s">
        <v>504</v>
      </c>
      <c r="N32" s="271" t="s">
        <v>505</v>
      </c>
      <c r="O32" s="271" t="s">
        <v>813</v>
      </c>
      <c r="P32" s="272" t="s">
        <v>506</v>
      </c>
      <c r="Q32" s="271" t="s">
        <v>507</v>
      </c>
      <c r="R32" s="271" t="s">
        <v>507</v>
      </c>
      <c r="S32" s="2268"/>
      <c r="T32" s="671" t="s">
        <v>508</v>
      </c>
      <c r="U32" s="2427"/>
      <c r="V32" s="2428"/>
      <c r="W32" s="2428"/>
      <c r="X32" s="2428"/>
      <c r="Y32" s="2428"/>
      <c r="Z32" s="2420"/>
      <c r="AA32" s="2421"/>
      <c r="AB32" s="2423"/>
      <c r="AC32" s="2423"/>
      <c r="AD32" s="2423"/>
      <c r="AE32" s="2423"/>
      <c r="AF32" s="2423"/>
      <c r="AG32" s="2423"/>
      <c r="AH32" s="2423"/>
      <c r="AI32" s="2423"/>
      <c r="AJ32" s="2421"/>
    </row>
    <row r="33" spans="1:36" ht="18" x14ac:dyDescent="0.35">
      <c r="A33" s="2476" t="s">
        <v>509</v>
      </c>
      <c r="B33" s="2477"/>
      <c r="C33" s="2477"/>
      <c r="D33" s="2477"/>
      <c r="E33" s="2477"/>
      <c r="F33" s="2477"/>
      <c r="G33" s="2477"/>
      <c r="H33" s="2477"/>
      <c r="I33" s="2477"/>
      <c r="J33" s="2477"/>
      <c r="K33" s="2477"/>
      <c r="L33" s="2477"/>
      <c r="M33" s="2477"/>
      <c r="N33" s="2477"/>
      <c r="O33" s="2477"/>
      <c r="P33" s="2477"/>
      <c r="Q33" s="2477"/>
      <c r="R33" s="2477"/>
      <c r="S33" s="2477"/>
      <c r="T33" s="741"/>
      <c r="U33" s="719" t="s">
        <v>510</v>
      </c>
      <c r="V33" s="717" t="s">
        <v>11</v>
      </c>
      <c r="W33" s="717" t="s">
        <v>511</v>
      </c>
      <c r="X33" s="717" t="s">
        <v>512</v>
      </c>
      <c r="Y33" s="718" t="s">
        <v>513</v>
      </c>
      <c r="Z33" s="719" t="s">
        <v>514</v>
      </c>
      <c r="AA33" s="718" t="s">
        <v>515</v>
      </c>
      <c r="AB33" s="719" t="s">
        <v>0</v>
      </c>
      <c r="AC33" s="717" t="s">
        <v>4</v>
      </c>
      <c r="AD33" s="717" t="s">
        <v>2</v>
      </c>
      <c r="AE33" s="717" t="s">
        <v>153</v>
      </c>
      <c r="AF33" s="717" t="s">
        <v>154</v>
      </c>
      <c r="AG33" s="717" t="s">
        <v>155</v>
      </c>
      <c r="AH33" s="717" t="s">
        <v>156</v>
      </c>
      <c r="AI33" s="717" t="s">
        <v>5</v>
      </c>
      <c r="AJ33" s="718" t="s">
        <v>814</v>
      </c>
    </row>
    <row r="34" spans="1:36" x14ac:dyDescent="0.3">
      <c r="A34" s="154"/>
      <c r="B34" s="462"/>
      <c r="C34" s="462"/>
      <c r="D34" s="462"/>
      <c r="E34" s="462"/>
      <c r="F34" s="463"/>
      <c r="G34" s="462"/>
      <c r="H34" s="462"/>
      <c r="I34" s="464"/>
      <c r="J34" s="465"/>
      <c r="K34" s="465"/>
      <c r="L34" s="466"/>
      <c r="M34" s="467"/>
      <c r="N34" s="468"/>
      <c r="O34" s="468"/>
      <c r="P34" s="469"/>
      <c r="Q34" s="468"/>
      <c r="R34" s="468"/>
      <c r="S34" s="501"/>
      <c r="T34" s="149"/>
      <c r="U34" s="280"/>
      <c r="Y34" s="152"/>
      <c r="Z34" s="280"/>
      <c r="AA34" s="152"/>
      <c r="AB34" s="280"/>
      <c r="AC34" s="172"/>
      <c r="AD34" s="172"/>
      <c r="AE34" s="154"/>
      <c r="AF34" s="154"/>
      <c r="AG34" s="154"/>
      <c r="AH34" s="154"/>
      <c r="AI34" s="154"/>
      <c r="AJ34" s="152"/>
    </row>
    <row r="35" spans="1:36" x14ac:dyDescent="0.3">
      <c r="A35" s="157"/>
      <c r="B35" s="157"/>
      <c r="C35" s="157"/>
      <c r="D35" s="157"/>
      <c r="E35" s="157"/>
      <c r="F35" s="158"/>
      <c r="G35" s="157"/>
      <c r="H35" s="157"/>
      <c r="I35" s="188"/>
      <c r="L35" s="286"/>
      <c r="M35" s="163"/>
      <c r="N35" s="166"/>
      <c r="O35" s="166"/>
      <c r="P35" s="173"/>
      <c r="Q35" s="166"/>
      <c r="R35" s="166"/>
      <c r="S35" s="6"/>
      <c r="T35" s="168"/>
      <c r="U35" s="280"/>
      <c r="X35" s="169"/>
      <c r="Y35" s="152"/>
      <c r="Z35" s="280"/>
      <c r="AA35" s="152"/>
      <c r="AB35" s="280"/>
      <c r="AC35" s="172"/>
      <c r="AD35" s="172"/>
      <c r="AE35" s="172"/>
      <c r="AF35" s="172"/>
      <c r="AG35" s="172"/>
      <c r="AH35" s="172"/>
      <c r="AI35" s="172"/>
      <c r="AJ35" s="152"/>
    </row>
    <row r="36" spans="1:36" x14ac:dyDescent="0.3">
      <c r="A36" s="157" t="s">
        <v>815</v>
      </c>
      <c r="B36" s="157" t="s">
        <v>157</v>
      </c>
      <c r="C36" s="157" t="s">
        <v>695</v>
      </c>
      <c r="D36" s="157" t="s">
        <v>433</v>
      </c>
      <c r="E36" s="157" t="s">
        <v>520</v>
      </c>
      <c r="F36" s="157" t="s">
        <v>816</v>
      </c>
      <c r="G36" s="1">
        <v>120</v>
      </c>
      <c r="H36" s="157" t="s">
        <v>22</v>
      </c>
      <c r="I36" s="188"/>
      <c r="J36" s="806">
        <v>120</v>
      </c>
      <c r="K36" s="807">
        <v>120</v>
      </c>
      <c r="L36" s="286"/>
      <c r="M36" s="163">
        <v>2</v>
      </c>
      <c r="N36" s="166">
        <v>1398.6</v>
      </c>
      <c r="O36" s="166">
        <f>N36*M36*G36</f>
        <v>335664</v>
      </c>
      <c r="P36" s="165">
        <v>0.7</v>
      </c>
      <c r="Q36" s="186">
        <f t="shared" ref="Q36:Q50" si="0">N36*(1-P36)</f>
        <v>419.58000000000004</v>
      </c>
      <c r="R36" s="166">
        <f>Q36*M36*G36</f>
        <v>100699.20000000001</v>
      </c>
      <c r="S36" s="178">
        <f t="shared" ref="S36:S50" si="1">R36/$R$58</f>
        <v>9.1976221172144421E-2</v>
      </c>
      <c r="T36" s="168">
        <f t="shared" ref="T36:T50" si="2">R36*2</f>
        <v>201398.40000000002</v>
      </c>
      <c r="U36" s="280"/>
      <c r="V36" s="169">
        <f>T36</f>
        <v>201398.40000000002</v>
      </c>
      <c r="Y36" s="152"/>
      <c r="Z36" s="282">
        <f>T36</f>
        <v>201398.40000000002</v>
      </c>
      <c r="AA36" s="152"/>
      <c r="AB36" s="282">
        <f>T36</f>
        <v>201398.40000000002</v>
      </c>
      <c r="AC36" s="172"/>
      <c r="AD36" s="172"/>
      <c r="AE36" s="174"/>
      <c r="AF36" s="172"/>
      <c r="AG36" s="172"/>
      <c r="AH36" s="172"/>
      <c r="AI36" s="172"/>
      <c r="AJ36" s="152"/>
    </row>
    <row r="37" spans="1:36" x14ac:dyDescent="0.3">
      <c r="A37" s="157" t="s">
        <v>815</v>
      </c>
      <c r="B37" s="157" t="s">
        <v>141</v>
      </c>
      <c r="C37" s="157" t="s">
        <v>817</v>
      </c>
      <c r="D37" s="157" t="s">
        <v>434</v>
      </c>
      <c r="E37" s="157" t="s">
        <v>518</v>
      </c>
      <c r="F37" s="808" t="s">
        <v>818</v>
      </c>
      <c r="G37" s="1">
        <v>1</v>
      </c>
      <c r="H37" s="157" t="s">
        <v>22</v>
      </c>
      <c r="I37" s="474"/>
      <c r="K37" s="726">
        <v>1</v>
      </c>
      <c r="L37" s="286"/>
      <c r="M37" s="163">
        <v>1</v>
      </c>
      <c r="N37" s="473">
        <v>396000</v>
      </c>
      <c r="O37" s="166">
        <f t="shared" ref="O37:O50" si="3">N37*M37*G37</f>
        <v>396000</v>
      </c>
      <c r="P37" s="165">
        <v>0.76</v>
      </c>
      <c r="Q37" s="186">
        <f t="shared" si="0"/>
        <v>95040</v>
      </c>
      <c r="R37" s="166">
        <f t="shared" ref="R37:R50" si="4">Q37*M37*G37</f>
        <v>95040</v>
      </c>
      <c r="S37" s="167">
        <f t="shared" si="1"/>
        <v>8.6807244349514243E-2</v>
      </c>
      <c r="T37" s="168">
        <f t="shared" si="2"/>
        <v>190080</v>
      </c>
      <c r="U37" s="282">
        <f t="shared" ref="U37:U38" si="5">T37</f>
        <v>190080</v>
      </c>
      <c r="Y37" s="152"/>
      <c r="Z37" s="280"/>
      <c r="AA37" s="171">
        <f>T37</f>
        <v>190080</v>
      </c>
      <c r="AB37" s="280"/>
      <c r="AC37" s="174">
        <f>T37</f>
        <v>190080</v>
      </c>
      <c r="AD37" s="172"/>
      <c r="AE37" s="172"/>
      <c r="AF37" s="172"/>
      <c r="AG37" s="172"/>
      <c r="AH37" s="172"/>
      <c r="AI37" s="172"/>
      <c r="AJ37" s="152"/>
    </row>
    <row r="38" spans="1:36" x14ac:dyDescent="0.3">
      <c r="A38" s="157" t="s">
        <v>815</v>
      </c>
      <c r="B38" s="157" t="s">
        <v>141</v>
      </c>
      <c r="C38" s="157" t="s">
        <v>817</v>
      </c>
      <c r="D38" s="157" t="s">
        <v>435</v>
      </c>
      <c r="E38" s="157" t="s">
        <v>518</v>
      </c>
      <c r="F38" s="157" t="s">
        <v>818</v>
      </c>
      <c r="G38" s="157">
        <v>1</v>
      </c>
      <c r="H38" s="157" t="s">
        <v>22</v>
      </c>
      <c r="I38" s="474"/>
      <c r="J38" s="726">
        <v>1</v>
      </c>
      <c r="L38" s="286"/>
      <c r="M38" s="163">
        <v>1</v>
      </c>
      <c r="N38" s="166">
        <v>633000</v>
      </c>
      <c r="O38" s="166">
        <f t="shared" si="3"/>
        <v>633000</v>
      </c>
      <c r="P38" s="165">
        <v>0.76</v>
      </c>
      <c r="Q38" s="166">
        <f t="shared" si="0"/>
        <v>151920</v>
      </c>
      <c r="R38" s="166">
        <f t="shared" si="4"/>
        <v>151920</v>
      </c>
      <c r="S38" s="167">
        <f t="shared" si="1"/>
        <v>0.1387600648314205</v>
      </c>
      <c r="T38" s="168">
        <f t="shared" si="2"/>
        <v>303840</v>
      </c>
      <c r="U38" s="282">
        <f t="shared" si="5"/>
        <v>303840</v>
      </c>
      <c r="Y38" s="152"/>
      <c r="Z38" s="282"/>
      <c r="AA38" s="171">
        <f t="shared" ref="AA38:AA41" si="6">T38</f>
        <v>303840</v>
      </c>
      <c r="AB38" s="280"/>
      <c r="AC38" s="174">
        <f>T38</f>
        <v>303840</v>
      </c>
      <c r="AD38" s="174"/>
      <c r="AE38" s="174"/>
      <c r="AF38" s="172"/>
      <c r="AG38" s="172"/>
      <c r="AH38" s="172"/>
      <c r="AI38" s="172"/>
      <c r="AJ38" s="152"/>
    </row>
    <row r="39" spans="1:36" x14ac:dyDescent="0.3">
      <c r="A39" s="157" t="s">
        <v>815</v>
      </c>
      <c r="B39" s="157" t="s">
        <v>141</v>
      </c>
      <c r="C39" s="157" t="s">
        <v>819</v>
      </c>
      <c r="D39" s="157" t="s">
        <v>142</v>
      </c>
      <c r="E39" s="157" t="s">
        <v>518</v>
      </c>
      <c r="F39" s="157" t="s">
        <v>779</v>
      </c>
      <c r="G39" s="1">
        <v>25</v>
      </c>
      <c r="H39" s="157" t="s">
        <v>22</v>
      </c>
      <c r="I39" s="175">
        <v>25</v>
      </c>
      <c r="L39" s="809">
        <v>25</v>
      </c>
      <c r="M39" s="163">
        <v>2</v>
      </c>
      <c r="N39" s="166">
        <v>26400</v>
      </c>
      <c r="O39" s="166">
        <f t="shared" si="3"/>
        <v>1320000</v>
      </c>
      <c r="P39" s="165">
        <v>0.76</v>
      </c>
      <c r="Q39" s="186">
        <f t="shared" si="0"/>
        <v>6336</v>
      </c>
      <c r="R39" s="166">
        <f t="shared" si="4"/>
        <v>316800</v>
      </c>
      <c r="S39" s="167">
        <f t="shared" si="1"/>
        <v>0.2893574811650475</v>
      </c>
      <c r="T39" s="168">
        <f t="shared" si="2"/>
        <v>633600</v>
      </c>
      <c r="U39" s="280"/>
      <c r="V39" s="169">
        <f>T39</f>
        <v>633600</v>
      </c>
      <c r="Y39" s="152"/>
      <c r="Z39" s="280"/>
      <c r="AA39" s="171">
        <f t="shared" si="6"/>
        <v>633600</v>
      </c>
      <c r="AB39" s="280"/>
      <c r="AC39" s="174">
        <f>T39</f>
        <v>633600</v>
      </c>
      <c r="AD39" s="172"/>
      <c r="AE39" s="172"/>
      <c r="AF39" s="172"/>
      <c r="AG39" s="172"/>
      <c r="AH39" s="172"/>
      <c r="AI39" s="172"/>
      <c r="AJ39" s="152"/>
    </row>
    <row r="40" spans="1:36" x14ac:dyDescent="0.3">
      <c r="A40" s="157" t="s">
        <v>815</v>
      </c>
      <c r="B40" s="157" t="s">
        <v>99</v>
      </c>
      <c r="C40" s="157" t="s">
        <v>695</v>
      </c>
      <c r="D40" s="810" t="s">
        <v>820</v>
      </c>
      <c r="E40" s="157" t="s">
        <v>518</v>
      </c>
      <c r="F40" s="157">
        <v>16</v>
      </c>
      <c r="G40" s="1">
        <v>1</v>
      </c>
      <c r="H40" s="157" t="s">
        <v>22</v>
      </c>
      <c r="I40" s="175">
        <v>16</v>
      </c>
      <c r="L40" s="286"/>
      <c r="M40" s="163">
        <v>1</v>
      </c>
      <c r="N40" s="166">
        <v>67000</v>
      </c>
      <c r="O40" s="166">
        <f t="shared" si="3"/>
        <v>67000</v>
      </c>
      <c r="P40" s="173">
        <v>0.85</v>
      </c>
      <c r="Q40" s="186">
        <f t="shared" si="0"/>
        <v>10050.000000000002</v>
      </c>
      <c r="R40" s="166">
        <f t="shared" si="4"/>
        <v>10050.000000000002</v>
      </c>
      <c r="S40" s="167">
        <f t="shared" si="1"/>
        <v>9.1794276695351257E-3</v>
      </c>
      <c r="T40" s="168">
        <f t="shared" si="2"/>
        <v>20100.000000000004</v>
      </c>
      <c r="U40" s="280"/>
      <c r="V40" s="169">
        <f>T40</f>
        <v>20100.000000000004</v>
      </c>
      <c r="Y40" s="152"/>
      <c r="Z40" s="280"/>
      <c r="AA40" s="171">
        <f t="shared" si="6"/>
        <v>20100.000000000004</v>
      </c>
      <c r="AB40" s="280"/>
      <c r="AC40" s="172"/>
      <c r="AD40" s="174">
        <f>T40</f>
        <v>20100.000000000004</v>
      </c>
      <c r="AE40" s="172"/>
      <c r="AF40" s="172"/>
      <c r="AG40" s="172"/>
      <c r="AH40" s="172"/>
      <c r="AI40" s="172"/>
      <c r="AJ40" s="152"/>
    </row>
    <row r="41" spans="1:36" x14ac:dyDescent="0.3">
      <c r="A41" s="157" t="s">
        <v>815</v>
      </c>
      <c r="B41" s="157" t="s">
        <v>99</v>
      </c>
      <c r="C41" s="157" t="s">
        <v>695</v>
      </c>
      <c r="D41" s="810" t="s">
        <v>821</v>
      </c>
      <c r="E41" s="157" t="s">
        <v>518</v>
      </c>
      <c r="F41" s="157">
        <v>16</v>
      </c>
      <c r="G41" s="1">
        <v>1</v>
      </c>
      <c r="H41" s="157" t="s">
        <v>22</v>
      </c>
      <c r="I41" s="188"/>
      <c r="J41" s="1"/>
      <c r="L41" s="727">
        <v>16</v>
      </c>
      <c r="M41" s="163">
        <v>1</v>
      </c>
      <c r="N41" s="166">
        <v>189142</v>
      </c>
      <c r="O41" s="166">
        <f t="shared" si="3"/>
        <v>189142</v>
      </c>
      <c r="P41" s="173">
        <v>0.85</v>
      </c>
      <c r="Q41" s="186">
        <f t="shared" si="0"/>
        <v>28371.300000000003</v>
      </c>
      <c r="R41" s="166">
        <f t="shared" si="4"/>
        <v>28371.300000000003</v>
      </c>
      <c r="S41" s="167">
        <f t="shared" si="1"/>
        <v>2.5913661317480786E-2</v>
      </c>
      <c r="T41" s="168">
        <f t="shared" si="2"/>
        <v>56742.600000000006</v>
      </c>
      <c r="U41" s="280"/>
      <c r="V41" s="169">
        <f>T41</f>
        <v>56742.600000000006</v>
      </c>
      <c r="Y41" s="152"/>
      <c r="Z41" s="280"/>
      <c r="AA41" s="171">
        <f t="shared" si="6"/>
        <v>56742.600000000006</v>
      </c>
      <c r="AB41" s="280"/>
      <c r="AC41" s="172"/>
      <c r="AD41" s="174">
        <f>T41</f>
        <v>56742.600000000006</v>
      </c>
      <c r="AE41" s="172"/>
      <c r="AF41" s="172"/>
      <c r="AG41" s="172"/>
      <c r="AH41" s="172"/>
      <c r="AI41" s="172"/>
      <c r="AJ41" s="152"/>
    </row>
    <row r="42" spans="1:36" x14ac:dyDescent="0.3">
      <c r="A42" s="157" t="s">
        <v>815</v>
      </c>
      <c r="B42" s="157" t="s">
        <v>99</v>
      </c>
      <c r="C42" s="157" t="s">
        <v>695</v>
      </c>
      <c r="D42" s="810" t="s">
        <v>822</v>
      </c>
      <c r="E42" s="157" t="s">
        <v>520</v>
      </c>
      <c r="F42" s="157">
        <v>28</v>
      </c>
      <c r="G42" s="1">
        <v>1</v>
      </c>
      <c r="H42" s="157" t="s">
        <v>22</v>
      </c>
      <c r="I42" s="188"/>
      <c r="J42" s="811">
        <v>28</v>
      </c>
      <c r="K42" s="812"/>
      <c r="L42" s="286"/>
      <c r="M42" s="163">
        <v>1</v>
      </c>
      <c r="N42" s="166">
        <v>67000</v>
      </c>
      <c r="O42" s="166">
        <f t="shared" si="3"/>
        <v>67000</v>
      </c>
      <c r="P42" s="173">
        <v>0.85</v>
      </c>
      <c r="Q42" s="186">
        <f t="shared" si="0"/>
        <v>10050.000000000002</v>
      </c>
      <c r="R42" s="166">
        <f t="shared" si="4"/>
        <v>10050.000000000002</v>
      </c>
      <c r="S42" s="178">
        <f t="shared" si="1"/>
        <v>9.1794276695351257E-3</v>
      </c>
      <c r="T42" s="168">
        <f t="shared" si="2"/>
        <v>20100.000000000004</v>
      </c>
      <c r="U42" s="280"/>
      <c r="V42" s="169">
        <f t="shared" ref="V42:V43" si="7">T42</f>
        <v>20100.000000000004</v>
      </c>
      <c r="Y42" s="152"/>
      <c r="Z42" s="282">
        <f t="shared" ref="Z42:Z47" si="8">T42</f>
        <v>20100.000000000004</v>
      </c>
      <c r="AA42" s="152"/>
      <c r="AB42" s="280"/>
      <c r="AC42" s="172"/>
      <c r="AD42" s="174">
        <f>T42</f>
        <v>20100.000000000004</v>
      </c>
      <c r="AE42" s="172"/>
      <c r="AF42" s="172"/>
      <c r="AG42" s="172"/>
      <c r="AH42" s="172"/>
      <c r="AI42" s="172"/>
      <c r="AJ42" s="152"/>
    </row>
    <row r="43" spans="1:36" x14ac:dyDescent="0.3">
      <c r="A43" s="157" t="s">
        <v>815</v>
      </c>
      <c r="B43" s="157" t="s">
        <v>99</v>
      </c>
      <c r="C43" s="157" t="s">
        <v>695</v>
      </c>
      <c r="D43" s="810" t="s">
        <v>439</v>
      </c>
      <c r="E43" s="157" t="s">
        <v>520</v>
      </c>
      <c r="F43" s="157">
        <v>100</v>
      </c>
      <c r="G43" s="1">
        <v>100</v>
      </c>
      <c r="H43" s="157" t="s">
        <v>22</v>
      </c>
      <c r="I43" s="188"/>
      <c r="J43" s="813"/>
      <c r="K43" s="839">
        <v>100</v>
      </c>
      <c r="L43" s="286"/>
      <c r="M43" s="163">
        <v>1</v>
      </c>
      <c r="N43" s="166">
        <v>4427</v>
      </c>
      <c r="O43" s="166">
        <f t="shared" si="3"/>
        <v>442700</v>
      </c>
      <c r="P43" s="173">
        <v>0.85</v>
      </c>
      <c r="Q43" s="186">
        <f t="shared" si="0"/>
        <v>664.05000000000007</v>
      </c>
      <c r="R43" s="166">
        <f t="shared" si="4"/>
        <v>66405</v>
      </c>
      <c r="S43" s="178">
        <f t="shared" si="1"/>
        <v>6.0652725810495509E-2</v>
      </c>
      <c r="T43" s="168">
        <f t="shared" si="2"/>
        <v>132810</v>
      </c>
      <c r="U43" s="280"/>
      <c r="V43" s="169">
        <f t="shared" si="7"/>
        <v>132810</v>
      </c>
      <c r="Y43" s="152"/>
      <c r="Z43" s="282">
        <f t="shared" si="8"/>
        <v>132810</v>
      </c>
      <c r="AA43" s="152"/>
      <c r="AB43" s="280"/>
      <c r="AC43" s="172"/>
      <c r="AD43" s="174">
        <f>T43</f>
        <v>132810</v>
      </c>
      <c r="AE43" s="172"/>
      <c r="AF43" s="172"/>
      <c r="AG43" s="172"/>
      <c r="AH43" s="172"/>
      <c r="AI43" s="172"/>
      <c r="AJ43" s="152"/>
    </row>
    <row r="44" spans="1:36" x14ac:dyDescent="0.3">
      <c r="A44" s="157" t="s">
        <v>815</v>
      </c>
      <c r="B44" s="157" t="s">
        <v>440</v>
      </c>
      <c r="C44" s="157" t="s">
        <v>696</v>
      </c>
      <c r="D44" s="814" t="s">
        <v>441</v>
      </c>
      <c r="E44" s="157" t="s">
        <v>520</v>
      </c>
      <c r="F44" s="157" t="s">
        <v>823</v>
      </c>
      <c r="G44" s="1">
        <v>23</v>
      </c>
      <c r="H44" s="157" t="s">
        <v>63</v>
      </c>
      <c r="I44" s="159">
        <v>23</v>
      </c>
      <c r="J44" s="161"/>
      <c r="L44" s="286"/>
      <c r="M44" s="163">
        <v>1</v>
      </c>
      <c r="N44" s="166">
        <v>2300</v>
      </c>
      <c r="O44" s="166">
        <f t="shared" si="3"/>
        <v>52900</v>
      </c>
      <c r="P44" s="173">
        <v>0.5</v>
      </c>
      <c r="Q44" s="186">
        <f t="shared" si="0"/>
        <v>1150</v>
      </c>
      <c r="R44" s="166">
        <f t="shared" si="4"/>
        <v>26450</v>
      </c>
      <c r="S44" s="178">
        <f t="shared" si="1"/>
        <v>2.4158792224796419E-2</v>
      </c>
      <c r="T44" s="168">
        <f t="shared" si="2"/>
        <v>52900</v>
      </c>
      <c r="U44" s="282">
        <f>T44</f>
        <v>52900</v>
      </c>
      <c r="Y44" s="152"/>
      <c r="Z44" s="282">
        <f t="shared" si="8"/>
        <v>52900</v>
      </c>
      <c r="AA44" s="152"/>
      <c r="AB44" s="280"/>
      <c r="AC44" s="172"/>
      <c r="AD44" s="172"/>
      <c r="AE44" s="174">
        <f>T44</f>
        <v>52900</v>
      </c>
      <c r="AF44" s="172"/>
      <c r="AG44" s="172"/>
      <c r="AH44" s="172"/>
      <c r="AI44" s="172"/>
      <c r="AJ44" s="152"/>
    </row>
    <row r="45" spans="1:36" x14ac:dyDescent="0.3">
      <c r="A45" s="157" t="s">
        <v>815</v>
      </c>
      <c r="B45" s="157" t="s">
        <v>440</v>
      </c>
      <c r="C45" s="157" t="s">
        <v>696</v>
      </c>
      <c r="D45" s="157" t="s">
        <v>442</v>
      </c>
      <c r="E45" s="157" t="s">
        <v>520</v>
      </c>
      <c r="F45" s="157" t="s">
        <v>823</v>
      </c>
      <c r="G45" s="1">
        <v>23</v>
      </c>
      <c r="H45" s="157" t="s">
        <v>63</v>
      </c>
      <c r="I45" s="175">
        <v>23</v>
      </c>
      <c r="J45" s="176"/>
      <c r="L45" s="162"/>
      <c r="M45" s="163">
        <v>1</v>
      </c>
      <c r="N45" s="166">
        <v>2300</v>
      </c>
      <c r="O45" s="166">
        <f t="shared" si="3"/>
        <v>52900</v>
      </c>
      <c r="P45" s="173">
        <v>0.5</v>
      </c>
      <c r="Q45" s="186">
        <f t="shared" si="0"/>
        <v>1150</v>
      </c>
      <c r="R45" s="166">
        <f t="shared" si="4"/>
        <v>26450</v>
      </c>
      <c r="S45" s="178">
        <f t="shared" si="1"/>
        <v>2.4158792224796419E-2</v>
      </c>
      <c r="T45" s="168">
        <f t="shared" si="2"/>
        <v>52900</v>
      </c>
      <c r="U45" s="282">
        <f>T45</f>
        <v>52900</v>
      </c>
      <c r="Y45" s="152"/>
      <c r="Z45" s="282">
        <f t="shared" si="8"/>
        <v>52900</v>
      </c>
      <c r="AA45" s="152"/>
      <c r="AB45" s="280"/>
      <c r="AC45" s="172"/>
      <c r="AD45" s="172"/>
      <c r="AE45" s="174">
        <f>T45</f>
        <v>52900</v>
      </c>
      <c r="AF45" s="172"/>
      <c r="AG45" s="172"/>
      <c r="AH45" s="172"/>
      <c r="AI45" s="172"/>
      <c r="AJ45" s="152"/>
    </row>
    <row r="46" spans="1:36" x14ac:dyDescent="0.3">
      <c r="A46" s="157" t="s">
        <v>815</v>
      </c>
      <c r="B46" s="157" t="s">
        <v>443</v>
      </c>
      <c r="C46" s="157" t="s">
        <v>817</v>
      </c>
      <c r="D46" s="157" t="s">
        <v>26</v>
      </c>
      <c r="E46" s="157" t="s">
        <v>520</v>
      </c>
      <c r="F46" s="808" t="s">
        <v>824</v>
      </c>
      <c r="G46" s="1">
        <v>8</v>
      </c>
      <c r="H46" s="157" t="s">
        <v>24</v>
      </c>
      <c r="I46" s="175">
        <v>8</v>
      </c>
      <c r="J46" s="176"/>
      <c r="K46" s="176"/>
      <c r="L46" s="177"/>
      <c r="M46" s="163">
        <v>1</v>
      </c>
      <c r="N46" s="166">
        <v>8500</v>
      </c>
      <c r="O46" s="166">
        <f t="shared" si="3"/>
        <v>68000</v>
      </c>
      <c r="P46" s="173">
        <v>0.35</v>
      </c>
      <c r="Q46" s="186">
        <f t="shared" si="0"/>
        <v>5525</v>
      </c>
      <c r="R46" s="166">
        <f t="shared" si="4"/>
        <v>44200</v>
      </c>
      <c r="S46" s="178">
        <f t="shared" si="1"/>
        <v>4.0371214228204229E-2</v>
      </c>
      <c r="T46" s="168">
        <f t="shared" si="2"/>
        <v>88400</v>
      </c>
      <c r="U46" s="282">
        <f>T46</f>
        <v>88400</v>
      </c>
      <c r="Y46" s="152"/>
      <c r="Z46" s="282">
        <f t="shared" si="8"/>
        <v>88400</v>
      </c>
      <c r="AA46" s="152"/>
      <c r="AB46" s="280"/>
      <c r="AC46" s="172"/>
      <c r="AD46" s="172"/>
      <c r="AE46" s="172"/>
      <c r="AF46" s="174">
        <f>T46</f>
        <v>88400</v>
      </c>
      <c r="AG46" s="172"/>
      <c r="AH46" s="172"/>
      <c r="AI46" s="172"/>
      <c r="AJ46" s="152"/>
    </row>
    <row r="47" spans="1:36" x14ac:dyDescent="0.3">
      <c r="A47" s="157" t="s">
        <v>815</v>
      </c>
      <c r="B47" s="157" t="s">
        <v>444</v>
      </c>
      <c r="C47" s="157" t="s">
        <v>817</v>
      </c>
      <c r="D47" s="157" t="s">
        <v>445</v>
      </c>
      <c r="E47" s="157" t="s">
        <v>524</v>
      </c>
      <c r="F47" s="157" t="s">
        <v>818</v>
      </c>
      <c r="G47" s="1">
        <v>1</v>
      </c>
      <c r="H47" s="157" t="s">
        <v>24</v>
      </c>
      <c r="I47" s="175">
        <v>1</v>
      </c>
      <c r="J47" s="688"/>
      <c r="K47" s="773">
        <v>1</v>
      </c>
      <c r="L47" s="177"/>
      <c r="M47" s="163">
        <v>2</v>
      </c>
      <c r="N47" s="166">
        <v>65200</v>
      </c>
      <c r="O47" s="166">
        <f t="shared" si="3"/>
        <v>130400</v>
      </c>
      <c r="P47" s="173">
        <v>0.49</v>
      </c>
      <c r="Q47" s="186">
        <f t="shared" si="0"/>
        <v>33252</v>
      </c>
      <c r="R47" s="166">
        <f t="shared" si="4"/>
        <v>66504</v>
      </c>
      <c r="S47" s="178">
        <f t="shared" si="1"/>
        <v>6.0743150023359588E-2</v>
      </c>
      <c r="T47" s="168">
        <f t="shared" si="2"/>
        <v>133008</v>
      </c>
      <c r="U47" s="282">
        <f>T47</f>
        <v>133008</v>
      </c>
      <c r="Y47" s="152"/>
      <c r="Z47" s="282">
        <f t="shared" si="8"/>
        <v>133008</v>
      </c>
      <c r="AA47" s="152"/>
      <c r="AB47" s="280"/>
      <c r="AC47" s="172"/>
      <c r="AD47" s="172"/>
      <c r="AE47" s="172"/>
      <c r="AF47" s="172"/>
      <c r="AG47" s="174">
        <f>T47</f>
        <v>133008</v>
      </c>
      <c r="AH47" s="172"/>
      <c r="AI47" s="172"/>
      <c r="AJ47" s="152"/>
    </row>
    <row r="48" spans="1:36" x14ac:dyDescent="0.3">
      <c r="A48" s="157" t="s">
        <v>815</v>
      </c>
      <c r="B48" s="157" t="s">
        <v>158</v>
      </c>
      <c r="C48" s="157" t="s">
        <v>695</v>
      </c>
      <c r="D48" s="157" t="s">
        <v>446</v>
      </c>
      <c r="E48" s="157" t="s">
        <v>518</v>
      </c>
      <c r="F48" s="157">
        <v>88</v>
      </c>
      <c r="G48" s="1">
        <v>1</v>
      </c>
      <c r="H48" s="157" t="s">
        <v>22</v>
      </c>
      <c r="I48" s="188"/>
      <c r="J48" s="813"/>
      <c r="K48" s="176">
        <v>88</v>
      </c>
      <c r="L48" s="286"/>
      <c r="M48" s="157">
        <v>1</v>
      </c>
      <c r="N48" s="166">
        <v>338800</v>
      </c>
      <c r="O48" s="166">
        <f t="shared" si="3"/>
        <v>338800</v>
      </c>
      <c r="P48" s="815">
        <v>0.75</v>
      </c>
      <c r="Q48" s="186">
        <f t="shared" si="0"/>
        <v>84700</v>
      </c>
      <c r="R48" s="166">
        <f t="shared" si="4"/>
        <v>84700</v>
      </c>
      <c r="S48" s="167">
        <f t="shared" si="1"/>
        <v>7.7362937672599497E-2</v>
      </c>
      <c r="T48" s="168">
        <f t="shared" si="2"/>
        <v>169400</v>
      </c>
      <c r="U48" s="280"/>
      <c r="V48" s="169">
        <f>T48</f>
        <v>169400</v>
      </c>
      <c r="Y48" s="152"/>
      <c r="Z48" s="280"/>
      <c r="AA48" s="171">
        <f t="shared" ref="AA48:AA50" si="9">T48</f>
        <v>169400</v>
      </c>
      <c r="AB48" s="280"/>
      <c r="AC48" s="172"/>
      <c r="AD48" s="172"/>
      <c r="AE48" s="172"/>
      <c r="AF48" s="172"/>
      <c r="AG48" s="172"/>
      <c r="AH48" s="174">
        <f>T48</f>
        <v>169400</v>
      </c>
      <c r="AI48" s="172"/>
      <c r="AJ48" s="152"/>
    </row>
    <row r="49" spans="1:36" x14ac:dyDescent="0.3">
      <c r="A49" s="157" t="s">
        <v>815</v>
      </c>
      <c r="B49" s="157" t="s">
        <v>108</v>
      </c>
      <c r="C49" s="157" t="s">
        <v>696</v>
      </c>
      <c r="D49" s="157" t="s">
        <v>448</v>
      </c>
      <c r="E49" s="157" t="s">
        <v>518</v>
      </c>
      <c r="F49" s="808" t="s">
        <v>825</v>
      </c>
      <c r="G49" s="1">
        <v>1</v>
      </c>
      <c r="H49" s="157" t="s">
        <v>63</v>
      </c>
      <c r="I49" s="159">
        <v>1</v>
      </c>
      <c r="J49" s="806"/>
      <c r="K49" s="161">
        <v>1</v>
      </c>
      <c r="L49" s="2209"/>
      <c r="M49" s="157">
        <v>2</v>
      </c>
      <c r="N49" s="166">
        <v>12000</v>
      </c>
      <c r="O49" s="166">
        <f t="shared" si="3"/>
        <v>24000</v>
      </c>
      <c r="P49" s="173">
        <v>0.3</v>
      </c>
      <c r="Q49" s="186">
        <f t="shared" si="0"/>
        <v>8400</v>
      </c>
      <c r="R49" s="166">
        <f t="shared" si="4"/>
        <v>16800</v>
      </c>
      <c r="S49" s="167">
        <f t="shared" si="1"/>
        <v>1.5344714910267669E-2</v>
      </c>
      <c r="T49" s="168">
        <f t="shared" si="2"/>
        <v>33600</v>
      </c>
      <c r="U49" s="282">
        <f>T49</f>
        <v>33600</v>
      </c>
      <c r="Y49" s="152"/>
      <c r="Z49" s="280"/>
      <c r="AA49" s="171">
        <f t="shared" si="9"/>
        <v>33600</v>
      </c>
      <c r="AB49" s="280"/>
      <c r="AC49" s="172"/>
      <c r="AD49" s="172"/>
      <c r="AE49" s="172"/>
      <c r="AF49" s="172"/>
      <c r="AG49" s="172"/>
      <c r="AH49" s="172"/>
      <c r="AI49" s="174">
        <f>T49</f>
        <v>33600</v>
      </c>
      <c r="AJ49" s="152"/>
    </row>
    <row r="50" spans="1:36" x14ac:dyDescent="0.3">
      <c r="A50" s="157" t="s">
        <v>815</v>
      </c>
      <c r="B50" s="157" t="s">
        <v>108</v>
      </c>
      <c r="C50" s="157" t="s">
        <v>696</v>
      </c>
      <c r="D50" s="157" t="s">
        <v>449</v>
      </c>
      <c r="E50" s="157" t="s">
        <v>518</v>
      </c>
      <c r="F50" s="808" t="s">
        <v>825</v>
      </c>
      <c r="G50" s="1">
        <v>1</v>
      </c>
      <c r="H50" s="157" t="s">
        <v>63</v>
      </c>
      <c r="I50" s="159">
        <v>1</v>
      </c>
      <c r="J50" s="806"/>
      <c r="K50" s="161">
        <v>1</v>
      </c>
      <c r="L50" s="2209"/>
      <c r="M50" s="157">
        <v>2</v>
      </c>
      <c r="N50" s="166">
        <v>36000</v>
      </c>
      <c r="O50" s="166">
        <f t="shared" si="3"/>
        <v>72000</v>
      </c>
      <c r="P50" s="173">
        <v>0.3</v>
      </c>
      <c r="Q50" s="186">
        <f t="shared" si="0"/>
        <v>25200</v>
      </c>
      <c r="R50" s="166">
        <f t="shared" si="4"/>
        <v>50400</v>
      </c>
      <c r="S50" s="167">
        <f t="shared" si="1"/>
        <v>4.6034144730803007E-2</v>
      </c>
      <c r="T50" s="168">
        <f t="shared" si="2"/>
        <v>100800</v>
      </c>
      <c r="U50" s="282">
        <f>T50</f>
        <v>100800</v>
      </c>
      <c r="Y50" s="152"/>
      <c r="Z50" s="280"/>
      <c r="AA50" s="171">
        <f t="shared" si="9"/>
        <v>100800</v>
      </c>
      <c r="AB50" s="280"/>
      <c r="AC50" s="172"/>
      <c r="AD50" s="172"/>
      <c r="AE50" s="172"/>
      <c r="AF50" s="172"/>
      <c r="AG50" s="172"/>
      <c r="AH50" s="172"/>
      <c r="AI50" s="174">
        <f>T50</f>
        <v>100800</v>
      </c>
      <c r="AJ50" s="152"/>
    </row>
    <row r="51" spans="1:36" x14ac:dyDescent="0.3">
      <c r="A51" s="157"/>
      <c r="B51" s="157"/>
      <c r="C51" s="157"/>
      <c r="D51" s="157"/>
      <c r="E51" s="157"/>
      <c r="F51" s="158"/>
      <c r="G51" s="157"/>
      <c r="H51" s="157"/>
      <c r="L51" s="286"/>
      <c r="M51" s="157"/>
      <c r="N51" s="166"/>
      <c r="O51" s="166"/>
      <c r="P51" s="173"/>
      <c r="Q51" s="166"/>
      <c r="R51" s="166"/>
      <c r="S51" s="6"/>
      <c r="T51" s="168"/>
      <c r="U51" s="280"/>
      <c r="X51" s="169"/>
      <c r="Y51" s="152"/>
      <c r="Z51" s="280"/>
      <c r="AA51" s="152"/>
      <c r="AB51" s="280"/>
      <c r="AC51" s="172"/>
      <c r="AD51" s="172"/>
      <c r="AE51" s="172"/>
      <c r="AF51" s="172"/>
      <c r="AG51" s="172"/>
      <c r="AH51" s="172"/>
      <c r="AI51" s="172"/>
      <c r="AJ51" s="152"/>
    </row>
    <row r="52" spans="1:36" x14ac:dyDescent="0.3">
      <c r="A52" s="157"/>
      <c r="B52" s="157"/>
      <c r="C52" s="157"/>
      <c r="D52" s="157"/>
      <c r="E52" s="157"/>
      <c r="F52" s="158"/>
      <c r="G52" s="157"/>
      <c r="H52" s="157"/>
      <c r="L52" s="286"/>
      <c r="M52" s="157"/>
      <c r="N52" s="166"/>
      <c r="O52" s="166"/>
      <c r="P52" s="173"/>
      <c r="Q52" s="166"/>
      <c r="R52" s="166"/>
      <c r="S52" s="6"/>
      <c r="T52" s="168"/>
      <c r="U52" s="280"/>
      <c r="X52" s="169"/>
      <c r="Y52" s="152"/>
      <c r="Z52" s="280"/>
      <c r="AA52" s="152"/>
      <c r="AB52" s="280"/>
      <c r="AC52" s="172"/>
      <c r="AD52" s="172"/>
      <c r="AE52" s="172"/>
      <c r="AF52" s="172"/>
      <c r="AG52" s="172"/>
      <c r="AH52" s="172"/>
      <c r="AI52" s="172"/>
      <c r="AJ52" s="152"/>
    </row>
    <row r="53" spans="1:36" x14ac:dyDescent="0.3">
      <c r="A53" s="157"/>
      <c r="B53" s="157"/>
      <c r="C53" s="157"/>
      <c r="D53" s="157"/>
      <c r="E53" s="157"/>
      <c r="F53" s="158"/>
      <c r="G53" s="157"/>
      <c r="H53" s="157"/>
      <c r="L53" s="286"/>
      <c r="M53" s="157"/>
      <c r="N53" s="166"/>
      <c r="O53" s="166"/>
      <c r="P53" s="173"/>
      <c r="Q53" s="166"/>
      <c r="R53" s="166"/>
      <c r="S53" s="6"/>
      <c r="T53" s="168"/>
      <c r="U53" s="280"/>
      <c r="X53" s="169"/>
      <c r="Y53" s="152"/>
      <c r="Z53" s="280"/>
      <c r="AA53" s="152"/>
      <c r="AB53" s="280"/>
      <c r="AC53" s="172"/>
      <c r="AD53" s="172"/>
      <c r="AE53" s="172"/>
      <c r="AF53" s="172"/>
      <c r="AG53" s="172"/>
      <c r="AH53" s="172"/>
      <c r="AI53" s="172"/>
      <c r="AJ53" s="152"/>
    </row>
    <row r="54" spans="1:36" x14ac:dyDescent="0.3">
      <c r="A54" s="157"/>
      <c r="B54" s="157"/>
      <c r="C54" s="157"/>
      <c r="D54" s="157"/>
      <c r="E54" s="157"/>
      <c r="F54" s="158"/>
      <c r="G54" s="157"/>
      <c r="H54" s="157"/>
      <c r="L54" s="286"/>
      <c r="M54" s="157"/>
      <c r="N54" s="166"/>
      <c r="O54" s="166"/>
      <c r="P54" s="173"/>
      <c r="Q54" s="166"/>
      <c r="R54" s="166"/>
      <c r="S54" s="6"/>
      <c r="T54" s="168"/>
      <c r="U54" s="280"/>
      <c r="X54" s="169"/>
      <c r="Y54" s="152"/>
      <c r="Z54" s="280"/>
      <c r="AA54" s="152"/>
      <c r="AB54" s="280"/>
      <c r="AC54" s="172"/>
      <c r="AD54" s="172"/>
      <c r="AE54" s="172"/>
      <c r="AF54" s="172"/>
      <c r="AG54" s="172"/>
      <c r="AH54" s="172"/>
      <c r="AI54" s="172"/>
      <c r="AJ54" s="152"/>
    </row>
    <row r="55" spans="1:36" x14ac:dyDescent="0.3">
      <c r="A55" s="108" t="s">
        <v>815</v>
      </c>
      <c r="B55" s="108" t="s">
        <v>528</v>
      </c>
      <c r="C55" s="108"/>
      <c r="D55" s="108"/>
      <c r="E55" s="108"/>
      <c r="F55" s="479"/>
      <c r="G55" s="108"/>
      <c r="H55" s="108"/>
      <c r="I55" s="254"/>
      <c r="J55" s="254"/>
      <c r="K55" s="254"/>
      <c r="L55" s="736"/>
      <c r="M55" s="108"/>
      <c r="N55" s="257"/>
      <c r="O55" s="257"/>
      <c r="P55" s="109"/>
      <c r="Q55" s="257"/>
      <c r="R55" s="257"/>
      <c r="S55" s="256">
        <f>R55/R58</f>
        <v>0</v>
      </c>
      <c r="T55" s="168">
        <f t="shared" ref="T55:T56" si="10">R55*2</f>
        <v>0</v>
      </c>
      <c r="U55" s="280"/>
      <c r="X55" s="169">
        <f>T55</f>
        <v>0</v>
      </c>
      <c r="Y55" s="152"/>
      <c r="Z55" s="280"/>
      <c r="AA55" s="152"/>
      <c r="AB55" s="280"/>
      <c r="AC55" s="172"/>
      <c r="AD55" s="172"/>
      <c r="AE55" s="172"/>
      <c r="AF55" s="172"/>
      <c r="AG55" s="172"/>
      <c r="AH55" s="172"/>
      <c r="AI55" s="172"/>
      <c r="AJ55" s="152"/>
    </row>
    <row r="56" spans="1:36" x14ac:dyDescent="0.3">
      <c r="A56" s="190" t="s">
        <v>815</v>
      </c>
      <c r="B56" s="190" t="s">
        <v>529</v>
      </c>
      <c r="C56" s="190"/>
      <c r="D56" s="190"/>
      <c r="E56" s="190"/>
      <c r="F56" s="191"/>
      <c r="G56" s="190"/>
      <c r="H56" s="190"/>
      <c r="I56" s="245"/>
      <c r="J56" s="245"/>
      <c r="K56" s="245"/>
      <c r="L56" s="287"/>
      <c r="M56" s="190"/>
      <c r="N56" s="194"/>
      <c r="O56" s="194"/>
      <c r="P56" s="195"/>
      <c r="Q56" s="194"/>
      <c r="R56" s="194"/>
      <c r="S56" s="196">
        <f>R56/R58</f>
        <v>0</v>
      </c>
      <c r="T56" s="168">
        <f t="shared" si="10"/>
        <v>0</v>
      </c>
      <c r="U56" s="280"/>
      <c r="Y56" s="171">
        <f>T56</f>
        <v>0</v>
      </c>
      <c r="Z56" s="280"/>
      <c r="AA56" s="152"/>
      <c r="AB56" s="280"/>
      <c r="AC56" s="172"/>
      <c r="AD56" s="172"/>
      <c r="AE56" s="172"/>
      <c r="AF56" s="172"/>
      <c r="AG56" s="172"/>
      <c r="AH56" s="172"/>
      <c r="AI56" s="172"/>
      <c r="AJ56" s="152"/>
    </row>
    <row r="57" spans="1:36" x14ac:dyDescent="0.3">
      <c r="A57" s="286"/>
      <c r="B57" s="157"/>
      <c r="C57" s="157"/>
      <c r="D57" s="157"/>
      <c r="E57" s="157"/>
      <c r="F57" s="158"/>
      <c r="G57" s="157"/>
      <c r="H57" s="157"/>
      <c r="L57" s="286"/>
      <c r="M57" s="157"/>
      <c r="N57" s="166"/>
      <c r="O57" s="166"/>
      <c r="P57" s="173"/>
      <c r="Q57" s="166"/>
      <c r="R57" s="166"/>
      <c r="T57" s="645"/>
      <c r="U57" s="280"/>
      <c r="Y57" s="152"/>
      <c r="Z57" s="280"/>
      <c r="AA57" s="567"/>
      <c r="AB57" s="566"/>
      <c r="AC57" s="738"/>
      <c r="AD57" s="738"/>
      <c r="AE57" s="738"/>
      <c r="AF57" s="738"/>
      <c r="AG57" s="738"/>
      <c r="AH57" s="738"/>
      <c r="AI57" s="738"/>
      <c r="AJ57" s="567"/>
    </row>
    <row r="58" spans="1:36" x14ac:dyDescent="0.3">
      <c r="A58" s="212" t="s">
        <v>531</v>
      </c>
      <c r="B58" s="213"/>
      <c r="C58" s="213"/>
      <c r="D58" s="213"/>
      <c r="E58" s="213"/>
      <c r="F58" s="214"/>
      <c r="G58" s="213"/>
      <c r="H58" s="213"/>
      <c r="I58" s="213">
        <f>+I44+I45+I46+I47+I49+I50+I40</f>
        <v>73</v>
      </c>
      <c r="J58" s="213">
        <f>J36+J38+J42</f>
        <v>149</v>
      </c>
      <c r="K58" s="213">
        <f>K50+K49+K48+K47+K43+K37+K36</f>
        <v>312</v>
      </c>
      <c r="L58" s="213">
        <f>L41+L39</f>
        <v>41</v>
      </c>
      <c r="M58" s="213">
        <f>SUM(I58:L58)</f>
        <v>575</v>
      </c>
      <c r="N58" s="215"/>
      <c r="O58" s="215">
        <f>SUM(O36:O57)</f>
        <v>4189506</v>
      </c>
      <c r="P58" s="216">
        <f>1-R58/O58</f>
        <v>0.73867097934696835</v>
      </c>
      <c r="Q58" s="215"/>
      <c r="R58" s="481">
        <f>SUM(R35:R57)</f>
        <v>1094839.5</v>
      </c>
      <c r="S58" s="218">
        <f>SUM(S35:S56)</f>
        <v>1</v>
      </c>
      <c r="T58" s="610">
        <f>SUM(T35:T57)</f>
        <v>2189679</v>
      </c>
      <c r="U58" s="569">
        <f>SUM(U34:U57)</f>
        <v>955528</v>
      </c>
      <c r="V58" s="570">
        <f t="shared" ref="V58:AA58" si="11">SUM(V35:V56)</f>
        <v>1234151</v>
      </c>
      <c r="W58" s="570">
        <f t="shared" si="11"/>
        <v>0</v>
      </c>
      <c r="X58" s="570">
        <f t="shared" si="11"/>
        <v>0</v>
      </c>
      <c r="Y58" s="571">
        <f t="shared" si="11"/>
        <v>0</v>
      </c>
      <c r="Z58" s="572">
        <f t="shared" si="11"/>
        <v>681516.4</v>
      </c>
      <c r="AA58" s="223">
        <f t="shared" si="11"/>
        <v>1508162.6</v>
      </c>
      <c r="AB58" s="220">
        <f>SUM(AB36:AB57)</f>
        <v>201398.40000000002</v>
      </c>
      <c r="AC58" s="816">
        <f>SUM(AC34:AC57)</f>
        <v>1127520</v>
      </c>
      <c r="AD58" s="816">
        <f t="shared" ref="AD58:AI58" si="12">SUM(AD34:AD57)</f>
        <v>229752.6</v>
      </c>
      <c r="AE58" s="816">
        <f t="shared" si="12"/>
        <v>105800</v>
      </c>
      <c r="AF58" s="816">
        <f t="shared" si="12"/>
        <v>88400</v>
      </c>
      <c r="AG58" s="816">
        <f t="shared" si="12"/>
        <v>133008</v>
      </c>
      <c r="AH58" s="816">
        <f t="shared" si="12"/>
        <v>169400</v>
      </c>
      <c r="AI58" s="816">
        <f t="shared" si="12"/>
        <v>134400</v>
      </c>
      <c r="AJ58" s="223"/>
    </row>
    <row r="59" spans="1:36" x14ac:dyDescent="0.3">
      <c r="A59" s="228" t="s">
        <v>532</v>
      </c>
      <c r="B59" s="229"/>
      <c r="C59" s="229"/>
      <c r="D59" s="229"/>
      <c r="E59" s="229"/>
      <c r="F59" s="230"/>
      <c r="G59" s="229"/>
      <c r="H59" s="229"/>
      <c r="I59" s="229">
        <f>I39+I40+I44+I45+I46+I47+I49+I50</f>
        <v>98</v>
      </c>
      <c r="J59" s="229">
        <f>J36+J38+J42+I44+I45+I46+I47+I49+I50</f>
        <v>206</v>
      </c>
      <c r="K59" s="229">
        <f>K36+K37+L39+L41+K43+I46+K47+K48+K49+K50</f>
        <v>361</v>
      </c>
      <c r="L59" s="229">
        <f>I46+K47+K49+K50+L41+L39</f>
        <v>52</v>
      </c>
      <c r="M59" s="229">
        <f>SUM(I59:L59)</f>
        <v>717</v>
      </c>
      <c r="N59" s="231"/>
      <c r="O59" s="231"/>
      <c r="P59" s="232"/>
      <c r="Q59" s="231"/>
      <c r="R59" s="231"/>
      <c r="S59" s="233"/>
      <c r="T59" s="234"/>
      <c r="U59" s="235">
        <f>U58/T58</f>
        <v>0.43637811752316208</v>
      </c>
      <c r="V59" s="236">
        <f>V58/T58</f>
        <v>0.56362188247683798</v>
      </c>
      <c r="W59" s="236">
        <f>W58/T58</f>
        <v>0</v>
      </c>
      <c r="X59" s="236">
        <f>X58/T58</f>
        <v>0</v>
      </c>
      <c r="Y59" s="297">
        <f>Y58/T58</f>
        <v>0</v>
      </c>
      <c r="Z59" s="298">
        <f>Z58/T58</f>
        <v>0.31124032335333168</v>
      </c>
      <c r="AA59" s="297">
        <f>AA58/T58</f>
        <v>0.68875967664666837</v>
      </c>
      <c r="AB59" s="573"/>
      <c r="AC59" s="241"/>
      <c r="AD59" s="241"/>
      <c r="AE59" s="241"/>
      <c r="AF59" s="241"/>
      <c r="AG59" s="241"/>
      <c r="AH59" s="241"/>
      <c r="AI59" s="241"/>
      <c r="AJ59" s="242"/>
    </row>
    <row r="60" spans="1:36" x14ac:dyDescent="0.3">
      <c r="A60" s="243" t="s">
        <v>533</v>
      </c>
      <c r="B60" s="193"/>
      <c r="C60" s="193"/>
      <c r="D60" s="193"/>
      <c r="E60" s="193"/>
      <c r="F60" s="244"/>
      <c r="G60" s="193"/>
      <c r="H60" s="193"/>
      <c r="I60" s="245"/>
      <c r="J60" s="245"/>
      <c r="K60" s="245"/>
      <c r="L60" s="245"/>
      <c r="M60" s="193"/>
      <c r="N60" s="246"/>
      <c r="O60" s="246"/>
      <c r="P60" s="196"/>
      <c r="Q60" s="246"/>
      <c r="R60" s="194">
        <f>U58/2</f>
        <v>477764</v>
      </c>
      <c r="S60" s="247">
        <f>R60/R65</f>
        <v>0.43637811752316208</v>
      </c>
      <c r="Y60" s="248"/>
      <c r="Z60" s="357">
        <f>J36+K36+J42+K43+I44+I45+I46+I47+K47</f>
        <v>424</v>
      </c>
      <c r="AA60" s="358">
        <f>K37+J38+I39+L39+I40+L41+K48+I49+K49+I50+K50</f>
        <v>176</v>
      </c>
      <c r="AB60" s="143"/>
      <c r="AC60" s="143"/>
      <c r="AD60" s="143"/>
      <c r="AE60" s="143"/>
      <c r="AF60" s="143"/>
    </row>
    <row r="61" spans="1:36" x14ac:dyDescent="0.3">
      <c r="A61" s="251" t="s">
        <v>11</v>
      </c>
      <c r="B61" s="252"/>
      <c r="C61" s="252"/>
      <c r="D61" s="252"/>
      <c r="E61" s="252"/>
      <c r="F61" s="253"/>
      <c r="G61" s="252"/>
      <c r="H61" s="252"/>
      <c r="I61" s="254"/>
      <c r="J61" s="254"/>
      <c r="K61" s="254"/>
      <c r="L61" s="254"/>
      <c r="M61" s="252"/>
      <c r="N61" s="255"/>
      <c r="O61" s="255"/>
      <c r="P61" s="256"/>
      <c r="Q61" s="255"/>
      <c r="R61" s="257">
        <f>V58/2</f>
        <v>617075.5</v>
      </c>
      <c r="S61" s="262">
        <f>R61/R65</f>
        <v>0.56362188247683798</v>
      </c>
      <c r="T61" s="574">
        <f>R58/M58</f>
        <v>1904.0686956521738</v>
      </c>
      <c r="U61" s="489" t="s">
        <v>535</v>
      </c>
      <c r="Z61" s="195">
        <f>Z60/M58</f>
        <v>0.73739130434782607</v>
      </c>
      <c r="AA61" s="247">
        <f>AA60/M58</f>
        <v>0.30608695652173912</v>
      </c>
    </row>
    <row r="62" spans="1:36" x14ac:dyDescent="0.3">
      <c r="A62" s="251" t="s">
        <v>536</v>
      </c>
      <c r="B62" s="252"/>
      <c r="C62" s="252"/>
      <c r="D62" s="252"/>
      <c r="E62" s="252"/>
      <c r="F62" s="253"/>
      <c r="G62" s="252"/>
      <c r="H62" s="252"/>
      <c r="I62" s="254"/>
      <c r="J62" s="254"/>
      <c r="K62" s="254"/>
      <c r="L62" s="254"/>
      <c r="M62" s="252"/>
      <c r="N62" s="255"/>
      <c r="O62" s="255"/>
      <c r="P62" s="256"/>
      <c r="Q62" s="255"/>
      <c r="R62" s="257"/>
      <c r="S62" s="262">
        <f>R62/R65</f>
        <v>0</v>
      </c>
      <c r="X62" s="99"/>
      <c r="Z62" s="2265" t="s">
        <v>537</v>
      </c>
      <c r="AA62" s="2265"/>
    </row>
    <row r="63" spans="1:36" x14ac:dyDescent="0.3">
      <c r="A63" s="251" t="s">
        <v>529</v>
      </c>
      <c r="B63" s="252"/>
      <c r="C63" s="252"/>
      <c r="D63" s="252"/>
      <c r="E63" s="252"/>
      <c r="F63" s="253"/>
      <c r="G63" s="252"/>
      <c r="H63" s="252"/>
      <c r="I63" s="254"/>
      <c r="J63" s="254"/>
      <c r="K63" s="254"/>
      <c r="L63" s="254"/>
      <c r="M63" s="252"/>
      <c r="N63" s="255"/>
      <c r="O63" s="255"/>
      <c r="P63" s="256"/>
      <c r="Q63" s="255"/>
      <c r="R63" s="257">
        <f>Y58/2</f>
        <v>0</v>
      </c>
      <c r="S63" s="262">
        <f>R63/R65</f>
        <v>0</v>
      </c>
      <c r="U63" s="263"/>
    </row>
    <row r="64" spans="1:36" x14ac:dyDescent="0.3">
      <c r="A64" s="251" t="s">
        <v>528</v>
      </c>
      <c r="B64" s="252"/>
      <c r="C64" s="252"/>
      <c r="D64" s="252"/>
      <c r="E64" s="252"/>
      <c r="F64" s="253"/>
      <c r="G64" s="252"/>
      <c r="H64" s="252"/>
      <c r="I64" s="254"/>
      <c r="J64" s="254"/>
      <c r="K64" s="254"/>
      <c r="L64" s="254"/>
      <c r="M64" s="252"/>
      <c r="N64" s="255"/>
      <c r="O64" s="255"/>
      <c r="P64" s="256"/>
      <c r="Q64" s="255"/>
      <c r="R64" s="257">
        <f>X58/2</f>
        <v>0</v>
      </c>
      <c r="S64" s="262">
        <f>R64/R65</f>
        <v>0</v>
      </c>
    </row>
    <row r="65" spans="1:36" x14ac:dyDescent="0.3">
      <c r="A65" s="251"/>
      <c r="B65" s="252"/>
      <c r="C65" s="252"/>
      <c r="D65" s="252"/>
      <c r="E65" s="252"/>
      <c r="F65" s="253"/>
      <c r="G65" s="252"/>
      <c r="H65" s="252"/>
      <c r="I65" s="254"/>
      <c r="J65" s="254"/>
      <c r="K65" s="254"/>
      <c r="L65" s="254"/>
      <c r="M65" s="252"/>
      <c r="N65" s="255"/>
      <c r="O65" s="255"/>
      <c r="P65" s="256"/>
      <c r="Q65" s="255"/>
      <c r="R65" s="264">
        <f>SUM(R60:R64)</f>
        <v>1094839.5</v>
      </c>
      <c r="S65" s="262">
        <f>SUM(S60:S64)</f>
        <v>1</v>
      </c>
    </row>
    <row r="68" spans="1:36" ht="18" x14ac:dyDescent="0.35">
      <c r="A68" s="118" t="s">
        <v>538</v>
      </c>
      <c r="O68" s="3"/>
      <c r="P68" s="115"/>
      <c r="R68" s="3"/>
      <c r="S68" s="99"/>
    </row>
    <row r="69" spans="1:36" x14ac:dyDescent="0.3">
      <c r="O69" s="3"/>
      <c r="P69" s="99"/>
      <c r="R69" s="3"/>
      <c r="S69" s="99"/>
    </row>
    <row r="70" spans="1:36" x14ac:dyDescent="0.3">
      <c r="A70" s="2446" t="s">
        <v>480</v>
      </c>
      <c r="B70" s="2447"/>
      <c r="C70" s="2447"/>
      <c r="D70" s="2447"/>
      <c r="E70" s="2447"/>
      <c r="F70" s="2447"/>
      <c r="G70" s="2447"/>
      <c r="H70" s="2447"/>
      <c r="I70" s="2447"/>
      <c r="J70" s="2447"/>
      <c r="K70" s="2447"/>
      <c r="L70" s="2447"/>
      <c r="M70" s="2447"/>
      <c r="N70" s="2447"/>
      <c r="O70" s="2447"/>
      <c r="P70" s="2447"/>
      <c r="Q70" s="2447"/>
      <c r="R70" s="2447"/>
      <c r="S70" s="2448"/>
      <c r="T70" s="2374" t="s">
        <v>584</v>
      </c>
      <c r="U70" s="2375"/>
      <c r="V70" s="2375"/>
      <c r="W70" s="2375"/>
      <c r="X70" s="2375"/>
      <c r="Y70" s="2375"/>
      <c r="Z70" s="2375"/>
      <c r="AA70" s="2375"/>
      <c r="AB70" s="2375"/>
      <c r="AC70" s="2375"/>
      <c r="AD70" s="2375"/>
      <c r="AE70" s="2375"/>
      <c r="AF70" s="2375"/>
      <c r="AG70" s="2375"/>
      <c r="AH70" s="2375"/>
      <c r="AI70" s="2375"/>
      <c r="AJ70" s="2376"/>
    </row>
    <row r="71" spans="1:36" ht="18" x14ac:dyDescent="0.35">
      <c r="A71" s="2284" t="s">
        <v>482</v>
      </c>
      <c r="B71" s="2286" t="s">
        <v>483</v>
      </c>
      <c r="C71" s="2286" t="s">
        <v>484</v>
      </c>
      <c r="D71" s="2286" t="s">
        <v>485</v>
      </c>
      <c r="E71" s="2286" t="s">
        <v>486</v>
      </c>
      <c r="F71" s="2288" t="s">
        <v>487</v>
      </c>
      <c r="G71" s="2286" t="s">
        <v>488</v>
      </c>
      <c r="H71" s="2286" t="s">
        <v>489</v>
      </c>
      <c r="I71" s="805" t="s">
        <v>490</v>
      </c>
      <c r="J71" s="213"/>
      <c r="K71" s="213"/>
      <c r="L71" s="2473"/>
      <c r="M71" s="265" t="s">
        <v>491</v>
      </c>
      <c r="N71" s="266" t="s">
        <v>492</v>
      </c>
      <c r="O71" s="266" t="s">
        <v>812</v>
      </c>
      <c r="P71" s="267" t="s">
        <v>493</v>
      </c>
      <c r="Q71" s="266" t="s">
        <v>492</v>
      </c>
      <c r="R71" s="266" t="s">
        <v>494</v>
      </c>
      <c r="S71" s="2267" t="s">
        <v>495</v>
      </c>
      <c r="T71" s="692" t="s">
        <v>496</v>
      </c>
      <c r="U71" s="2424" t="s">
        <v>497</v>
      </c>
      <c r="V71" s="2425"/>
      <c r="W71" s="2425"/>
      <c r="X71" s="2425"/>
      <c r="Y71" s="2425"/>
      <c r="Z71" s="2418" t="s">
        <v>498</v>
      </c>
      <c r="AA71" s="2419"/>
      <c r="AB71" s="2422"/>
      <c r="AC71" s="2422"/>
      <c r="AD71" s="2422"/>
      <c r="AE71" s="2422"/>
      <c r="AF71" s="2422"/>
      <c r="AG71" s="2422"/>
      <c r="AH71" s="2422"/>
      <c r="AI71" s="2422"/>
      <c r="AJ71" s="2419"/>
    </row>
    <row r="72" spans="1:36" ht="18" x14ac:dyDescent="0.35">
      <c r="A72" s="2285"/>
      <c r="B72" s="2287"/>
      <c r="C72" s="2287"/>
      <c r="D72" s="2287"/>
      <c r="E72" s="2287"/>
      <c r="F72" s="2289"/>
      <c r="G72" s="2287"/>
      <c r="H72" s="2287"/>
      <c r="I72" s="269" t="s">
        <v>500</v>
      </c>
      <c r="J72" s="269" t="s">
        <v>501</v>
      </c>
      <c r="K72" s="269" t="s">
        <v>502</v>
      </c>
      <c r="L72" s="269" t="s">
        <v>503</v>
      </c>
      <c r="M72" s="270" t="s">
        <v>504</v>
      </c>
      <c r="N72" s="271" t="s">
        <v>505</v>
      </c>
      <c r="O72" s="271" t="s">
        <v>813</v>
      </c>
      <c r="P72" s="272" t="s">
        <v>506</v>
      </c>
      <c r="Q72" s="271" t="s">
        <v>507</v>
      </c>
      <c r="R72" s="271" t="s">
        <v>507</v>
      </c>
      <c r="S72" s="2268"/>
      <c r="T72" s="671" t="s">
        <v>508</v>
      </c>
      <c r="U72" s="2427"/>
      <c r="V72" s="2428"/>
      <c r="W72" s="2428"/>
      <c r="X72" s="2428"/>
      <c r="Y72" s="2428"/>
      <c r="Z72" s="2420"/>
      <c r="AA72" s="2421"/>
      <c r="AB72" s="2423"/>
      <c r="AC72" s="2423"/>
      <c r="AD72" s="2423"/>
      <c r="AE72" s="2423"/>
      <c r="AF72" s="2423"/>
      <c r="AG72" s="2423"/>
      <c r="AH72" s="2423"/>
      <c r="AI72" s="2423"/>
      <c r="AJ72" s="2421"/>
    </row>
    <row r="73" spans="1:36" ht="18" x14ac:dyDescent="0.35">
      <c r="A73" s="2476" t="s">
        <v>540</v>
      </c>
      <c r="B73" s="2477"/>
      <c r="C73" s="2477"/>
      <c r="D73" s="2477"/>
      <c r="E73" s="2477"/>
      <c r="F73" s="2477"/>
      <c r="G73" s="2477"/>
      <c r="H73" s="2477"/>
      <c r="I73" s="2477"/>
      <c r="J73" s="2477"/>
      <c r="K73" s="2477"/>
      <c r="L73" s="2477"/>
      <c r="M73" s="2477"/>
      <c r="N73" s="2477"/>
      <c r="O73" s="2477"/>
      <c r="P73" s="2477"/>
      <c r="Q73" s="2477"/>
      <c r="R73" s="2477"/>
      <c r="S73" s="2477"/>
      <c r="T73" s="741"/>
      <c r="U73" s="719" t="s">
        <v>510</v>
      </c>
      <c r="V73" s="717" t="s">
        <v>11</v>
      </c>
      <c r="W73" s="717" t="s">
        <v>511</v>
      </c>
      <c r="X73" s="717" t="s">
        <v>512</v>
      </c>
      <c r="Y73" s="718" t="s">
        <v>513</v>
      </c>
      <c r="Z73" s="719" t="s">
        <v>514</v>
      </c>
      <c r="AA73" s="718" t="s">
        <v>515</v>
      </c>
      <c r="AB73" s="719" t="s">
        <v>0</v>
      </c>
      <c r="AC73" s="717" t="s">
        <v>4</v>
      </c>
      <c r="AD73" s="717" t="s">
        <v>2</v>
      </c>
      <c r="AE73" s="717" t="s">
        <v>153</v>
      </c>
      <c r="AF73" s="717" t="s">
        <v>154</v>
      </c>
      <c r="AG73" s="717" t="s">
        <v>155</v>
      </c>
      <c r="AH73" s="717" t="s">
        <v>156</v>
      </c>
      <c r="AI73" s="717" t="s">
        <v>5</v>
      </c>
      <c r="AJ73" s="718" t="s">
        <v>814</v>
      </c>
    </row>
    <row r="74" spans="1:36" x14ac:dyDescent="0.3">
      <c r="A74" s="154"/>
      <c r="B74" s="462"/>
      <c r="C74" s="462"/>
      <c r="D74" s="462"/>
      <c r="E74" s="462"/>
      <c r="F74" s="463"/>
      <c r="G74" s="462"/>
      <c r="H74" s="462"/>
      <c r="I74" s="465"/>
      <c r="J74" s="465"/>
      <c r="K74" s="465"/>
      <c r="L74" s="465"/>
      <c r="M74" s="462"/>
      <c r="N74" s="468"/>
      <c r="O74" s="468"/>
      <c r="P74" s="469"/>
      <c r="Q74" s="468"/>
      <c r="R74" s="468"/>
      <c r="S74" s="501"/>
      <c r="T74" s="149"/>
      <c r="U74" s="280"/>
      <c r="Y74" s="152"/>
      <c r="Z74" s="280"/>
      <c r="AA74" s="152"/>
      <c r="AB74" s="153"/>
      <c r="AC74" s="154"/>
      <c r="AD74" s="154"/>
      <c r="AE74" s="154"/>
      <c r="AF74" s="154"/>
      <c r="AG74" s="154"/>
      <c r="AH74" s="154"/>
      <c r="AI74" s="154"/>
      <c r="AJ74" s="152"/>
    </row>
    <row r="75" spans="1:36" x14ac:dyDescent="0.3">
      <c r="A75" s="157" t="s">
        <v>815</v>
      </c>
      <c r="B75" s="157" t="s">
        <v>157</v>
      </c>
      <c r="C75" s="157" t="s">
        <v>695</v>
      </c>
      <c r="D75" s="157" t="s">
        <v>433</v>
      </c>
      <c r="E75" s="157" t="s">
        <v>520</v>
      </c>
      <c r="F75" s="157" t="s">
        <v>816</v>
      </c>
      <c r="G75" s="1">
        <v>150</v>
      </c>
      <c r="H75" s="157" t="s">
        <v>22</v>
      </c>
      <c r="I75" s="188"/>
      <c r="J75" s="806">
        <v>150</v>
      </c>
      <c r="K75" s="807">
        <v>150</v>
      </c>
      <c r="L75" s="286"/>
      <c r="M75" s="163">
        <v>2</v>
      </c>
      <c r="N75" s="166">
        <v>1398.6</v>
      </c>
      <c r="O75" s="166">
        <f t="shared" ref="O75:O88" si="13">N75*M75*G75</f>
        <v>419580</v>
      </c>
      <c r="P75" s="165">
        <v>0.7</v>
      </c>
      <c r="Q75" s="186">
        <f t="shared" ref="Q75:Q88" si="14">N75*(1-P75)</f>
        <v>419.58000000000004</v>
      </c>
      <c r="R75" s="166">
        <f>Q75*M75*G75</f>
        <v>125874.00000000001</v>
      </c>
      <c r="S75" s="178">
        <f t="shared" ref="S75:S88" si="15">R75/$R$95</f>
        <v>0.11840419878969489</v>
      </c>
      <c r="T75" s="168">
        <f>R75</f>
        <v>125874.00000000001</v>
      </c>
      <c r="U75" s="280"/>
      <c r="V75" s="169">
        <f>T75</f>
        <v>125874.00000000001</v>
      </c>
      <c r="Y75" s="152"/>
      <c r="Z75" s="282">
        <f>T75</f>
        <v>125874.00000000001</v>
      </c>
      <c r="AA75" s="152"/>
      <c r="AB75" s="170">
        <f>T75</f>
        <v>125874.00000000001</v>
      </c>
      <c r="AC75" s="172"/>
      <c r="AD75" s="172"/>
      <c r="AE75" s="174"/>
      <c r="AF75" s="172"/>
      <c r="AG75" s="172"/>
      <c r="AH75" s="172"/>
      <c r="AI75" s="172"/>
      <c r="AJ75" s="152"/>
    </row>
    <row r="76" spans="1:36" x14ac:dyDescent="0.3">
      <c r="A76" s="157" t="s">
        <v>815</v>
      </c>
      <c r="B76" s="157" t="s">
        <v>141</v>
      </c>
      <c r="C76" s="157" t="s">
        <v>819</v>
      </c>
      <c r="D76" s="157" t="s">
        <v>142</v>
      </c>
      <c r="E76" s="157" t="s">
        <v>518</v>
      </c>
      <c r="F76" s="157" t="s">
        <v>779</v>
      </c>
      <c r="G76" s="1">
        <v>30</v>
      </c>
      <c r="H76" s="157" t="s">
        <v>22</v>
      </c>
      <c r="I76" s="474"/>
      <c r="J76" s="806">
        <v>30</v>
      </c>
      <c r="L76" s="809">
        <v>30</v>
      </c>
      <c r="M76" s="163">
        <v>2</v>
      </c>
      <c r="N76" s="166">
        <v>26400</v>
      </c>
      <c r="O76" s="166">
        <f t="shared" si="13"/>
        <v>1584000</v>
      </c>
      <c r="P76" s="173">
        <v>0.76</v>
      </c>
      <c r="Q76" s="186">
        <f t="shared" si="14"/>
        <v>6336</v>
      </c>
      <c r="R76" s="166">
        <f t="shared" ref="R76:R88" si="16">Q76*M76*G76</f>
        <v>380160</v>
      </c>
      <c r="S76" s="167">
        <f t="shared" si="15"/>
        <v>0.35759998261666748</v>
      </c>
      <c r="T76" s="168">
        <f t="shared" ref="T76:T88" si="17">R76</f>
        <v>380160</v>
      </c>
      <c r="U76" s="280"/>
      <c r="V76" s="169">
        <f>T76</f>
        <v>380160</v>
      </c>
      <c r="Y76" s="152"/>
      <c r="Z76" s="280"/>
      <c r="AA76" s="171">
        <f t="shared" ref="AA76:AA78" si="18">T76</f>
        <v>380160</v>
      </c>
      <c r="AB76" s="151"/>
      <c r="AC76" s="174">
        <f>T76</f>
        <v>380160</v>
      </c>
      <c r="AD76" s="172"/>
      <c r="AE76" s="172"/>
      <c r="AF76" s="172"/>
      <c r="AG76" s="172"/>
      <c r="AH76" s="172"/>
      <c r="AI76" s="172"/>
      <c r="AJ76" s="152"/>
    </row>
    <row r="77" spans="1:36" x14ac:dyDescent="0.3">
      <c r="A77" s="157" t="s">
        <v>815</v>
      </c>
      <c r="B77" s="157" t="s">
        <v>99</v>
      </c>
      <c r="C77" s="157" t="s">
        <v>695</v>
      </c>
      <c r="D77" s="810" t="s">
        <v>820</v>
      </c>
      <c r="E77" s="157" t="s">
        <v>518</v>
      </c>
      <c r="F77" s="157">
        <v>16</v>
      </c>
      <c r="G77" s="1">
        <v>1</v>
      </c>
      <c r="H77" s="157" t="s">
        <v>22</v>
      </c>
      <c r="I77" s="175">
        <v>16</v>
      </c>
      <c r="L77" s="286"/>
      <c r="M77" s="163">
        <v>1</v>
      </c>
      <c r="N77" s="166">
        <v>67000</v>
      </c>
      <c r="O77" s="166">
        <f t="shared" si="13"/>
        <v>67000</v>
      </c>
      <c r="P77" s="173">
        <v>0.85</v>
      </c>
      <c r="Q77" s="186">
        <f t="shared" si="14"/>
        <v>10050.000000000002</v>
      </c>
      <c r="R77" s="166">
        <f t="shared" si="16"/>
        <v>10050.000000000002</v>
      </c>
      <c r="S77" s="167">
        <f t="shared" si="15"/>
        <v>9.4535980252985815E-3</v>
      </c>
      <c r="T77" s="168">
        <f t="shared" si="17"/>
        <v>10050.000000000002</v>
      </c>
      <c r="U77" s="280"/>
      <c r="V77" s="169">
        <f>T77</f>
        <v>10050.000000000002</v>
      </c>
      <c r="Y77" s="152"/>
      <c r="Z77" s="280"/>
      <c r="AA77" s="171">
        <f t="shared" si="18"/>
        <v>10050.000000000002</v>
      </c>
      <c r="AB77" s="151"/>
      <c r="AC77" s="172"/>
      <c r="AD77" s="174">
        <f>T77</f>
        <v>10050.000000000002</v>
      </c>
      <c r="AE77" s="172"/>
      <c r="AF77" s="172"/>
      <c r="AG77" s="172"/>
      <c r="AH77" s="172"/>
      <c r="AI77" s="172"/>
      <c r="AJ77" s="152"/>
    </row>
    <row r="78" spans="1:36" x14ac:dyDescent="0.3">
      <c r="A78" s="157" t="s">
        <v>815</v>
      </c>
      <c r="B78" s="157" t="s">
        <v>99</v>
      </c>
      <c r="C78" s="157" t="s">
        <v>695</v>
      </c>
      <c r="D78" s="810" t="s">
        <v>821</v>
      </c>
      <c r="E78" s="157" t="s">
        <v>518</v>
      </c>
      <c r="F78" s="157">
        <v>16</v>
      </c>
      <c r="G78" s="1">
        <v>1</v>
      </c>
      <c r="H78" s="157" t="s">
        <v>22</v>
      </c>
      <c r="I78" s="188"/>
      <c r="J78" s="1"/>
      <c r="L78" s="727">
        <v>16</v>
      </c>
      <c r="M78" s="163">
        <v>1</v>
      </c>
      <c r="N78" s="166">
        <v>189142</v>
      </c>
      <c r="O78" s="166">
        <f t="shared" si="13"/>
        <v>189142</v>
      </c>
      <c r="P78" s="173">
        <v>0.85</v>
      </c>
      <c r="Q78" s="186">
        <f t="shared" si="14"/>
        <v>28371.300000000003</v>
      </c>
      <c r="R78" s="166">
        <f t="shared" si="16"/>
        <v>28371.300000000003</v>
      </c>
      <c r="S78" s="167">
        <f t="shared" si="15"/>
        <v>2.6687648323895884E-2</v>
      </c>
      <c r="T78" s="168">
        <f t="shared" si="17"/>
        <v>28371.300000000003</v>
      </c>
      <c r="U78" s="280"/>
      <c r="V78" s="169">
        <f>T78</f>
        <v>28371.300000000003</v>
      </c>
      <c r="Y78" s="152"/>
      <c r="Z78" s="280"/>
      <c r="AA78" s="171">
        <f t="shared" si="18"/>
        <v>28371.300000000003</v>
      </c>
      <c r="AB78" s="151"/>
      <c r="AC78" s="172"/>
      <c r="AD78" s="174">
        <f>T78</f>
        <v>28371.300000000003</v>
      </c>
      <c r="AE78" s="172"/>
      <c r="AF78" s="172"/>
      <c r="AG78" s="172"/>
      <c r="AH78" s="172"/>
      <c r="AI78" s="172"/>
      <c r="AJ78" s="152"/>
    </row>
    <row r="79" spans="1:36" x14ac:dyDescent="0.3">
      <c r="A79" s="157" t="s">
        <v>815</v>
      </c>
      <c r="B79" s="157" t="s">
        <v>99</v>
      </c>
      <c r="C79" s="157" t="s">
        <v>695</v>
      </c>
      <c r="D79" s="810" t="s">
        <v>822</v>
      </c>
      <c r="E79" s="157" t="s">
        <v>520</v>
      </c>
      <c r="F79" s="157">
        <v>28</v>
      </c>
      <c r="G79" s="1">
        <v>1</v>
      </c>
      <c r="H79" s="157" t="s">
        <v>22</v>
      </c>
      <c r="I79" s="188"/>
      <c r="J79" s="811">
        <v>28</v>
      </c>
      <c r="K79" s="812"/>
      <c r="L79" s="286"/>
      <c r="M79" s="163">
        <v>1</v>
      </c>
      <c r="N79" s="166">
        <v>67000</v>
      </c>
      <c r="O79" s="166">
        <f t="shared" si="13"/>
        <v>67000</v>
      </c>
      <c r="P79" s="173">
        <v>0.85</v>
      </c>
      <c r="Q79" s="186">
        <f t="shared" si="14"/>
        <v>10050.000000000002</v>
      </c>
      <c r="R79" s="166">
        <f t="shared" si="16"/>
        <v>10050.000000000002</v>
      </c>
      <c r="S79" s="178">
        <f t="shared" si="15"/>
        <v>9.4535980252985815E-3</v>
      </c>
      <c r="T79" s="168">
        <f t="shared" si="17"/>
        <v>10050.000000000002</v>
      </c>
      <c r="U79" s="280"/>
      <c r="V79" s="169">
        <f t="shared" ref="V79:V80" si="19">T79</f>
        <v>10050.000000000002</v>
      </c>
      <c r="Y79" s="152"/>
      <c r="Z79" s="282">
        <f t="shared" ref="Z79:Z83" si="20">T79</f>
        <v>10050.000000000002</v>
      </c>
      <c r="AA79" s="152"/>
      <c r="AB79" s="151"/>
      <c r="AC79" s="172"/>
      <c r="AD79" s="174">
        <f>T79</f>
        <v>10050.000000000002</v>
      </c>
      <c r="AE79" s="172"/>
      <c r="AF79" s="172"/>
      <c r="AG79" s="172"/>
      <c r="AH79" s="172"/>
      <c r="AI79" s="172"/>
      <c r="AJ79" s="152"/>
    </row>
    <row r="80" spans="1:36" x14ac:dyDescent="0.3">
      <c r="A80" s="157" t="s">
        <v>815</v>
      </c>
      <c r="B80" s="157" t="s">
        <v>99</v>
      </c>
      <c r="C80" s="157" t="s">
        <v>695</v>
      </c>
      <c r="D80" s="810" t="s">
        <v>439</v>
      </c>
      <c r="E80" s="157" t="s">
        <v>520</v>
      </c>
      <c r="F80" s="157">
        <v>100</v>
      </c>
      <c r="G80" s="1">
        <v>100</v>
      </c>
      <c r="H80" s="157" t="s">
        <v>22</v>
      </c>
      <c r="I80" s="188"/>
      <c r="J80" s="813"/>
      <c r="K80" s="811">
        <v>100</v>
      </c>
      <c r="L80" s="811">
        <v>100</v>
      </c>
      <c r="M80" s="163">
        <v>2</v>
      </c>
      <c r="N80" s="166">
        <v>4427</v>
      </c>
      <c r="O80" s="166">
        <f t="shared" si="13"/>
        <v>885400</v>
      </c>
      <c r="P80" s="173">
        <v>0.85</v>
      </c>
      <c r="Q80" s="186">
        <f t="shared" si="14"/>
        <v>664.05000000000007</v>
      </c>
      <c r="R80" s="166">
        <f t="shared" si="16"/>
        <v>132810</v>
      </c>
      <c r="S80" s="178">
        <f t="shared" si="15"/>
        <v>0.12492859241193079</v>
      </c>
      <c r="T80" s="168">
        <f t="shared" si="17"/>
        <v>132810</v>
      </c>
      <c r="U80" s="280"/>
      <c r="V80" s="169">
        <f t="shared" si="19"/>
        <v>132810</v>
      </c>
      <c r="Y80" s="152"/>
      <c r="Z80" s="282">
        <f t="shared" si="20"/>
        <v>132810</v>
      </c>
      <c r="AA80" s="152"/>
      <c r="AB80" s="151"/>
      <c r="AC80" s="172"/>
      <c r="AD80" s="174">
        <f>T80</f>
        <v>132810</v>
      </c>
      <c r="AE80" s="172"/>
      <c r="AF80" s="172"/>
      <c r="AG80" s="172"/>
      <c r="AH80" s="172"/>
      <c r="AI80" s="172"/>
      <c r="AJ80" s="152"/>
    </row>
    <row r="81" spans="1:36" x14ac:dyDescent="0.3">
      <c r="A81" s="157" t="s">
        <v>815</v>
      </c>
      <c r="B81" s="157" t="s">
        <v>440</v>
      </c>
      <c r="C81" s="157" t="s">
        <v>696</v>
      </c>
      <c r="D81" s="814" t="s">
        <v>441</v>
      </c>
      <c r="E81" s="157" t="s">
        <v>520</v>
      </c>
      <c r="F81" s="157" t="s">
        <v>823</v>
      </c>
      <c r="G81" s="1">
        <v>20</v>
      </c>
      <c r="H81" s="157" t="s">
        <v>63</v>
      </c>
      <c r="I81" s="159">
        <v>20</v>
      </c>
      <c r="J81" s="161"/>
      <c r="L81" s="286"/>
      <c r="M81" s="163">
        <v>1</v>
      </c>
      <c r="N81" s="166">
        <v>2300</v>
      </c>
      <c r="O81" s="166">
        <f t="shared" si="13"/>
        <v>46000</v>
      </c>
      <c r="P81" s="173">
        <v>0.5</v>
      </c>
      <c r="Q81" s="186">
        <f t="shared" si="14"/>
        <v>1150</v>
      </c>
      <c r="R81" s="166">
        <f t="shared" si="16"/>
        <v>23000</v>
      </c>
      <c r="S81" s="178">
        <f t="shared" si="15"/>
        <v>2.1635099958394761E-2</v>
      </c>
      <c r="T81" s="168">
        <f t="shared" si="17"/>
        <v>23000</v>
      </c>
      <c r="U81" s="282">
        <f>T81</f>
        <v>23000</v>
      </c>
      <c r="Y81" s="152"/>
      <c r="Z81" s="282">
        <f t="shared" si="20"/>
        <v>23000</v>
      </c>
      <c r="AA81" s="152"/>
      <c r="AB81" s="151"/>
      <c r="AC81" s="172"/>
      <c r="AD81" s="172"/>
      <c r="AE81" s="174">
        <f>T81</f>
        <v>23000</v>
      </c>
      <c r="AF81" s="172"/>
      <c r="AG81" s="172"/>
      <c r="AH81" s="172"/>
      <c r="AI81" s="172"/>
      <c r="AJ81" s="152"/>
    </row>
    <row r="82" spans="1:36" x14ac:dyDescent="0.3">
      <c r="A82" s="157" t="s">
        <v>815</v>
      </c>
      <c r="B82" s="157" t="s">
        <v>440</v>
      </c>
      <c r="C82" s="157" t="s">
        <v>696</v>
      </c>
      <c r="D82" s="157" t="s">
        <v>442</v>
      </c>
      <c r="E82" s="157" t="s">
        <v>520</v>
      </c>
      <c r="F82" s="157" t="s">
        <v>823</v>
      </c>
      <c r="G82" s="1">
        <v>20</v>
      </c>
      <c r="H82" s="157" t="s">
        <v>63</v>
      </c>
      <c r="I82" s="175">
        <v>20</v>
      </c>
      <c r="J82" s="176"/>
      <c r="L82" s="162"/>
      <c r="M82" s="163">
        <v>1</v>
      </c>
      <c r="N82" s="166">
        <v>2300</v>
      </c>
      <c r="O82" s="166">
        <f t="shared" si="13"/>
        <v>46000</v>
      </c>
      <c r="P82" s="173">
        <v>0.5</v>
      </c>
      <c r="Q82" s="186">
        <f t="shared" si="14"/>
        <v>1150</v>
      </c>
      <c r="R82" s="166">
        <f t="shared" si="16"/>
        <v>23000</v>
      </c>
      <c r="S82" s="178">
        <f t="shared" si="15"/>
        <v>2.1635099958394761E-2</v>
      </c>
      <c r="T82" s="168">
        <f t="shared" si="17"/>
        <v>23000</v>
      </c>
      <c r="U82" s="282">
        <f>T82</f>
        <v>23000</v>
      </c>
      <c r="Y82" s="152"/>
      <c r="Z82" s="282">
        <f t="shared" si="20"/>
        <v>23000</v>
      </c>
      <c r="AA82" s="152"/>
      <c r="AB82" s="151"/>
      <c r="AC82" s="172"/>
      <c r="AD82" s="172"/>
      <c r="AE82" s="174">
        <f>T82</f>
        <v>23000</v>
      </c>
      <c r="AF82" s="172"/>
      <c r="AG82" s="172"/>
      <c r="AH82" s="172"/>
      <c r="AI82" s="172"/>
      <c r="AJ82" s="152"/>
    </row>
    <row r="83" spans="1:36" x14ac:dyDescent="0.3">
      <c r="A83" s="157" t="s">
        <v>815</v>
      </c>
      <c r="B83" s="157" t="s">
        <v>443</v>
      </c>
      <c r="C83" s="157" t="s">
        <v>817</v>
      </c>
      <c r="D83" s="157" t="s">
        <v>26</v>
      </c>
      <c r="E83" s="157" t="s">
        <v>520</v>
      </c>
      <c r="F83" s="808" t="s">
        <v>824</v>
      </c>
      <c r="G83" s="1">
        <v>4</v>
      </c>
      <c r="H83" s="157" t="s">
        <v>24</v>
      </c>
      <c r="I83" s="175">
        <v>4</v>
      </c>
      <c r="J83" s="176"/>
      <c r="K83" s="176"/>
      <c r="L83" s="177"/>
      <c r="M83" s="163">
        <v>1</v>
      </c>
      <c r="N83" s="166">
        <v>8500</v>
      </c>
      <c r="O83" s="166">
        <f t="shared" si="13"/>
        <v>34000</v>
      </c>
      <c r="P83" s="173">
        <v>0.35</v>
      </c>
      <c r="Q83" s="186">
        <f t="shared" si="14"/>
        <v>5525</v>
      </c>
      <c r="R83" s="166">
        <f t="shared" si="16"/>
        <v>22100</v>
      </c>
      <c r="S83" s="178">
        <f t="shared" si="15"/>
        <v>2.0788509090457576E-2</v>
      </c>
      <c r="T83" s="168">
        <f t="shared" si="17"/>
        <v>22100</v>
      </c>
      <c r="U83" s="282">
        <f>T83</f>
        <v>22100</v>
      </c>
      <c r="Y83" s="152"/>
      <c r="Z83" s="282">
        <f t="shared" si="20"/>
        <v>22100</v>
      </c>
      <c r="AA83" s="152"/>
      <c r="AB83" s="151"/>
      <c r="AC83" s="172"/>
      <c r="AD83" s="172"/>
      <c r="AE83" s="172"/>
      <c r="AF83" s="174">
        <f>T83</f>
        <v>22100</v>
      </c>
      <c r="AG83" s="172"/>
      <c r="AH83" s="172"/>
      <c r="AI83" s="172"/>
      <c r="AJ83" s="152"/>
    </row>
    <row r="84" spans="1:36" x14ac:dyDescent="0.3">
      <c r="A84" s="157" t="s">
        <v>815</v>
      </c>
      <c r="B84" s="157" t="s">
        <v>158</v>
      </c>
      <c r="C84" s="157" t="s">
        <v>695</v>
      </c>
      <c r="D84" s="157" t="s">
        <v>446</v>
      </c>
      <c r="E84" s="157" t="s">
        <v>518</v>
      </c>
      <c r="F84" s="157">
        <v>88</v>
      </c>
      <c r="G84" s="1">
        <v>1</v>
      </c>
      <c r="H84" s="157" t="s">
        <v>22</v>
      </c>
      <c r="K84" s="176">
        <v>88</v>
      </c>
      <c r="L84" s="286"/>
      <c r="M84" s="157">
        <v>1</v>
      </c>
      <c r="N84" s="166">
        <v>338800</v>
      </c>
      <c r="O84" s="166">
        <f t="shared" si="13"/>
        <v>338800</v>
      </c>
      <c r="P84" s="815">
        <v>0.75</v>
      </c>
      <c r="Q84" s="186">
        <f t="shared" si="14"/>
        <v>84700</v>
      </c>
      <c r="R84" s="166">
        <f t="shared" si="16"/>
        <v>84700</v>
      </c>
      <c r="S84" s="167">
        <f t="shared" si="15"/>
        <v>7.9673607238088529E-2</v>
      </c>
      <c r="T84" s="168">
        <f t="shared" si="17"/>
        <v>84700</v>
      </c>
      <c r="U84" s="280"/>
      <c r="V84" s="169">
        <f>T84</f>
        <v>84700</v>
      </c>
      <c r="Y84" s="152"/>
      <c r="Z84" s="280"/>
      <c r="AA84" s="171">
        <f t="shared" ref="AA84:AA86" si="21">T84</f>
        <v>84700</v>
      </c>
      <c r="AB84" s="151"/>
      <c r="AC84" s="172"/>
      <c r="AD84" s="172"/>
      <c r="AE84" s="172"/>
      <c r="AF84" s="172"/>
      <c r="AG84" s="172"/>
      <c r="AH84" s="174">
        <f>T84</f>
        <v>84700</v>
      </c>
      <c r="AI84" s="172"/>
      <c r="AJ84" s="152"/>
    </row>
    <row r="85" spans="1:36" x14ac:dyDescent="0.3">
      <c r="A85" s="157" t="s">
        <v>815</v>
      </c>
      <c r="B85" s="157" t="s">
        <v>108</v>
      </c>
      <c r="C85" s="157" t="s">
        <v>696</v>
      </c>
      <c r="D85" s="157" t="s">
        <v>448</v>
      </c>
      <c r="E85" s="157" t="s">
        <v>518</v>
      </c>
      <c r="F85" s="808" t="s">
        <v>825</v>
      </c>
      <c r="G85" s="1">
        <v>1</v>
      </c>
      <c r="H85" s="157" t="s">
        <v>63</v>
      </c>
      <c r="I85" s="159">
        <v>1</v>
      </c>
      <c r="J85" s="806"/>
      <c r="K85" s="161">
        <v>1</v>
      </c>
      <c r="L85" s="2209"/>
      <c r="M85" s="157">
        <v>2</v>
      </c>
      <c r="N85" s="166">
        <v>12000</v>
      </c>
      <c r="O85" s="166">
        <f t="shared" si="13"/>
        <v>24000</v>
      </c>
      <c r="P85" s="173">
        <v>0.3</v>
      </c>
      <c r="Q85" s="186">
        <f t="shared" si="14"/>
        <v>8400</v>
      </c>
      <c r="R85" s="166">
        <f t="shared" si="16"/>
        <v>16800</v>
      </c>
      <c r="S85" s="167">
        <f t="shared" si="15"/>
        <v>1.5803029534827477E-2</v>
      </c>
      <c r="T85" s="168">
        <f t="shared" si="17"/>
        <v>16800</v>
      </c>
      <c r="U85" s="282">
        <f>T85</f>
        <v>16800</v>
      </c>
      <c r="Y85" s="152"/>
      <c r="Z85" s="280"/>
      <c r="AA85" s="171">
        <f t="shared" si="21"/>
        <v>16800</v>
      </c>
      <c r="AB85" s="151"/>
      <c r="AC85" s="172"/>
      <c r="AD85" s="172"/>
      <c r="AE85" s="172"/>
      <c r="AF85" s="172"/>
      <c r="AG85" s="172"/>
      <c r="AH85" s="172"/>
      <c r="AI85" s="174">
        <f>T85</f>
        <v>16800</v>
      </c>
      <c r="AJ85" s="152"/>
    </row>
    <row r="86" spans="1:36" x14ac:dyDescent="0.3">
      <c r="A86" s="157" t="s">
        <v>815</v>
      </c>
      <c r="B86" s="157" t="s">
        <v>108</v>
      </c>
      <c r="C86" s="157" t="s">
        <v>696</v>
      </c>
      <c r="D86" s="157" t="s">
        <v>449</v>
      </c>
      <c r="E86" s="157" t="s">
        <v>518</v>
      </c>
      <c r="F86" s="808" t="s">
        <v>825</v>
      </c>
      <c r="G86" s="1">
        <v>1</v>
      </c>
      <c r="H86" s="157" t="s">
        <v>63</v>
      </c>
      <c r="I86" s="159">
        <v>1</v>
      </c>
      <c r="J86" s="806"/>
      <c r="K86" s="161">
        <v>1</v>
      </c>
      <c r="L86" s="2209"/>
      <c r="M86" s="157">
        <v>2</v>
      </c>
      <c r="N86" s="166">
        <v>36000</v>
      </c>
      <c r="O86" s="166">
        <f t="shared" si="13"/>
        <v>72000</v>
      </c>
      <c r="P86" s="173">
        <v>0.3</v>
      </c>
      <c r="Q86" s="186">
        <f t="shared" si="14"/>
        <v>25200</v>
      </c>
      <c r="R86" s="166">
        <f t="shared" si="16"/>
        <v>50400</v>
      </c>
      <c r="S86" s="167">
        <f t="shared" si="15"/>
        <v>4.7409088604482431E-2</v>
      </c>
      <c r="T86" s="168">
        <f t="shared" si="17"/>
        <v>50400</v>
      </c>
      <c r="U86" s="282">
        <f>T86</f>
        <v>50400</v>
      </c>
      <c r="Y86" s="152"/>
      <c r="Z86" s="280"/>
      <c r="AA86" s="171">
        <f t="shared" si="21"/>
        <v>50400</v>
      </c>
      <c r="AB86" s="151"/>
      <c r="AC86" s="172"/>
      <c r="AD86" s="172"/>
      <c r="AE86" s="172"/>
      <c r="AF86" s="172"/>
      <c r="AG86" s="172"/>
      <c r="AH86" s="172"/>
      <c r="AI86" s="174">
        <f>T86</f>
        <v>50400</v>
      </c>
      <c r="AJ86" s="152"/>
    </row>
    <row r="87" spans="1:36" x14ac:dyDescent="0.3">
      <c r="A87" s="157" t="s">
        <v>815</v>
      </c>
      <c r="B87" s="157" t="s">
        <v>41</v>
      </c>
      <c r="C87" s="157" t="s">
        <v>828</v>
      </c>
      <c r="D87" s="157" t="s">
        <v>450</v>
      </c>
      <c r="E87" s="157" t="s">
        <v>520</v>
      </c>
      <c r="F87" s="158" t="s">
        <v>829</v>
      </c>
      <c r="G87" s="157">
        <v>45</v>
      </c>
      <c r="H87" s="157" t="s">
        <v>24</v>
      </c>
      <c r="I87" s="175">
        <v>45</v>
      </c>
      <c r="J87" s="176"/>
      <c r="K87" s="176"/>
      <c r="L87" s="177"/>
      <c r="M87" s="157">
        <v>1</v>
      </c>
      <c r="N87" s="166">
        <v>1600</v>
      </c>
      <c r="O87" s="166">
        <f t="shared" si="13"/>
        <v>72000</v>
      </c>
      <c r="P87" s="173">
        <v>0.7</v>
      </c>
      <c r="Q87" s="166">
        <f t="shared" si="14"/>
        <v>480.00000000000006</v>
      </c>
      <c r="R87" s="166">
        <f>Q87*M87*G87</f>
        <v>21600.000000000004</v>
      </c>
      <c r="S87" s="178">
        <f t="shared" si="15"/>
        <v>2.0318180830492475E-2</v>
      </c>
      <c r="T87" s="168">
        <f t="shared" si="17"/>
        <v>21600.000000000004</v>
      </c>
      <c r="U87" s="280"/>
      <c r="W87" s="169">
        <f>T87</f>
        <v>21600.000000000004</v>
      </c>
      <c r="X87" s="169"/>
      <c r="Y87" s="152"/>
      <c r="Z87" s="280"/>
      <c r="AA87" s="152"/>
      <c r="AB87" s="151"/>
      <c r="AC87" s="172"/>
      <c r="AD87" s="172"/>
      <c r="AE87" s="172"/>
      <c r="AF87" s="172"/>
      <c r="AG87" s="172"/>
      <c r="AH87" s="172"/>
      <c r="AI87" s="174">
        <f>T87</f>
        <v>21600.000000000004</v>
      </c>
      <c r="AJ87" s="152"/>
    </row>
    <row r="88" spans="1:36" x14ac:dyDescent="0.3">
      <c r="A88" s="157" t="s">
        <v>815</v>
      </c>
      <c r="B88" s="157" t="s">
        <v>150</v>
      </c>
      <c r="C88" s="157" t="s">
        <v>830</v>
      </c>
      <c r="D88" s="157" t="s">
        <v>68</v>
      </c>
      <c r="E88" s="157" t="s">
        <v>520</v>
      </c>
      <c r="F88" s="158" t="s">
        <v>542</v>
      </c>
      <c r="G88" s="157">
        <v>20</v>
      </c>
      <c r="H88" s="157" t="s">
        <v>24</v>
      </c>
      <c r="I88" s="175">
        <v>20</v>
      </c>
      <c r="J88" s="176"/>
      <c r="K88" s="176"/>
      <c r="L88" s="177"/>
      <c r="M88" s="157">
        <v>1</v>
      </c>
      <c r="N88" s="166">
        <v>11181</v>
      </c>
      <c r="O88" s="166">
        <f t="shared" si="13"/>
        <v>223620</v>
      </c>
      <c r="P88" s="173">
        <v>0.4</v>
      </c>
      <c r="Q88" s="166">
        <f t="shared" si="14"/>
        <v>6708.5999999999995</v>
      </c>
      <c r="R88" s="166">
        <f t="shared" si="16"/>
        <v>134172</v>
      </c>
      <c r="S88" s="178">
        <f t="shared" si="15"/>
        <v>0.12620976659207572</v>
      </c>
      <c r="T88" s="168">
        <f t="shared" si="17"/>
        <v>134172</v>
      </c>
      <c r="U88" s="280"/>
      <c r="W88" s="169">
        <f>T88</f>
        <v>134172</v>
      </c>
      <c r="X88" s="169"/>
      <c r="Y88" s="152"/>
      <c r="Z88" s="280"/>
      <c r="AA88" s="152"/>
      <c r="AB88" s="151"/>
      <c r="AC88" s="172"/>
      <c r="AD88" s="172"/>
      <c r="AE88" s="172"/>
      <c r="AF88" s="172"/>
      <c r="AG88" s="172"/>
      <c r="AH88" s="172"/>
      <c r="AI88" s="172"/>
      <c r="AJ88" s="171">
        <f>T88</f>
        <v>134172</v>
      </c>
    </row>
    <row r="89" spans="1:36" x14ac:dyDescent="0.3">
      <c r="A89" s="157"/>
      <c r="B89" s="157"/>
      <c r="C89" s="157"/>
      <c r="D89" s="157"/>
      <c r="E89" s="157"/>
      <c r="F89" s="158"/>
      <c r="G89" s="157"/>
      <c r="H89" s="157"/>
      <c r="L89" s="286"/>
      <c r="M89" s="157"/>
      <c r="N89" s="166"/>
      <c r="O89" s="166"/>
      <c r="P89" s="173"/>
      <c r="Q89" s="166"/>
      <c r="R89" s="166"/>
      <c r="S89" s="6"/>
      <c r="T89" s="168"/>
      <c r="U89" s="280"/>
      <c r="X89" s="169"/>
      <c r="Y89" s="152"/>
      <c r="Z89" s="280"/>
      <c r="AA89" s="152"/>
      <c r="AB89" s="151"/>
      <c r="AC89" s="172"/>
      <c r="AD89" s="172"/>
      <c r="AE89" s="172"/>
      <c r="AF89" s="172"/>
      <c r="AG89" s="172"/>
      <c r="AH89" s="172"/>
      <c r="AI89" s="172"/>
      <c r="AJ89" s="152"/>
    </row>
    <row r="90" spans="1:36" x14ac:dyDescent="0.3">
      <c r="A90" s="157"/>
      <c r="B90" s="157"/>
      <c r="C90" s="157"/>
      <c r="D90" s="157"/>
      <c r="E90" s="157"/>
      <c r="F90" s="158"/>
      <c r="G90" s="157"/>
      <c r="H90" s="157"/>
      <c r="L90" s="286"/>
      <c r="M90" s="157"/>
      <c r="N90" s="166"/>
      <c r="O90" s="166"/>
      <c r="P90" s="173"/>
      <c r="Q90" s="166"/>
      <c r="R90" s="166"/>
      <c r="S90" s="6"/>
      <c r="T90" s="168"/>
      <c r="U90" s="280"/>
      <c r="X90" s="169"/>
      <c r="Y90" s="152"/>
      <c r="Z90" s="280"/>
      <c r="AA90" s="152"/>
      <c r="AB90" s="151"/>
      <c r="AC90" s="172"/>
      <c r="AD90" s="172"/>
      <c r="AE90" s="172"/>
      <c r="AF90" s="172"/>
      <c r="AG90" s="172"/>
      <c r="AH90" s="172"/>
      <c r="AI90" s="172"/>
      <c r="AJ90" s="152"/>
    </row>
    <row r="91" spans="1:36" x14ac:dyDescent="0.3">
      <c r="A91" s="157"/>
      <c r="B91" s="157"/>
      <c r="C91" s="157"/>
      <c r="D91" s="157"/>
      <c r="E91" s="157"/>
      <c r="F91" s="158"/>
      <c r="G91" s="157"/>
      <c r="H91" s="157"/>
      <c r="L91" s="286"/>
      <c r="M91" s="157"/>
      <c r="N91" s="166"/>
      <c r="O91" s="166"/>
      <c r="P91" s="173"/>
      <c r="Q91" s="166"/>
      <c r="R91" s="166"/>
      <c r="S91" s="6"/>
      <c r="T91" s="168"/>
      <c r="U91" s="280"/>
      <c r="X91" s="169"/>
      <c r="Y91" s="152"/>
      <c r="Z91" s="280"/>
      <c r="AA91" s="152"/>
      <c r="AB91" s="151"/>
      <c r="AC91" s="172"/>
      <c r="AD91" s="172"/>
      <c r="AE91" s="172"/>
      <c r="AF91" s="172"/>
      <c r="AG91" s="172"/>
      <c r="AH91" s="172"/>
      <c r="AI91" s="172"/>
      <c r="AJ91" s="152"/>
    </row>
    <row r="92" spans="1:36" x14ac:dyDescent="0.3">
      <c r="A92" s="108" t="s">
        <v>815</v>
      </c>
      <c r="B92" s="108" t="s">
        <v>528</v>
      </c>
      <c r="C92" s="108"/>
      <c r="D92" s="108"/>
      <c r="E92" s="108"/>
      <c r="F92" s="479"/>
      <c r="G92" s="108"/>
      <c r="H92" s="108"/>
      <c r="I92" s="254"/>
      <c r="J92" s="254"/>
      <c r="K92" s="254"/>
      <c r="L92" s="736"/>
      <c r="M92" s="108"/>
      <c r="N92" s="257"/>
      <c r="O92" s="257"/>
      <c r="P92" s="109"/>
      <c r="Q92" s="257"/>
      <c r="R92" s="257"/>
      <c r="S92" s="256">
        <f>R92/R95</f>
        <v>0</v>
      </c>
      <c r="T92" s="168">
        <f t="shared" ref="T92:T93" si="22">R92*2</f>
        <v>0</v>
      </c>
      <c r="U92" s="280"/>
      <c r="X92" s="169">
        <f>T92</f>
        <v>0</v>
      </c>
      <c r="Y92" s="152"/>
      <c r="Z92" s="280"/>
      <c r="AA92" s="152"/>
      <c r="AB92" s="151"/>
      <c r="AC92" s="172"/>
      <c r="AD92" s="172"/>
      <c r="AE92" s="172"/>
      <c r="AF92" s="172"/>
      <c r="AG92" s="172"/>
      <c r="AH92" s="172"/>
      <c r="AI92" s="172"/>
      <c r="AJ92" s="152"/>
    </row>
    <row r="93" spans="1:36" x14ac:dyDescent="0.3">
      <c r="A93" s="190" t="s">
        <v>815</v>
      </c>
      <c r="B93" s="190" t="s">
        <v>529</v>
      </c>
      <c r="C93" s="190"/>
      <c r="D93" s="190"/>
      <c r="E93" s="190"/>
      <c r="F93" s="191"/>
      <c r="G93" s="190"/>
      <c r="H93" s="190"/>
      <c r="I93" s="245"/>
      <c r="J93" s="245"/>
      <c r="K93" s="245"/>
      <c r="L93" s="287"/>
      <c r="M93" s="190"/>
      <c r="N93" s="194"/>
      <c r="O93" s="194"/>
      <c r="P93" s="195"/>
      <c r="Q93" s="194"/>
      <c r="R93" s="194"/>
      <c r="S93" s="196">
        <f>R93/R95</f>
        <v>0</v>
      </c>
      <c r="T93" s="168">
        <f t="shared" si="22"/>
        <v>0</v>
      </c>
      <c r="U93" s="280"/>
      <c r="Y93" s="171">
        <f>T93</f>
        <v>0</v>
      </c>
      <c r="Z93" s="280"/>
      <c r="AA93" s="152"/>
      <c r="AB93" s="151"/>
      <c r="AC93" s="172"/>
      <c r="AD93" s="172"/>
      <c r="AE93" s="172"/>
      <c r="AF93" s="172"/>
      <c r="AG93" s="172"/>
      <c r="AH93" s="172"/>
      <c r="AI93" s="172"/>
      <c r="AJ93" s="152"/>
    </row>
    <row r="94" spans="1:36" x14ac:dyDescent="0.3">
      <c r="A94" s="287"/>
      <c r="B94" s="190"/>
      <c r="C94" s="190"/>
      <c r="D94" s="190"/>
      <c r="E94" s="190"/>
      <c r="F94" s="191"/>
      <c r="G94" s="190"/>
      <c r="H94" s="190"/>
      <c r="L94" s="287"/>
      <c r="M94" s="190"/>
      <c r="N94" s="194"/>
      <c r="O94" s="194"/>
      <c r="P94" s="195"/>
      <c r="Q94" s="194"/>
      <c r="R94" s="194"/>
      <c r="T94" s="149"/>
      <c r="U94" s="280"/>
      <c r="Y94" s="152"/>
      <c r="Z94" s="280"/>
      <c r="AA94" s="152"/>
      <c r="AB94" s="737"/>
      <c r="AC94" s="738"/>
      <c r="AD94" s="738"/>
      <c r="AE94" s="738"/>
      <c r="AF94" s="738"/>
      <c r="AG94" s="738"/>
      <c r="AH94" s="738"/>
      <c r="AI94" s="738"/>
      <c r="AJ94" s="567"/>
    </row>
    <row r="95" spans="1:36" x14ac:dyDescent="0.3">
      <c r="A95" s="840" t="s">
        <v>531</v>
      </c>
      <c r="B95" s="841"/>
      <c r="C95" s="841"/>
      <c r="D95" s="841"/>
      <c r="E95" s="841"/>
      <c r="F95" s="842"/>
      <c r="G95" s="841"/>
      <c r="H95" s="841"/>
      <c r="I95" s="841">
        <f>I88+I87+I86+I85+I83+I82+I81+I77</f>
        <v>127</v>
      </c>
      <c r="J95" s="841">
        <f>J79+J76+J75</f>
        <v>208</v>
      </c>
      <c r="K95" s="841">
        <f>K84+K75+K80+K85+K86</f>
        <v>340</v>
      </c>
      <c r="L95" s="841">
        <f>L78+L76+L80</f>
        <v>146</v>
      </c>
      <c r="M95" s="841">
        <f>SUM(I95:L95)</f>
        <v>821</v>
      </c>
      <c r="N95" s="843"/>
      <c r="O95" s="843">
        <f>SUM(O75:O94)</f>
        <v>4068542</v>
      </c>
      <c r="P95" s="844">
        <f>1-R95/O95</f>
        <v>0.73870558544068121</v>
      </c>
      <c r="Q95" s="843"/>
      <c r="R95" s="845">
        <f>SUM(R74:R94)</f>
        <v>1063087.3</v>
      </c>
      <c r="S95" s="844">
        <f>SUM(S74:S93)</f>
        <v>1</v>
      </c>
      <c r="T95" s="568">
        <f>SUM(T74:T94)</f>
        <v>1063087.3</v>
      </c>
      <c r="U95" s="569">
        <f>SUM(U73:U94)</f>
        <v>135300</v>
      </c>
      <c r="V95" s="570">
        <f t="shared" ref="V95:AA95" si="23">SUM(V74:V93)</f>
        <v>772015.3</v>
      </c>
      <c r="W95" s="570">
        <f t="shared" si="23"/>
        <v>155772</v>
      </c>
      <c r="X95" s="570">
        <f t="shared" si="23"/>
        <v>0</v>
      </c>
      <c r="Y95" s="571">
        <f t="shared" si="23"/>
        <v>0</v>
      </c>
      <c r="Z95" s="572">
        <f t="shared" si="23"/>
        <v>336834</v>
      </c>
      <c r="AA95" s="571">
        <f t="shared" si="23"/>
        <v>570481.30000000005</v>
      </c>
      <c r="AB95" s="222">
        <f>SUM(AB75:AB94)</f>
        <v>125874.00000000001</v>
      </c>
      <c r="AC95" s="816">
        <f>SUM(AC74:AC94)</f>
        <v>380160</v>
      </c>
      <c r="AD95" s="816">
        <f t="shared" ref="AD95:AI95" si="24">SUM(AD74:AD94)</f>
        <v>181281.3</v>
      </c>
      <c r="AE95" s="816">
        <f t="shared" si="24"/>
        <v>46000</v>
      </c>
      <c r="AF95" s="816">
        <f t="shared" si="24"/>
        <v>22100</v>
      </c>
      <c r="AG95" s="816">
        <f t="shared" si="24"/>
        <v>0</v>
      </c>
      <c r="AH95" s="816">
        <f t="shared" si="24"/>
        <v>84700</v>
      </c>
      <c r="AI95" s="816">
        <f t="shared" si="24"/>
        <v>88800</v>
      </c>
      <c r="AJ95" s="223">
        <f>SUM(AJ74:AJ94)</f>
        <v>134172</v>
      </c>
    </row>
    <row r="96" spans="1:36" x14ac:dyDescent="0.3">
      <c r="A96" s="840" t="s">
        <v>532</v>
      </c>
      <c r="B96" s="841"/>
      <c r="C96" s="841"/>
      <c r="D96" s="841"/>
      <c r="E96" s="841"/>
      <c r="F96" s="842"/>
      <c r="G96" s="841"/>
      <c r="H96" s="841"/>
      <c r="I96" s="841">
        <f>I88+I87+I86+I85+I83+I82+I81+I77</f>
        <v>127</v>
      </c>
      <c r="J96" s="841">
        <f>I88+I87+I86+I85+I83+I82+I81+J79+J76+J75</f>
        <v>319</v>
      </c>
      <c r="K96" s="841">
        <f>I88+I87+K86+K85+K84+I83+K80+K75</f>
        <v>409</v>
      </c>
      <c r="L96" s="841">
        <f>I88+I87+K86+K85+I83+L80+L78+L76</f>
        <v>217</v>
      </c>
      <c r="M96" s="841">
        <f>SUM(I96:L96)</f>
        <v>1072</v>
      </c>
      <c r="N96" s="843"/>
      <c r="O96" s="843"/>
      <c r="P96" s="844"/>
      <c r="Q96" s="843"/>
      <c r="R96" s="843"/>
      <c r="S96" s="844"/>
      <c r="T96" s="234"/>
      <c r="U96" s="235">
        <f>U95/T95</f>
        <v>0.12727082714655702</v>
      </c>
      <c r="V96" s="236">
        <f>V95/T95</f>
        <v>0.72620122543087473</v>
      </c>
      <c r="W96" s="236">
        <f>W95/T95</f>
        <v>0.14652794742256819</v>
      </c>
      <c r="X96" s="236">
        <f>X95/T95</f>
        <v>0</v>
      </c>
      <c r="Y96" s="297">
        <f>Y95/T95</f>
        <v>0</v>
      </c>
      <c r="Z96" s="298">
        <f>Z95/T95</f>
        <v>0.31684509823417134</v>
      </c>
      <c r="AA96" s="297">
        <f>AA95/T95</f>
        <v>0.53662695434326046</v>
      </c>
      <c r="AB96" s="240"/>
      <c r="AC96" s="241"/>
      <c r="AD96" s="241"/>
      <c r="AE96" s="241"/>
      <c r="AF96" s="241"/>
      <c r="AG96" s="241"/>
      <c r="AH96" s="241"/>
      <c r="AI96" s="241"/>
      <c r="AJ96" s="242"/>
    </row>
    <row r="97" spans="1:36" x14ac:dyDescent="0.3">
      <c r="A97" s="251" t="s">
        <v>533</v>
      </c>
      <c r="B97" s="252"/>
      <c r="C97" s="252"/>
      <c r="D97" s="252"/>
      <c r="E97" s="252"/>
      <c r="F97" s="253"/>
      <c r="G97" s="252"/>
      <c r="H97" s="252"/>
      <c r="I97" s="254"/>
      <c r="J97" s="254"/>
      <c r="K97" s="254"/>
      <c r="L97" s="254"/>
      <c r="M97" s="252"/>
      <c r="N97" s="255"/>
      <c r="O97" s="255"/>
      <c r="P97" s="256"/>
      <c r="Q97" s="255"/>
      <c r="R97" s="257">
        <f>U95</f>
        <v>135300</v>
      </c>
      <c r="S97" s="262">
        <f>R97/R102</f>
        <v>0.12727082714655702</v>
      </c>
      <c r="Y97" s="248"/>
      <c r="Z97" s="357">
        <f>J75+K75+J79+K80+L80+I81+I82+I83+I87+I88</f>
        <v>637</v>
      </c>
      <c r="AA97" s="358">
        <f>J76+L76+I77+L78+K84+I85+K85+I86+K86</f>
        <v>184</v>
      </c>
    </row>
    <row r="98" spans="1:36" x14ac:dyDescent="0.3">
      <c r="A98" s="251" t="s">
        <v>11</v>
      </c>
      <c r="B98" s="252"/>
      <c r="C98" s="252"/>
      <c r="D98" s="252"/>
      <c r="E98" s="252"/>
      <c r="F98" s="253"/>
      <c r="G98" s="252"/>
      <c r="H98" s="252"/>
      <c r="I98" s="254"/>
      <c r="J98" s="254"/>
      <c r="K98" s="254"/>
      <c r="L98" s="254"/>
      <c r="M98" s="252"/>
      <c r="N98" s="255"/>
      <c r="O98" s="255"/>
      <c r="P98" s="256"/>
      <c r="Q98" s="255"/>
      <c r="R98" s="257">
        <f>V95</f>
        <v>772015.3</v>
      </c>
      <c r="S98" s="262">
        <f>R98/R102</f>
        <v>0.72620122543087473</v>
      </c>
      <c r="T98" s="574">
        <f>R95/M95</f>
        <v>1294.8688185140074</v>
      </c>
      <c r="U98" s="489" t="s">
        <v>535</v>
      </c>
      <c r="Z98" s="195">
        <f>Z97/M95</f>
        <v>0.77588306942752738</v>
      </c>
      <c r="AA98" s="247">
        <f>AA97/M95</f>
        <v>0.22411693057247259</v>
      </c>
    </row>
    <row r="99" spans="1:36" x14ac:dyDescent="0.3">
      <c r="A99" s="251" t="s">
        <v>536</v>
      </c>
      <c r="B99" s="252"/>
      <c r="C99" s="252"/>
      <c r="D99" s="252"/>
      <c r="E99" s="252"/>
      <c r="F99" s="253"/>
      <c r="G99" s="252"/>
      <c r="H99" s="252"/>
      <c r="I99" s="254"/>
      <c r="J99" s="254"/>
      <c r="K99" s="254"/>
      <c r="L99" s="254"/>
      <c r="M99" s="252"/>
      <c r="N99" s="255"/>
      <c r="O99" s="255"/>
      <c r="P99" s="256"/>
      <c r="Q99" s="255"/>
      <c r="R99" s="257">
        <f>W95</f>
        <v>155772</v>
      </c>
      <c r="S99" s="262">
        <f>R99/R102</f>
        <v>0.14652794742256819</v>
      </c>
      <c r="X99" s="99"/>
      <c r="Z99" s="2265" t="s">
        <v>537</v>
      </c>
      <c r="AA99" s="2265"/>
    </row>
    <row r="100" spans="1:36" x14ac:dyDescent="0.3">
      <c r="A100" s="251" t="s">
        <v>529</v>
      </c>
      <c r="B100" s="252"/>
      <c r="C100" s="252"/>
      <c r="D100" s="252"/>
      <c r="E100" s="252"/>
      <c r="F100" s="253"/>
      <c r="G100" s="252"/>
      <c r="H100" s="252"/>
      <c r="I100" s="254"/>
      <c r="J100" s="254"/>
      <c r="K100" s="254"/>
      <c r="L100" s="254"/>
      <c r="M100" s="252"/>
      <c r="N100" s="255"/>
      <c r="O100" s="255"/>
      <c r="P100" s="256"/>
      <c r="Q100" s="255"/>
      <c r="R100" s="257">
        <f>Y95/2</f>
        <v>0</v>
      </c>
      <c r="S100" s="262">
        <f>R100/R102</f>
        <v>0</v>
      </c>
      <c r="U100" s="263"/>
    </row>
    <row r="101" spans="1:36" x14ac:dyDescent="0.3">
      <c r="A101" s="251" t="s">
        <v>528</v>
      </c>
      <c r="B101" s="252"/>
      <c r="C101" s="252"/>
      <c r="D101" s="252"/>
      <c r="E101" s="252"/>
      <c r="F101" s="253"/>
      <c r="G101" s="252"/>
      <c r="H101" s="252"/>
      <c r="I101" s="254"/>
      <c r="J101" s="254"/>
      <c r="K101" s="254"/>
      <c r="L101" s="254"/>
      <c r="M101" s="252"/>
      <c r="N101" s="255"/>
      <c r="O101" s="255"/>
      <c r="P101" s="256"/>
      <c r="Q101" s="255"/>
      <c r="R101" s="257">
        <f>X95/2</f>
        <v>0</v>
      </c>
      <c r="S101" s="262">
        <f>R101/R102</f>
        <v>0</v>
      </c>
    </row>
    <row r="102" spans="1:36" x14ac:dyDescent="0.3">
      <c r="A102" s="251"/>
      <c r="B102" s="252"/>
      <c r="C102" s="252"/>
      <c r="D102" s="252"/>
      <c r="E102" s="252"/>
      <c r="F102" s="253"/>
      <c r="G102" s="252"/>
      <c r="H102" s="252"/>
      <c r="I102" s="254"/>
      <c r="J102" s="254"/>
      <c r="K102" s="254"/>
      <c r="L102" s="254"/>
      <c r="M102" s="252"/>
      <c r="N102" s="255"/>
      <c r="O102" s="255"/>
      <c r="P102" s="256"/>
      <c r="Q102" s="255"/>
      <c r="R102" s="264">
        <f>SUM(R97:R101)</f>
        <v>1063087.3</v>
      </c>
      <c r="S102" s="262">
        <f>SUM(S97:S101)</f>
        <v>1</v>
      </c>
    </row>
    <row r="103" spans="1:36" x14ac:dyDescent="0.3">
      <c r="B103" s="2"/>
    </row>
    <row r="106" spans="1:36" x14ac:dyDescent="0.3">
      <c r="E106" s="1" t="s">
        <v>543</v>
      </c>
      <c r="F106" s="2" t="s">
        <v>850</v>
      </c>
      <c r="G106" s="1" t="s">
        <v>545</v>
      </c>
      <c r="H106" s="1"/>
      <c r="I106" s="304">
        <v>0.46</v>
      </c>
      <c r="J106" s="304"/>
    </row>
    <row r="107" spans="1:36" x14ac:dyDescent="0.3">
      <c r="E107" s="1" t="s">
        <v>473</v>
      </c>
      <c r="F107" s="2" t="s">
        <v>152</v>
      </c>
      <c r="G107" s="1" t="s">
        <v>473</v>
      </c>
      <c r="H107" s="1"/>
      <c r="I107" s="1">
        <v>43</v>
      </c>
      <c r="J107" s="1"/>
    </row>
    <row r="108" spans="1:36" x14ac:dyDescent="0.3">
      <c r="E108" s="1" t="s">
        <v>475</v>
      </c>
      <c r="F108" s="2" t="s">
        <v>851</v>
      </c>
      <c r="G108" s="1" t="s">
        <v>475</v>
      </c>
      <c r="H108" s="1"/>
      <c r="I108" s="95">
        <v>1617</v>
      </c>
      <c r="J108" s="95"/>
    </row>
    <row r="109" spans="1:36" x14ac:dyDescent="0.3">
      <c r="E109" s="1" t="s">
        <v>477</v>
      </c>
      <c r="F109" s="2" t="s">
        <v>852</v>
      </c>
      <c r="G109" s="1" t="s">
        <v>477</v>
      </c>
      <c r="H109" s="1"/>
      <c r="I109" s="95">
        <v>66497826</v>
      </c>
      <c r="J109" s="95"/>
    </row>
    <row r="110" spans="1:36" ht="18" x14ac:dyDescent="0.35">
      <c r="A110" s="118" t="s">
        <v>549</v>
      </c>
      <c r="O110" s="3"/>
      <c r="P110" s="115"/>
      <c r="R110" s="3"/>
      <c r="S110" s="99"/>
    </row>
    <row r="111" spans="1:36" x14ac:dyDescent="0.3">
      <c r="O111" s="3"/>
      <c r="P111" s="99"/>
      <c r="R111" s="3"/>
      <c r="S111" s="99"/>
    </row>
    <row r="112" spans="1:36" x14ac:dyDescent="0.3">
      <c r="A112" s="2446" t="s">
        <v>480</v>
      </c>
      <c r="B112" s="2447"/>
      <c r="C112" s="2447"/>
      <c r="D112" s="2447"/>
      <c r="E112" s="2447"/>
      <c r="F112" s="2447"/>
      <c r="G112" s="2447"/>
      <c r="H112" s="2447"/>
      <c r="I112" s="2447"/>
      <c r="J112" s="2447"/>
      <c r="K112" s="2447"/>
      <c r="L112" s="2447"/>
      <c r="M112" s="2447"/>
      <c r="N112" s="2447"/>
      <c r="O112" s="2447"/>
      <c r="P112" s="2447"/>
      <c r="Q112" s="2447"/>
      <c r="R112" s="2447"/>
      <c r="S112" s="2448"/>
      <c r="T112" s="2374" t="s">
        <v>584</v>
      </c>
      <c r="U112" s="2375"/>
      <c r="V112" s="2375"/>
      <c r="W112" s="2375"/>
      <c r="X112" s="2375"/>
      <c r="Y112" s="2375"/>
      <c r="Z112" s="2375"/>
      <c r="AA112" s="2375"/>
      <c r="AB112" s="2375"/>
      <c r="AC112" s="2375"/>
      <c r="AD112" s="2375"/>
      <c r="AE112" s="2375"/>
      <c r="AF112" s="2375"/>
      <c r="AG112" s="2375"/>
      <c r="AH112" s="2375"/>
      <c r="AI112" s="2375"/>
      <c r="AJ112" s="2376"/>
    </row>
    <row r="113" spans="1:36" ht="18" x14ac:dyDescent="0.35">
      <c r="A113" s="2256" t="s">
        <v>482</v>
      </c>
      <c r="B113" s="2258" t="s">
        <v>483</v>
      </c>
      <c r="C113" s="2258" t="s">
        <v>484</v>
      </c>
      <c r="D113" s="2258" t="s">
        <v>485</v>
      </c>
      <c r="E113" s="2258" t="s">
        <v>486</v>
      </c>
      <c r="F113" s="2260" t="s">
        <v>487</v>
      </c>
      <c r="G113" s="2258" t="s">
        <v>488</v>
      </c>
      <c r="H113" s="2258" t="s">
        <v>489</v>
      </c>
      <c r="I113" s="2474" t="s">
        <v>490</v>
      </c>
      <c r="J113" s="327"/>
      <c r="K113" s="327"/>
      <c r="L113" s="2475"/>
      <c r="M113" s="305" t="s">
        <v>491</v>
      </c>
      <c r="N113" s="306" t="s">
        <v>492</v>
      </c>
      <c r="O113" s="306" t="s">
        <v>812</v>
      </c>
      <c r="P113" s="307" t="s">
        <v>493</v>
      </c>
      <c r="Q113" s="306" t="s">
        <v>492</v>
      </c>
      <c r="R113" s="306" t="s">
        <v>494</v>
      </c>
      <c r="S113" s="2343" t="s">
        <v>495</v>
      </c>
      <c r="T113" s="695" t="s">
        <v>496</v>
      </c>
      <c r="U113" s="2409" t="s">
        <v>497</v>
      </c>
      <c r="V113" s="2410"/>
      <c r="W113" s="2410"/>
      <c r="X113" s="2410"/>
      <c r="Y113" s="2410"/>
      <c r="Z113" s="2403" t="s">
        <v>498</v>
      </c>
      <c r="AA113" s="2405"/>
      <c r="AB113" s="2404"/>
      <c r="AC113" s="2404"/>
      <c r="AD113" s="2404"/>
      <c r="AE113" s="2404"/>
      <c r="AF113" s="2404"/>
      <c r="AG113" s="2404"/>
      <c r="AH113" s="2404"/>
      <c r="AI113" s="2404"/>
      <c r="AJ113" s="2405"/>
    </row>
    <row r="114" spans="1:36" ht="18" x14ac:dyDescent="0.35">
      <c r="A114" s="2257"/>
      <c r="B114" s="2259"/>
      <c r="C114" s="2259"/>
      <c r="D114" s="2259"/>
      <c r="E114" s="2259"/>
      <c r="F114" s="2261"/>
      <c r="G114" s="2259"/>
      <c r="H114" s="2259"/>
      <c r="I114" s="310" t="s">
        <v>500</v>
      </c>
      <c r="J114" s="310" t="s">
        <v>501</v>
      </c>
      <c r="K114" s="310" t="s">
        <v>502</v>
      </c>
      <c r="L114" s="310" t="s">
        <v>503</v>
      </c>
      <c r="M114" s="311" t="s">
        <v>504</v>
      </c>
      <c r="N114" s="312" t="s">
        <v>505</v>
      </c>
      <c r="O114" s="312" t="s">
        <v>813</v>
      </c>
      <c r="P114" s="313" t="s">
        <v>506</v>
      </c>
      <c r="Q114" s="312" t="s">
        <v>507</v>
      </c>
      <c r="R114" s="312" t="s">
        <v>507</v>
      </c>
      <c r="S114" s="2344"/>
      <c r="T114" s="696" t="s">
        <v>508</v>
      </c>
      <c r="U114" s="2412"/>
      <c r="V114" s="2413"/>
      <c r="W114" s="2413"/>
      <c r="X114" s="2413"/>
      <c r="Y114" s="2413"/>
      <c r="Z114" s="2406"/>
      <c r="AA114" s="2408"/>
      <c r="AB114" s="2407"/>
      <c r="AC114" s="2407"/>
      <c r="AD114" s="2407"/>
      <c r="AE114" s="2407"/>
      <c r="AF114" s="2407"/>
      <c r="AG114" s="2407"/>
      <c r="AH114" s="2407"/>
      <c r="AI114" s="2407"/>
      <c r="AJ114" s="2408"/>
    </row>
    <row r="115" spans="1:36" ht="18" x14ac:dyDescent="0.35">
      <c r="A115" s="2449" t="s">
        <v>639</v>
      </c>
      <c r="B115" s="2450"/>
      <c r="C115" s="2450"/>
      <c r="D115" s="2450"/>
      <c r="E115" s="2450"/>
      <c r="F115" s="2450"/>
      <c r="G115" s="2450"/>
      <c r="H115" s="2450"/>
      <c r="I115" s="2450"/>
      <c r="J115" s="2450"/>
      <c r="K115" s="2450"/>
      <c r="L115" s="2450"/>
      <c r="M115" s="2450"/>
      <c r="N115" s="2450"/>
      <c r="O115" s="2450"/>
      <c r="P115" s="2450"/>
      <c r="Q115" s="2450"/>
      <c r="R115" s="2450"/>
      <c r="S115" s="2450"/>
      <c r="T115" s="741"/>
      <c r="U115" s="719" t="s">
        <v>510</v>
      </c>
      <c r="V115" s="717" t="s">
        <v>11</v>
      </c>
      <c r="W115" s="717" t="s">
        <v>511</v>
      </c>
      <c r="X115" s="717" t="s">
        <v>512</v>
      </c>
      <c r="Y115" s="718" t="s">
        <v>513</v>
      </c>
      <c r="Z115" s="719" t="s">
        <v>514</v>
      </c>
      <c r="AA115" s="718" t="s">
        <v>515</v>
      </c>
      <c r="AB115" s="818" t="s">
        <v>0</v>
      </c>
      <c r="AC115" s="819" t="s">
        <v>4</v>
      </c>
      <c r="AD115" s="819" t="s">
        <v>2</v>
      </c>
      <c r="AE115" s="819" t="s">
        <v>153</v>
      </c>
      <c r="AF115" s="819" t="s">
        <v>154</v>
      </c>
      <c r="AG115" s="819" t="s">
        <v>155</v>
      </c>
      <c r="AH115" s="819" t="s">
        <v>156</v>
      </c>
      <c r="AI115" s="819" t="s">
        <v>5</v>
      </c>
      <c r="AJ115" s="718" t="s">
        <v>814</v>
      </c>
    </row>
    <row r="116" spans="1:36" x14ac:dyDescent="0.3">
      <c r="A116" s="154"/>
      <c r="B116" s="462"/>
      <c r="C116" s="462"/>
      <c r="D116" s="462"/>
      <c r="E116" s="462"/>
      <c r="F116" s="463"/>
      <c r="G116" s="462"/>
      <c r="H116" s="462"/>
      <c r="I116" s="465"/>
      <c r="J116" s="465"/>
      <c r="K116" s="465"/>
      <c r="L116" s="465"/>
      <c r="M116" s="462"/>
      <c r="N116" s="468"/>
      <c r="O116" s="468"/>
      <c r="P116" s="469"/>
      <c r="Q116" s="468"/>
      <c r="R116" s="468"/>
      <c r="S116" s="532"/>
      <c r="T116" s="149"/>
      <c r="U116" s="280"/>
      <c r="Y116" s="152"/>
      <c r="Z116" s="280"/>
      <c r="AA116" s="152"/>
      <c r="AB116" s="151"/>
      <c r="AC116" s="172"/>
      <c r="AD116" s="172"/>
      <c r="AE116" s="172"/>
      <c r="AF116" s="172"/>
      <c r="AG116" s="172"/>
      <c r="AH116" s="172"/>
      <c r="AI116" s="172"/>
      <c r="AJ116" s="152"/>
    </row>
    <row r="117" spans="1:36" x14ac:dyDescent="0.3">
      <c r="A117" s="157" t="s">
        <v>815</v>
      </c>
      <c r="B117" s="157" t="s">
        <v>157</v>
      </c>
      <c r="C117" s="157" t="s">
        <v>695</v>
      </c>
      <c r="D117" s="157" t="s">
        <v>433</v>
      </c>
      <c r="E117" s="157" t="s">
        <v>520</v>
      </c>
      <c r="F117" s="157" t="s">
        <v>816</v>
      </c>
      <c r="G117" s="1">
        <v>90</v>
      </c>
      <c r="H117" s="157" t="s">
        <v>22</v>
      </c>
      <c r="I117" s="188"/>
      <c r="J117" s="806">
        <v>90</v>
      </c>
      <c r="K117" s="807">
        <v>90</v>
      </c>
      <c r="L117" s="286"/>
      <c r="M117" s="163">
        <v>2</v>
      </c>
      <c r="N117" s="166">
        <v>1398.6</v>
      </c>
      <c r="O117" s="166">
        <f t="shared" ref="O117:O128" si="25">N117*M117*G117</f>
        <v>251747.99999999997</v>
      </c>
      <c r="P117" s="165">
        <v>0.7</v>
      </c>
      <c r="Q117" s="186">
        <f t="shared" ref="Q117:Q128" si="26">N117*(1-P117)</f>
        <v>419.58000000000004</v>
      </c>
      <c r="R117" s="166">
        <f>Q117*M117*G117</f>
        <v>75524.400000000009</v>
      </c>
      <c r="S117" s="178">
        <f>R117/$R$135</f>
        <v>0.11167451142290355</v>
      </c>
      <c r="T117" s="168">
        <f>R117*3</f>
        <v>226573.2</v>
      </c>
      <c r="U117" s="280"/>
      <c r="V117" s="169">
        <f>T117</f>
        <v>226573.2</v>
      </c>
      <c r="Y117" s="152"/>
      <c r="Z117" s="282">
        <f>T117</f>
        <v>226573.2</v>
      </c>
      <c r="AA117" s="152"/>
      <c r="AB117" s="170">
        <f>T117</f>
        <v>226573.2</v>
      </c>
      <c r="AC117" s="172"/>
      <c r="AD117" s="172"/>
      <c r="AE117" s="174"/>
      <c r="AF117" s="172"/>
      <c r="AG117" s="172"/>
      <c r="AH117" s="172"/>
      <c r="AI117" s="172"/>
      <c r="AJ117" s="152"/>
    </row>
    <row r="118" spans="1:36" x14ac:dyDescent="0.3">
      <c r="A118" s="157" t="s">
        <v>815</v>
      </c>
      <c r="B118" s="157" t="s">
        <v>141</v>
      </c>
      <c r="C118" s="157" t="s">
        <v>817</v>
      </c>
      <c r="D118" s="157" t="s">
        <v>435</v>
      </c>
      <c r="E118" s="157" t="s">
        <v>518</v>
      </c>
      <c r="F118" s="158" t="s">
        <v>834</v>
      </c>
      <c r="G118" s="157">
        <v>1</v>
      </c>
      <c r="H118" s="157" t="s">
        <v>22</v>
      </c>
      <c r="I118" s="474"/>
      <c r="J118" s="726">
        <v>1</v>
      </c>
      <c r="L118" s="286"/>
      <c r="M118" s="163">
        <v>1</v>
      </c>
      <c r="N118" s="166">
        <v>633000</v>
      </c>
      <c r="O118" s="166">
        <f t="shared" si="25"/>
        <v>633000</v>
      </c>
      <c r="P118" s="173">
        <v>0.76</v>
      </c>
      <c r="Q118" s="166">
        <f t="shared" si="26"/>
        <v>151920</v>
      </c>
      <c r="R118" s="166">
        <f t="shared" ref="R118:R128" si="27">Q118*M118*G118</f>
        <v>151920</v>
      </c>
      <c r="S118" s="167">
        <f>R118/$R$135</f>
        <v>0.22463722684811138</v>
      </c>
      <c r="T118" s="168">
        <f t="shared" ref="T118:T128" si="28">R118*3</f>
        <v>455760</v>
      </c>
      <c r="U118" s="282">
        <f t="shared" ref="U118" si="29">T118</f>
        <v>455760</v>
      </c>
      <c r="Y118" s="152"/>
      <c r="Z118" s="282"/>
      <c r="AA118" s="171">
        <f t="shared" ref="AA118:AA119" si="30">T118</f>
        <v>455760</v>
      </c>
      <c r="AB118" s="151"/>
      <c r="AC118" s="174">
        <f>T118</f>
        <v>455760</v>
      </c>
      <c r="AD118" s="174"/>
      <c r="AE118" s="174"/>
      <c r="AF118" s="172"/>
      <c r="AG118" s="172"/>
      <c r="AH118" s="172"/>
      <c r="AI118" s="172"/>
      <c r="AJ118" s="152"/>
    </row>
    <row r="119" spans="1:36" x14ac:dyDescent="0.3">
      <c r="A119" s="157" t="s">
        <v>815</v>
      </c>
      <c r="B119" s="157" t="s">
        <v>141</v>
      </c>
      <c r="C119" s="157" t="s">
        <v>819</v>
      </c>
      <c r="D119" s="157" t="s">
        <v>142</v>
      </c>
      <c r="E119" s="157" t="s">
        <v>518</v>
      </c>
      <c r="F119" s="157" t="s">
        <v>835</v>
      </c>
      <c r="G119" s="1">
        <v>19</v>
      </c>
      <c r="H119" s="157" t="s">
        <v>22</v>
      </c>
      <c r="I119" s="474"/>
      <c r="K119" s="726">
        <v>19</v>
      </c>
      <c r="L119" s="286"/>
      <c r="M119" s="163">
        <v>1</v>
      </c>
      <c r="N119" s="166">
        <v>26400</v>
      </c>
      <c r="O119" s="166">
        <f t="shared" si="25"/>
        <v>501600</v>
      </c>
      <c r="P119" s="173">
        <v>0.76</v>
      </c>
      <c r="Q119" s="186">
        <f t="shared" si="26"/>
        <v>6336</v>
      </c>
      <c r="R119" s="166">
        <f t="shared" si="27"/>
        <v>120384</v>
      </c>
      <c r="S119" s="167">
        <f>R119/$R$135</f>
        <v>0.17800637122750818</v>
      </c>
      <c r="T119" s="168">
        <f t="shared" si="28"/>
        <v>361152</v>
      </c>
      <c r="U119" s="280"/>
      <c r="V119" s="169">
        <f>T119</f>
        <v>361152</v>
      </c>
      <c r="Y119" s="152"/>
      <c r="Z119" s="280"/>
      <c r="AA119" s="171">
        <f t="shared" si="30"/>
        <v>361152</v>
      </c>
      <c r="AB119" s="151"/>
      <c r="AC119" s="174">
        <f>T119</f>
        <v>361152</v>
      </c>
      <c r="AD119" s="172"/>
      <c r="AE119" s="172"/>
      <c r="AF119" s="172"/>
      <c r="AG119" s="172"/>
      <c r="AH119" s="172"/>
      <c r="AI119" s="172"/>
      <c r="AJ119" s="152"/>
    </row>
    <row r="120" spans="1:36" x14ac:dyDescent="0.3">
      <c r="A120" s="157" t="s">
        <v>815</v>
      </c>
      <c r="B120" s="157" t="s">
        <v>99</v>
      </c>
      <c r="C120" s="157" t="s">
        <v>695</v>
      </c>
      <c r="D120" s="810" t="s">
        <v>822</v>
      </c>
      <c r="E120" s="157" t="s">
        <v>520</v>
      </c>
      <c r="F120" s="157">
        <v>28</v>
      </c>
      <c r="G120" s="1">
        <v>1</v>
      </c>
      <c r="H120" s="157" t="s">
        <v>22</v>
      </c>
      <c r="I120" s="188"/>
      <c r="J120" s="846">
        <v>28</v>
      </c>
      <c r="K120" s="812"/>
      <c r="L120" s="286"/>
      <c r="M120" s="163">
        <v>1</v>
      </c>
      <c r="N120" s="166">
        <v>67000</v>
      </c>
      <c r="O120" s="166">
        <f t="shared" si="25"/>
        <v>67000</v>
      </c>
      <c r="P120" s="173">
        <v>0.85</v>
      </c>
      <c r="Q120" s="186">
        <f t="shared" si="26"/>
        <v>10050.000000000002</v>
      </c>
      <c r="R120" s="166">
        <f t="shared" si="27"/>
        <v>10050.000000000002</v>
      </c>
      <c r="S120" s="178">
        <f t="shared" ref="S120:S128" si="31">R120/$R$135</f>
        <v>1.4860480054130595E-2</v>
      </c>
      <c r="T120" s="168">
        <f t="shared" si="28"/>
        <v>30150.000000000007</v>
      </c>
      <c r="U120" s="280"/>
      <c r="V120" s="169">
        <f t="shared" ref="V120:V121" si="32">T120</f>
        <v>30150.000000000007</v>
      </c>
      <c r="Y120" s="152"/>
      <c r="Z120" s="282">
        <f t="shared" ref="Z120:Z125" si="33">T120</f>
        <v>30150.000000000007</v>
      </c>
      <c r="AA120" s="152"/>
      <c r="AB120" s="151"/>
      <c r="AC120" s="172"/>
      <c r="AD120" s="174">
        <f>T120</f>
        <v>30150.000000000007</v>
      </c>
      <c r="AE120" s="172"/>
      <c r="AF120" s="172"/>
      <c r="AG120" s="172"/>
      <c r="AH120" s="172"/>
      <c r="AI120" s="172"/>
      <c r="AJ120" s="152"/>
    </row>
    <row r="121" spans="1:36" x14ac:dyDescent="0.3">
      <c r="A121" s="157" t="s">
        <v>815</v>
      </c>
      <c r="B121" s="157" t="s">
        <v>99</v>
      </c>
      <c r="C121" s="157" t="s">
        <v>695</v>
      </c>
      <c r="D121" s="810" t="s">
        <v>439</v>
      </c>
      <c r="E121" s="157" t="s">
        <v>520</v>
      </c>
      <c r="F121" s="157">
        <v>100</v>
      </c>
      <c r="G121" s="1">
        <v>100</v>
      </c>
      <c r="H121" s="157" t="s">
        <v>22</v>
      </c>
      <c r="I121" s="806">
        <v>100</v>
      </c>
      <c r="J121" s="846">
        <v>100</v>
      </c>
      <c r="L121" s="286"/>
      <c r="M121" s="163">
        <v>2</v>
      </c>
      <c r="N121" s="166">
        <v>4427</v>
      </c>
      <c r="O121" s="166">
        <f t="shared" si="25"/>
        <v>885400</v>
      </c>
      <c r="P121" s="173">
        <v>0.85</v>
      </c>
      <c r="Q121" s="186">
        <f t="shared" si="26"/>
        <v>664.05000000000007</v>
      </c>
      <c r="R121" s="166">
        <f t="shared" si="27"/>
        <v>132810</v>
      </c>
      <c r="S121" s="178">
        <f t="shared" si="31"/>
        <v>0.19638013492428696</v>
      </c>
      <c r="T121" s="168">
        <f t="shared" si="28"/>
        <v>398430</v>
      </c>
      <c r="U121" s="280"/>
      <c r="V121" s="169">
        <f t="shared" si="32"/>
        <v>398430</v>
      </c>
      <c r="Y121" s="152"/>
      <c r="Z121" s="282">
        <f t="shared" si="33"/>
        <v>398430</v>
      </c>
      <c r="AA121" s="152"/>
      <c r="AB121" s="151"/>
      <c r="AC121" s="172"/>
      <c r="AD121" s="174">
        <f>T121</f>
        <v>398430</v>
      </c>
      <c r="AE121" s="172"/>
      <c r="AF121" s="172"/>
      <c r="AG121" s="172"/>
      <c r="AH121" s="172"/>
      <c r="AI121" s="172"/>
      <c r="AJ121" s="152"/>
    </row>
    <row r="122" spans="1:36" x14ac:dyDescent="0.3">
      <c r="A122" s="157" t="s">
        <v>815</v>
      </c>
      <c r="B122" s="157" t="s">
        <v>440</v>
      </c>
      <c r="C122" s="157" t="s">
        <v>696</v>
      </c>
      <c r="D122" s="814" t="s">
        <v>441</v>
      </c>
      <c r="E122" s="157" t="s">
        <v>520</v>
      </c>
      <c r="F122" s="157" t="s">
        <v>522</v>
      </c>
      <c r="G122" s="1">
        <v>10</v>
      </c>
      <c r="H122" s="157" t="s">
        <v>63</v>
      </c>
      <c r="I122" s="159">
        <v>10</v>
      </c>
      <c r="J122" s="161"/>
      <c r="L122" s="286"/>
      <c r="M122" s="163">
        <v>1</v>
      </c>
      <c r="N122" s="166">
        <v>2300</v>
      </c>
      <c r="O122" s="166">
        <f t="shared" si="25"/>
        <v>23000</v>
      </c>
      <c r="P122" s="173">
        <v>0.5</v>
      </c>
      <c r="Q122" s="186">
        <f t="shared" si="26"/>
        <v>1150</v>
      </c>
      <c r="R122" s="166">
        <f t="shared" si="27"/>
        <v>11500</v>
      </c>
      <c r="S122" s="178">
        <f t="shared" si="31"/>
        <v>1.7004529415174309E-2</v>
      </c>
      <c r="T122" s="168">
        <f t="shared" si="28"/>
        <v>34500</v>
      </c>
      <c r="U122" s="282">
        <f>T122</f>
        <v>34500</v>
      </c>
      <c r="Y122" s="152"/>
      <c r="Z122" s="282">
        <f t="shared" si="33"/>
        <v>34500</v>
      </c>
      <c r="AA122" s="152"/>
      <c r="AB122" s="151"/>
      <c r="AC122" s="172"/>
      <c r="AD122" s="174"/>
      <c r="AE122" s="174">
        <f>T122</f>
        <v>34500</v>
      </c>
      <c r="AF122" s="172"/>
      <c r="AG122" s="172"/>
      <c r="AH122" s="172"/>
      <c r="AI122" s="172"/>
      <c r="AJ122" s="152"/>
    </row>
    <row r="123" spans="1:36" x14ac:dyDescent="0.3">
      <c r="A123" s="157" t="s">
        <v>815</v>
      </c>
      <c r="B123" s="157" t="s">
        <v>440</v>
      </c>
      <c r="C123" s="157" t="s">
        <v>696</v>
      </c>
      <c r="D123" s="157" t="s">
        <v>442</v>
      </c>
      <c r="E123" s="157" t="s">
        <v>520</v>
      </c>
      <c r="F123" s="157" t="s">
        <v>522</v>
      </c>
      <c r="G123" s="1">
        <v>10</v>
      </c>
      <c r="H123" s="157" t="s">
        <v>63</v>
      </c>
      <c r="I123" s="175">
        <v>10</v>
      </c>
      <c r="J123" s="176"/>
      <c r="L123" s="162"/>
      <c r="M123" s="163">
        <v>1</v>
      </c>
      <c r="N123" s="166">
        <v>2300</v>
      </c>
      <c r="O123" s="166">
        <f t="shared" si="25"/>
        <v>23000</v>
      </c>
      <c r="P123" s="173">
        <v>0.5</v>
      </c>
      <c r="Q123" s="186">
        <f t="shared" si="26"/>
        <v>1150</v>
      </c>
      <c r="R123" s="166">
        <f t="shared" si="27"/>
        <v>11500</v>
      </c>
      <c r="S123" s="178">
        <f t="shared" si="31"/>
        <v>1.7004529415174309E-2</v>
      </c>
      <c r="T123" s="168">
        <f t="shared" si="28"/>
        <v>34500</v>
      </c>
      <c r="U123" s="282">
        <f>T123</f>
        <v>34500</v>
      </c>
      <c r="Y123" s="152"/>
      <c r="Z123" s="282">
        <f t="shared" si="33"/>
        <v>34500</v>
      </c>
      <c r="AA123" s="152"/>
      <c r="AB123" s="151"/>
      <c r="AC123" s="172"/>
      <c r="AD123" s="174"/>
      <c r="AE123" s="174">
        <f>T123</f>
        <v>34500</v>
      </c>
      <c r="AF123" s="172"/>
      <c r="AG123" s="172"/>
      <c r="AH123" s="172"/>
      <c r="AI123" s="172"/>
      <c r="AJ123" s="152"/>
    </row>
    <row r="124" spans="1:36" x14ac:dyDescent="0.3">
      <c r="A124" s="157" t="s">
        <v>815</v>
      </c>
      <c r="B124" s="157" t="s">
        <v>443</v>
      </c>
      <c r="C124" s="157" t="s">
        <v>817</v>
      </c>
      <c r="D124" s="157" t="s">
        <v>26</v>
      </c>
      <c r="E124" s="157" t="s">
        <v>520</v>
      </c>
      <c r="F124" s="808" t="s">
        <v>824</v>
      </c>
      <c r="G124" s="1">
        <v>2</v>
      </c>
      <c r="H124" s="157" t="s">
        <v>24</v>
      </c>
      <c r="I124" s="175">
        <v>2</v>
      </c>
      <c r="J124" s="176"/>
      <c r="K124" s="176"/>
      <c r="L124" s="177"/>
      <c r="M124" s="163">
        <v>1</v>
      </c>
      <c r="N124" s="166">
        <v>8500</v>
      </c>
      <c r="O124" s="166">
        <f t="shared" si="25"/>
        <v>17000</v>
      </c>
      <c r="P124" s="173">
        <v>0.35</v>
      </c>
      <c r="Q124" s="186">
        <f t="shared" si="26"/>
        <v>5525</v>
      </c>
      <c r="R124" s="166">
        <f t="shared" si="27"/>
        <v>11050</v>
      </c>
      <c r="S124" s="178">
        <f t="shared" si="31"/>
        <v>1.633913478588488E-2</v>
      </c>
      <c r="T124" s="168">
        <f t="shared" si="28"/>
        <v>33150</v>
      </c>
      <c r="U124" s="282">
        <f>T124</f>
        <v>33150</v>
      </c>
      <c r="Y124" s="152"/>
      <c r="Z124" s="282">
        <f t="shared" si="33"/>
        <v>33150</v>
      </c>
      <c r="AA124" s="152"/>
      <c r="AB124" s="151"/>
      <c r="AC124" s="172"/>
      <c r="AD124" s="172"/>
      <c r="AE124" s="172"/>
      <c r="AF124" s="174">
        <f>T124</f>
        <v>33150</v>
      </c>
      <c r="AG124" s="172"/>
      <c r="AH124" s="172"/>
      <c r="AI124" s="172"/>
      <c r="AJ124" s="152"/>
    </row>
    <row r="125" spans="1:36" x14ac:dyDescent="0.3">
      <c r="A125" s="157" t="s">
        <v>815</v>
      </c>
      <c r="B125" s="157" t="s">
        <v>444</v>
      </c>
      <c r="C125" s="157" t="s">
        <v>817</v>
      </c>
      <c r="D125" s="157" t="s">
        <v>445</v>
      </c>
      <c r="E125" s="157" t="s">
        <v>524</v>
      </c>
      <c r="F125" s="157" t="s">
        <v>834</v>
      </c>
      <c r="G125" s="1">
        <v>1</v>
      </c>
      <c r="H125" s="157" t="s">
        <v>24</v>
      </c>
      <c r="I125" s="175">
        <v>1</v>
      </c>
      <c r="J125" s="688"/>
      <c r="L125" s="286"/>
      <c r="M125" s="163">
        <v>1</v>
      </c>
      <c r="N125" s="166">
        <v>65200</v>
      </c>
      <c r="O125" s="166">
        <f t="shared" si="25"/>
        <v>65200</v>
      </c>
      <c r="P125" s="173">
        <v>0.49</v>
      </c>
      <c r="Q125" s="186">
        <f t="shared" si="26"/>
        <v>33252</v>
      </c>
      <c r="R125" s="166">
        <f t="shared" si="27"/>
        <v>33252</v>
      </c>
      <c r="S125" s="178">
        <f t="shared" si="31"/>
        <v>4.9168227140293577E-2</v>
      </c>
      <c r="T125" s="168">
        <f t="shared" si="28"/>
        <v>99756</v>
      </c>
      <c r="U125" s="282">
        <f>T125</f>
        <v>99756</v>
      </c>
      <c r="Y125" s="152"/>
      <c r="Z125" s="282">
        <f t="shared" si="33"/>
        <v>99756</v>
      </c>
      <c r="AA125" s="152"/>
      <c r="AB125" s="151"/>
      <c r="AC125" s="172"/>
      <c r="AD125" s="172"/>
      <c r="AE125" s="172"/>
      <c r="AF125" s="172"/>
      <c r="AG125" s="174">
        <f>T125</f>
        <v>99756</v>
      </c>
      <c r="AH125" s="172"/>
      <c r="AI125" s="172"/>
      <c r="AJ125" s="152"/>
    </row>
    <row r="126" spans="1:36" x14ac:dyDescent="0.3">
      <c r="A126" s="157" t="s">
        <v>815</v>
      </c>
      <c r="B126" s="157" t="s">
        <v>158</v>
      </c>
      <c r="C126" s="157" t="s">
        <v>695</v>
      </c>
      <c r="D126" s="157" t="s">
        <v>446</v>
      </c>
      <c r="E126" s="157" t="s">
        <v>518</v>
      </c>
      <c r="F126" s="157">
        <v>88</v>
      </c>
      <c r="G126" s="1">
        <v>1</v>
      </c>
      <c r="H126" s="157" t="s">
        <v>22</v>
      </c>
      <c r="J126" s="176">
        <v>88</v>
      </c>
      <c r="L126" s="286"/>
      <c r="M126" s="157">
        <v>1</v>
      </c>
      <c r="N126" s="166">
        <v>338800</v>
      </c>
      <c r="O126" s="166">
        <f t="shared" si="25"/>
        <v>338800</v>
      </c>
      <c r="P126" s="815">
        <v>0.75</v>
      </c>
      <c r="Q126" s="186">
        <f t="shared" si="26"/>
        <v>84700</v>
      </c>
      <c r="R126" s="166">
        <f t="shared" si="27"/>
        <v>84700</v>
      </c>
      <c r="S126" s="167">
        <f t="shared" si="31"/>
        <v>0.12524205577958816</v>
      </c>
      <c r="T126" s="168">
        <f t="shared" si="28"/>
        <v>254100</v>
      </c>
      <c r="U126" s="280"/>
      <c r="V126" s="169">
        <f>T126</f>
        <v>254100</v>
      </c>
      <c r="Y126" s="152"/>
      <c r="Z126" s="280"/>
      <c r="AA126" s="171">
        <f t="shared" ref="AA126:AA128" si="34">T126</f>
        <v>254100</v>
      </c>
      <c r="AB126" s="151"/>
      <c r="AC126" s="172"/>
      <c r="AD126" s="172"/>
      <c r="AE126" s="172"/>
      <c r="AF126" s="172"/>
      <c r="AG126" s="172"/>
      <c r="AH126" s="174">
        <f>T126</f>
        <v>254100</v>
      </c>
      <c r="AI126" s="172"/>
      <c r="AJ126" s="152"/>
    </row>
    <row r="127" spans="1:36" x14ac:dyDescent="0.3">
      <c r="A127" s="157" t="s">
        <v>815</v>
      </c>
      <c r="B127" s="157" t="s">
        <v>108</v>
      </c>
      <c r="C127" s="157" t="s">
        <v>696</v>
      </c>
      <c r="D127" s="157" t="s">
        <v>448</v>
      </c>
      <c r="E127" s="157" t="s">
        <v>518</v>
      </c>
      <c r="F127" s="157" t="s">
        <v>825</v>
      </c>
      <c r="G127" s="1">
        <v>1</v>
      </c>
      <c r="H127" s="157" t="s">
        <v>63</v>
      </c>
      <c r="I127" s="159">
        <v>1</v>
      </c>
      <c r="J127" s="806"/>
      <c r="L127" s="286"/>
      <c r="M127" s="157">
        <v>1</v>
      </c>
      <c r="N127" s="166">
        <v>12000</v>
      </c>
      <c r="O127" s="166">
        <f t="shared" si="25"/>
        <v>12000</v>
      </c>
      <c r="P127" s="173">
        <v>0.3</v>
      </c>
      <c r="Q127" s="186">
        <f t="shared" si="26"/>
        <v>8400</v>
      </c>
      <c r="R127" s="166">
        <f t="shared" si="27"/>
        <v>8400</v>
      </c>
      <c r="S127" s="167">
        <f t="shared" si="31"/>
        <v>1.2420699746736017E-2</v>
      </c>
      <c r="T127" s="168">
        <f t="shared" si="28"/>
        <v>25200</v>
      </c>
      <c r="U127" s="282">
        <f>T127</f>
        <v>25200</v>
      </c>
      <c r="Y127" s="152"/>
      <c r="Z127" s="280"/>
      <c r="AA127" s="171">
        <f t="shared" si="34"/>
        <v>25200</v>
      </c>
      <c r="AB127" s="151"/>
      <c r="AC127" s="172"/>
      <c r="AD127" s="172"/>
      <c r="AE127" s="172"/>
      <c r="AF127" s="172"/>
      <c r="AG127" s="172"/>
      <c r="AH127" s="172"/>
      <c r="AI127" s="174">
        <f>T127</f>
        <v>25200</v>
      </c>
      <c r="AJ127" s="152"/>
    </row>
    <row r="128" spans="1:36" x14ac:dyDescent="0.3">
      <c r="A128" s="157" t="s">
        <v>815</v>
      </c>
      <c r="B128" s="157" t="s">
        <v>108</v>
      </c>
      <c r="C128" s="157" t="s">
        <v>696</v>
      </c>
      <c r="D128" s="157" t="s">
        <v>449</v>
      </c>
      <c r="E128" s="157" t="s">
        <v>518</v>
      </c>
      <c r="F128" s="157" t="s">
        <v>825</v>
      </c>
      <c r="G128" s="1">
        <v>1</v>
      </c>
      <c r="H128" s="157" t="s">
        <v>63</v>
      </c>
      <c r="I128" s="159">
        <v>1</v>
      </c>
      <c r="J128" s="806"/>
      <c r="L128" s="286"/>
      <c r="M128" s="157">
        <v>1</v>
      </c>
      <c r="N128" s="166">
        <v>36000</v>
      </c>
      <c r="O128" s="166">
        <f t="shared" si="25"/>
        <v>36000</v>
      </c>
      <c r="P128" s="173">
        <v>0.3</v>
      </c>
      <c r="Q128" s="186">
        <f t="shared" si="26"/>
        <v>25200</v>
      </c>
      <c r="R128" s="166">
        <f t="shared" si="27"/>
        <v>25200</v>
      </c>
      <c r="S128" s="167">
        <f t="shared" si="31"/>
        <v>3.7262099240208055E-2</v>
      </c>
      <c r="T128" s="168">
        <f t="shared" si="28"/>
        <v>75600</v>
      </c>
      <c r="U128" s="282">
        <f>T128</f>
        <v>75600</v>
      </c>
      <c r="Y128" s="152"/>
      <c r="Z128" s="280"/>
      <c r="AA128" s="171">
        <f t="shared" si="34"/>
        <v>75600</v>
      </c>
      <c r="AB128" s="151"/>
      <c r="AC128" s="172"/>
      <c r="AD128" s="172"/>
      <c r="AE128" s="172"/>
      <c r="AF128" s="172"/>
      <c r="AG128" s="172"/>
      <c r="AH128" s="172"/>
      <c r="AI128" s="174">
        <f>T128</f>
        <v>75600</v>
      </c>
      <c r="AJ128" s="152"/>
    </row>
    <row r="129" spans="1:36" x14ac:dyDescent="0.3">
      <c r="A129" s="157"/>
      <c r="B129" s="157"/>
      <c r="C129" s="157"/>
      <c r="D129" s="157"/>
      <c r="E129" s="157"/>
      <c r="F129" s="158"/>
      <c r="G129" s="157"/>
      <c r="H129" s="157"/>
      <c r="L129" s="286"/>
      <c r="M129" s="157"/>
      <c r="N129" s="166"/>
      <c r="O129" s="166"/>
      <c r="P129" s="173"/>
      <c r="Q129" s="166"/>
      <c r="R129" s="166"/>
      <c r="S129" s="6"/>
      <c r="T129" s="168"/>
      <c r="U129" s="280"/>
      <c r="X129" s="169"/>
      <c r="Y129" s="152"/>
      <c r="Z129" s="280"/>
      <c r="AA129" s="152"/>
      <c r="AB129" s="151"/>
      <c r="AC129" s="172"/>
      <c r="AD129" s="172"/>
      <c r="AE129" s="172"/>
      <c r="AF129" s="172"/>
      <c r="AG129" s="172"/>
      <c r="AH129" s="172"/>
      <c r="AI129" s="172"/>
      <c r="AJ129" s="152"/>
    </row>
    <row r="130" spans="1:36" x14ac:dyDescent="0.3">
      <c r="A130" s="157"/>
      <c r="B130" s="157"/>
      <c r="C130" s="157"/>
      <c r="D130" s="157"/>
      <c r="E130" s="157"/>
      <c r="F130" s="158"/>
      <c r="G130" s="157"/>
      <c r="H130" s="157"/>
      <c r="L130" s="286"/>
      <c r="M130" s="157"/>
      <c r="N130" s="166"/>
      <c r="O130" s="166"/>
      <c r="P130" s="173"/>
      <c r="Q130" s="166"/>
      <c r="R130" s="166"/>
      <c r="S130" s="6"/>
      <c r="T130" s="168"/>
      <c r="U130" s="280"/>
      <c r="X130" s="169"/>
      <c r="Y130" s="152"/>
      <c r="Z130" s="280"/>
      <c r="AA130" s="152"/>
      <c r="AB130" s="151"/>
      <c r="AC130" s="172"/>
      <c r="AD130" s="172"/>
      <c r="AE130" s="172"/>
      <c r="AF130" s="172"/>
      <c r="AG130" s="172"/>
      <c r="AH130" s="172"/>
      <c r="AI130" s="172"/>
      <c r="AJ130" s="152"/>
    </row>
    <row r="131" spans="1:36" x14ac:dyDescent="0.3">
      <c r="A131" s="157"/>
      <c r="B131" s="157"/>
      <c r="C131" s="157"/>
      <c r="D131" s="157"/>
      <c r="E131" s="157"/>
      <c r="F131" s="158"/>
      <c r="G131" s="157"/>
      <c r="H131" s="157"/>
      <c r="L131" s="286"/>
      <c r="M131" s="157"/>
      <c r="N131" s="166"/>
      <c r="O131" s="166"/>
      <c r="P131" s="173"/>
      <c r="Q131" s="166"/>
      <c r="R131" s="166"/>
      <c r="S131" s="6"/>
      <c r="T131" s="168"/>
      <c r="U131" s="280"/>
      <c r="X131" s="169"/>
      <c r="Y131" s="152"/>
      <c r="Z131" s="280"/>
      <c r="AA131" s="152"/>
      <c r="AB131" s="151"/>
      <c r="AC131" s="172"/>
      <c r="AD131" s="172"/>
      <c r="AE131" s="172"/>
      <c r="AF131" s="172"/>
      <c r="AG131" s="172"/>
      <c r="AH131" s="172"/>
      <c r="AI131" s="172"/>
      <c r="AJ131" s="152"/>
    </row>
    <row r="132" spans="1:36" x14ac:dyDescent="0.3">
      <c r="A132" s="108" t="s">
        <v>815</v>
      </c>
      <c r="B132" s="108" t="s">
        <v>528</v>
      </c>
      <c r="C132" s="108"/>
      <c r="D132" s="108"/>
      <c r="E132" s="108"/>
      <c r="F132" s="479"/>
      <c r="G132" s="108"/>
      <c r="H132" s="108"/>
      <c r="I132" s="254"/>
      <c r="J132" s="254"/>
      <c r="K132" s="254"/>
      <c r="L132" s="736"/>
      <c r="M132" s="108"/>
      <c r="N132" s="257"/>
      <c r="O132" s="257"/>
      <c r="P132" s="109"/>
      <c r="Q132" s="257"/>
      <c r="R132" s="257"/>
      <c r="S132" s="256">
        <f>R132/R135</f>
        <v>0</v>
      </c>
      <c r="T132" s="168">
        <f t="shared" ref="T132:T133" si="35">R132*2</f>
        <v>0</v>
      </c>
      <c r="U132" s="280"/>
      <c r="X132" s="169">
        <f>T132</f>
        <v>0</v>
      </c>
      <c r="Y132" s="152"/>
      <c r="Z132" s="280"/>
      <c r="AA132" s="152"/>
      <c r="AB132" s="151"/>
      <c r="AC132" s="172"/>
      <c r="AD132" s="172"/>
      <c r="AE132" s="172"/>
      <c r="AF132" s="172"/>
      <c r="AG132" s="172"/>
      <c r="AH132" s="172"/>
      <c r="AI132" s="172"/>
      <c r="AJ132" s="152"/>
    </row>
    <row r="133" spans="1:36" x14ac:dyDescent="0.3">
      <c r="A133" s="190" t="s">
        <v>815</v>
      </c>
      <c r="B133" s="190" t="s">
        <v>529</v>
      </c>
      <c r="C133" s="190"/>
      <c r="D133" s="190"/>
      <c r="E133" s="190"/>
      <c r="F133" s="191"/>
      <c r="G133" s="190"/>
      <c r="H133" s="190"/>
      <c r="I133" s="245"/>
      <c r="J133" s="245"/>
      <c r="K133" s="245"/>
      <c r="L133" s="287"/>
      <c r="M133" s="190"/>
      <c r="N133" s="194"/>
      <c r="O133" s="194"/>
      <c r="P133" s="195"/>
      <c r="Q133" s="194"/>
      <c r="R133" s="194"/>
      <c r="S133" s="196">
        <f>R133/R135</f>
        <v>0</v>
      </c>
      <c r="T133" s="168">
        <f t="shared" si="35"/>
        <v>0</v>
      </c>
      <c r="U133" s="280"/>
      <c r="Y133" s="171">
        <f>T133</f>
        <v>0</v>
      </c>
      <c r="Z133" s="280"/>
      <c r="AA133" s="152"/>
      <c r="AB133" s="151"/>
      <c r="AC133" s="172"/>
      <c r="AD133" s="172"/>
      <c r="AE133" s="172"/>
      <c r="AF133" s="172"/>
      <c r="AG133" s="172"/>
      <c r="AH133" s="172"/>
      <c r="AI133" s="172"/>
      <c r="AJ133" s="152"/>
    </row>
    <row r="134" spans="1:36" x14ac:dyDescent="0.3">
      <c r="A134" s="286"/>
      <c r="B134" s="157"/>
      <c r="C134" s="157"/>
      <c r="D134" s="157"/>
      <c r="E134" s="157"/>
      <c r="F134" s="158"/>
      <c r="G134" s="157"/>
      <c r="H134" s="157"/>
      <c r="L134" s="286"/>
      <c r="M134" s="157"/>
      <c r="N134" s="166"/>
      <c r="O134" s="166"/>
      <c r="P134" s="173"/>
      <c r="Q134" s="166"/>
      <c r="R134" s="166"/>
      <c r="T134" s="645"/>
      <c r="U134" s="566"/>
      <c r="V134" s="245"/>
      <c r="W134" s="245"/>
      <c r="X134" s="245"/>
      <c r="Y134" s="567"/>
      <c r="Z134" s="566"/>
      <c r="AA134" s="567"/>
      <c r="AB134" s="737"/>
      <c r="AC134" s="738"/>
      <c r="AD134" s="738"/>
      <c r="AE134" s="738"/>
      <c r="AF134" s="738"/>
      <c r="AG134" s="738"/>
      <c r="AH134" s="738"/>
      <c r="AI134" s="738"/>
      <c r="AJ134" s="567"/>
    </row>
    <row r="135" spans="1:36" x14ac:dyDescent="0.3">
      <c r="A135" s="326" t="s">
        <v>531</v>
      </c>
      <c r="B135" s="327"/>
      <c r="C135" s="327"/>
      <c r="D135" s="327"/>
      <c r="E135" s="327"/>
      <c r="F135" s="328"/>
      <c r="G135" s="327"/>
      <c r="H135" s="327"/>
      <c r="I135" s="327">
        <f>I128+I127+I125+I124+I123+I122+I121</f>
        <v>125</v>
      </c>
      <c r="J135" s="327">
        <f>J126+J120+J118+J117+J121</f>
        <v>307</v>
      </c>
      <c r="K135" s="327">
        <f>I121+K119+K117</f>
        <v>209</v>
      </c>
      <c r="L135" s="327"/>
      <c r="M135" s="327">
        <f>SUM(I135:L135)</f>
        <v>641</v>
      </c>
      <c r="N135" s="329"/>
      <c r="O135" s="329">
        <f>SUM(O117:O134)</f>
        <v>2853748</v>
      </c>
      <c r="P135" s="330">
        <f>1-R135/O135</f>
        <v>0.76301677653387756</v>
      </c>
      <c r="Q135" s="329"/>
      <c r="R135" s="331">
        <f>SUM(R116:R134)</f>
        <v>676290.4</v>
      </c>
      <c r="S135" s="332">
        <f>SUM(S116:S133)</f>
        <v>0.99999999999999978</v>
      </c>
      <c r="T135" s="646">
        <f>SUM(T116:T134)</f>
        <v>2028871.2</v>
      </c>
      <c r="U135" s="588">
        <f>SUM(U115:U134)</f>
        <v>758466</v>
      </c>
      <c r="V135" s="589">
        <f t="shared" ref="V135:AA135" si="36">SUM(V116:V133)</f>
        <v>1270405.2</v>
      </c>
      <c r="W135" s="589">
        <f t="shared" si="36"/>
        <v>0</v>
      </c>
      <c r="X135" s="589">
        <f t="shared" si="36"/>
        <v>0</v>
      </c>
      <c r="Y135" s="647">
        <f t="shared" si="36"/>
        <v>0</v>
      </c>
      <c r="Z135" s="648">
        <f t="shared" si="36"/>
        <v>857059.2</v>
      </c>
      <c r="AA135" s="647">
        <f t="shared" si="36"/>
        <v>1171812</v>
      </c>
      <c r="AB135" s="588">
        <f>SUM(AB117:AB134)</f>
        <v>226573.2</v>
      </c>
      <c r="AC135" s="589">
        <f>SUM(AC116:AC134)</f>
        <v>816912</v>
      </c>
      <c r="AD135" s="589">
        <f t="shared" ref="AD135:AI135" si="37">SUM(AD116:AD134)</f>
        <v>428580</v>
      </c>
      <c r="AE135" s="589">
        <f t="shared" si="37"/>
        <v>69000</v>
      </c>
      <c r="AF135" s="589">
        <f t="shared" si="37"/>
        <v>33150</v>
      </c>
      <c r="AG135" s="589">
        <f t="shared" si="37"/>
        <v>99756</v>
      </c>
      <c r="AH135" s="589">
        <f t="shared" si="37"/>
        <v>254100</v>
      </c>
      <c r="AI135" s="589">
        <f t="shared" si="37"/>
        <v>100800</v>
      </c>
      <c r="AJ135" s="647"/>
    </row>
    <row r="136" spans="1:36" x14ac:dyDescent="0.3">
      <c r="A136" s="342" t="s">
        <v>532</v>
      </c>
      <c r="B136" s="343"/>
      <c r="C136" s="343"/>
      <c r="D136" s="343"/>
      <c r="E136" s="343"/>
      <c r="F136" s="344"/>
      <c r="G136" s="343"/>
      <c r="H136" s="343"/>
      <c r="I136" s="343">
        <f>I128+I127+I125+I124+I123+I122+I121</f>
        <v>125</v>
      </c>
      <c r="J136" s="343">
        <f>I128+I127+J126+I125+I124+I123+I122+J120+J118+J117+J121</f>
        <v>332</v>
      </c>
      <c r="K136" s="343">
        <f>I124+K119+K117</f>
        <v>111</v>
      </c>
      <c r="L136" s="343">
        <f>I124</f>
        <v>2</v>
      </c>
      <c r="M136" s="343">
        <f>SUM(I136:L136)</f>
        <v>570</v>
      </c>
      <c r="N136" s="345"/>
      <c r="O136" s="345"/>
      <c r="P136" s="346"/>
      <c r="Q136" s="345"/>
      <c r="R136" s="345"/>
      <c r="S136" s="347"/>
      <c r="T136" s="348"/>
      <c r="U136" s="349">
        <f>U135/T135</f>
        <v>0.37383644659158255</v>
      </c>
      <c r="V136" s="350">
        <f>V135/T135</f>
        <v>0.62616355340841745</v>
      </c>
      <c r="W136" s="350">
        <f>W135/T135</f>
        <v>0</v>
      </c>
      <c r="X136" s="350">
        <f>X135/T135</f>
        <v>0</v>
      </c>
      <c r="Y136" s="352">
        <f>Y135/T135</f>
        <v>0</v>
      </c>
      <c r="Z136" s="351">
        <f>Z135/T135</f>
        <v>0.42243154715784814</v>
      </c>
      <c r="AA136" s="352">
        <f>AA135/T135</f>
        <v>0.57756845284215186</v>
      </c>
      <c r="AB136" s="591"/>
      <c r="AC136" s="524"/>
      <c r="AD136" s="524"/>
      <c r="AE136" s="524"/>
      <c r="AF136" s="524"/>
      <c r="AG136" s="524"/>
      <c r="AH136" s="524"/>
      <c r="AI136" s="524"/>
      <c r="AJ136" s="356"/>
    </row>
    <row r="137" spans="1:36" x14ac:dyDescent="0.3">
      <c r="A137" s="243" t="s">
        <v>533</v>
      </c>
      <c r="B137" s="193"/>
      <c r="C137" s="193"/>
      <c r="D137" s="193"/>
      <c r="E137" s="193"/>
      <c r="F137" s="244"/>
      <c r="G137" s="193"/>
      <c r="H137" s="193"/>
      <c r="I137" s="245"/>
      <c r="J137" s="245"/>
      <c r="K137" s="245"/>
      <c r="L137" s="245"/>
      <c r="M137" s="193"/>
      <c r="N137" s="246"/>
      <c r="O137" s="246"/>
      <c r="P137" s="196"/>
      <c r="Q137" s="246"/>
      <c r="R137" s="194">
        <f>U135/3</f>
        <v>252822</v>
      </c>
      <c r="S137" s="247">
        <f>R137/R142</f>
        <v>0.37383644659158261</v>
      </c>
      <c r="Y137" s="248">
        <f>SUM(U116:Y134)</f>
        <v>2028871.2</v>
      </c>
      <c r="Z137" s="357">
        <f>J117+K117+J120+I121+I122+I123+I124+I125</f>
        <v>331</v>
      </c>
      <c r="AA137" s="358">
        <f>J118+K119+J126+I127+I128</f>
        <v>110</v>
      </c>
    </row>
    <row r="138" spans="1:36" x14ac:dyDescent="0.3">
      <c r="A138" s="251" t="s">
        <v>11</v>
      </c>
      <c r="B138" s="252"/>
      <c r="C138" s="252"/>
      <c r="D138" s="252"/>
      <c r="E138" s="252"/>
      <c r="F138" s="253"/>
      <c r="G138" s="252"/>
      <c r="H138" s="252"/>
      <c r="I138" s="254"/>
      <c r="J138" s="254"/>
      <c r="K138" s="254"/>
      <c r="L138" s="254"/>
      <c r="M138" s="252"/>
      <c r="N138" s="255"/>
      <c r="O138" s="255"/>
      <c r="P138" s="256"/>
      <c r="Q138" s="255"/>
      <c r="R138" s="257">
        <f>V135/3</f>
        <v>423468.39999999997</v>
      </c>
      <c r="S138" s="262">
        <f>R138/R142</f>
        <v>0.62616355340841745</v>
      </c>
      <c r="T138" s="525">
        <f>R135/M135</f>
        <v>1055.0552262090484</v>
      </c>
      <c r="U138" s="526" t="s">
        <v>535</v>
      </c>
      <c r="Z138" s="195">
        <f>Z137/M135</f>
        <v>0.51638065522620902</v>
      </c>
      <c r="AA138" s="247">
        <f>AA137/M135</f>
        <v>0.17160686427457097</v>
      </c>
    </row>
    <row r="139" spans="1:36" x14ac:dyDescent="0.3">
      <c r="A139" s="251" t="s">
        <v>536</v>
      </c>
      <c r="B139" s="252"/>
      <c r="C139" s="252"/>
      <c r="D139" s="252"/>
      <c r="E139" s="252"/>
      <c r="F139" s="253"/>
      <c r="G139" s="252"/>
      <c r="H139" s="252"/>
      <c r="I139" s="254"/>
      <c r="J139" s="254"/>
      <c r="K139" s="254"/>
      <c r="L139" s="254"/>
      <c r="M139" s="252"/>
      <c r="N139" s="255"/>
      <c r="O139" s="255"/>
      <c r="P139" s="256"/>
      <c r="Q139" s="255"/>
      <c r="R139" s="257"/>
      <c r="S139" s="262">
        <f>R139/R142</f>
        <v>0</v>
      </c>
      <c r="X139" s="99"/>
      <c r="Z139" s="2265" t="s">
        <v>537</v>
      </c>
      <c r="AA139" s="2265"/>
    </row>
    <row r="140" spans="1:36" x14ac:dyDescent="0.3">
      <c r="A140" s="251" t="s">
        <v>529</v>
      </c>
      <c r="B140" s="252"/>
      <c r="C140" s="252"/>
      <c r="D140" s="252"/>
      <c r="E140" s="252"/>
      <c r="F140" s="253"/>
      <c r="G140" s="252"/>
      <c r="H140" s="252"/>
      <c r="I140" s="254"/>
      <c r="J140" s="254"/>
      <c r="K140" s="254"/>
      <c r="L140" s="254"/>
      <c r="M140" s="252"/>
      <c r="N140" s="255"/>
      <c r="O140" s="255"/>
      <c r="P140" s="256"/>
      <c r="Q140" s="255"/>
      <c r="R140" s="257">
        <f>Y135/2</f>
        <v>0</v>
      </c>
      <c r="S140" s="262">
        <f>R140/R142</f>
        <v>0</v>
      </c>
      <c r="U140" s="263"/>
    </row>
    <row r="141" spans="1:36" x14ac:dyDescent="0.3">
      <c r="A141" s="251" t="s">
        <v>528</v>
      </c>
      <c r="B141" s="252"/>
      <c r="C141" s="252"/>
      <c r="D141" s="252"/>
      <c r="E141" s="252"/>
      <c r="F141" s="253"/>
      <c r="G141" s="252"/>
      <c r="H141" s="252"/>
      <c r="I141" s="254"/>
      <c r="J141" s="254"/>
      <c r="K141" s="254"/>
      <c r="L141" s="254"/>
      <c r="M141" s="252"/>
      <c r="N141" s="255"/>
      <c r="O141" s="255"/>
      <c r="P141" s="256"/>
      <c r="Q141" s="255"/>
      <c r="R141" s="257">
        <f>X135/2</f>
        <v>0</v>
      </c>
      <c r="S141" s="262">
        <f>R141/R142</f>
        <v>0</v>
      </c>
    </row>
    <row r="142" spans="1:36" x14ac:dyDescent="0.3">
      <c r="A142" s="251"/>
      <c r="B142" s="252"/>
      <c r="C142" s="252"/>
      <c r="D142" s="252"/>
      <c r="E142" s="252"/>
      <c r="F142" s="253"/>
      <c r="G142" s="252"/>
      <c r="H142" s="252"/>
      <c r="I142" s="254"/>
      <c r="J142" s="254"/>
      <c r="K142" s="254"/>
      <c r="L142" s="254"/>
      <c r="M142" s="252"/>
      <c r="N142" s="255"/>
      <c r="O142" s="255"/>
      <c r="P142" s="256"/>
      <c r="Q142" s="255"/>
      <c r="R142" s="264">
        <f>SUM(R137:R141)</f>
        <v>676290.39999999991</v>
      </c>
      <c r="S142" s="262">
        <f>SUM(S137:S141)</f>
        <v>1</v>
      </c>
    </row>
    <row r="143" spans="1:36" x14ac:dyDescent="0.3">
      <c r="A143" s="188"/>
      <c r="N143" s="5"/>
      <c r="O143" s="5"/>
      <c r="P143" s="6"/>
      <c r="Q143" s="5"/>
      <c r="R143" s="7"/>
      <c r="S143" s="6"/>
      <c r="T143" s="5"/>
    </row>
    <row r="144" spans="1:36" ht="18" x14ac:dyDescent="0.35">
      <c r="A144" s="118" t="s">
        <v>549</v>
      </c>
      <c r="N144" s="5"/>
      <c r="O144" s="5"/>
      <c r="P144" s="6"/>
      <c r="Q144" s="5"/>
      <c r="R144" s="7"/>
      <c r="S144" s="6"/>
      <c r="T144" s="5"/>
    </row>
    <row r="145" spans="1:36" x14ac:dyDescent="0.3">
      <c r="A145" s="188"/>
      <c r="N145" s="5"/>
      <c r="O145" s="5"/>
      <c r="P145" s="6"/>
      <c r="Q145" s="5"/>
      <c r="R145" s="7"/>
      <c r="S145" s="6"/>
      <c r="T145" s="5"/>
    </row>
    <row r="146" spans="1:36" x14ac:dyDescent="0.3">
      <c r="A146" s="2446" t="s">
        <v>480</v>
      </c>
      <c r="B146" s="2447"/>
      <c r="C146" s="2447"/>
      <c r="D146" s="2447"/>
      <c r="E146" s="2447"/>
      <c r="F146" s="2447"/>
      <c r="G146" s="2447"/>
      <c r="H146" s="2447"/>
      <c r="I146" s="2447"/>
      <c r="J146" s="2447"/>
      <c r="K146" s="2447"/>
      <c r="L146" s="2447"/>
      <c r="M146" s="2447"/>
      <c r="N146" s="2447"/>
      <c r="O146" s="2447"/>
      <c r="P146" s="2447"/>
      <c r="Q146" s="2447"/>
      <c r="R146" s="2447"/>
      <c r="S146" s="2448"/>
      <c r="T146" s="2374" t="s">
        <v>584</v>
      </c>
      <c r="U146" s="2375"/>
      <c r="V146" s="2375"/>
      <c r="W146" s="2375"/>
      <c r="X146" s="2375"/>
      <c r="Y146" s="2375"/>
      <c r="Z146" s="2375"/>
      <c r="AA146" s="2375"/>
      <c r="AB146" s="2375"/>
      <c r="AC146" s="2375"/>
      <c r="AD146" s="2375"/>
      <c r="AE146" s="2375"/>
      <c r="AF146" s="2375"/>
      <c r="AG146" s="2375"/>
      <c r="AH146" s="2375"/>
      <c r="AI146" s="2375"/>
      <c r="AJ146" s="2376"/>
    </row>
    <row r="147" spans="1:36" ht="18" x14ac:dyDescent="0.35">
      <c r="A147" s="2256" t="s">
        <v>482</v>
      </c>
      <c r="B147" s="2258" t="s">
        <v>483</v>
      </c>
      <c r="C147" s="2258" t="s">
        <v>484</v>
      </c>
      <c r="D147" s="2258" t="s">
        <v>485</v>
      </c>
      <c r="E147" s="2258" t="s">
        <v>486</v>
      </c>
      <c r="F147" s="2260" t="s">
        <v>487</v>
      </c>
      <c r="G147" s="2258" t="s">
        <v>488</v>
      </c>
      <c r="H147" s="2258" t="s">
        <v>489</v>
      </c>
      <c r="I147" s="2474" t="s">
        <v>490</v>
      </c>
      <c r="J147" s="327"/>
      <c r="K147" s="327"/>
      <c r="L147" s="2475"/>
      <c r="M147" s="305" t="s">
        <v>491</v>
      </c>
      <c r="N147" s="306" t="s">
        <v>492</v>
      </c>
      <c r="O147" s="306" t="s">
        <v>812</v>
      </c>
      <c r="P147" s="307" t="s">
        <v>493</v>
      </c>
      <c r="Q147" s="306" t="s">
        <v>492</v>
      </c>
      <c r="R147" s="306" t="s">
        <v>494</v>
      </c>
      <c r="S147" s="2343" t="s">
        <v>495</v>
      </c>
      <c r="T147" s="695" t="s">
        <v>496</v>
      </c>
      <c r="U147" s="2409" t="s">
        <v>497</v>
      </c>
      <c r="V147" s="2410"/>
      <c r="W147" s="2410"/>
      <c r="X147" s="2410"/>
      <c r="Y147" s="2410"/>
      <c r="Z147" s="2403" t="s">
        <v>498</v>
      </c>
      <c r="AA147" s="2405"/>
      <c r="AB147" s="2404"/>
      <c r="AC147" s="2404"/>
      <c r="AD147" s="2404"/>
      <c r="AE147" s="2404"/>
      <c r="AF147" s="2404"/>
      <c r="AG147" s="2404"/>
      <c r="AH147" s="2404"/>
      <c r="AI147" s="2404"/>
      <c r="AJ147" s="2405"/>
    </row>
    <row r="148" spans="1:36" ht="18" x14ac:dyDescent="0.35">
      <c r="A148" s="2257"/>
      <c r="B148" s="2259"/>
      <c r="C148" s="2259"/>
      <c r="D148" s="2259"/>
      <c r="E148" s="2259"/>
      <c r="F148" s="2261"/>
      <c r="G148" s="2259"/>
      <c r="H148" s="2259"/>
      <c r="I148" s="310" t="s">
        <v>500</v>
      </c>
      <c r="J148" s="310" t="s">
        <v>501</v>
      </c>
      <c r="K148" s="310" t="s">
        <v>502</v>
      </c>
      <c r="L148" s="310" t="s">
        <v>503</v>
      </c>
      <c r="M148" s="311" t="s">
        <v>504</v>
      </c>
      <c r="N148" s="312" t="s">
        <v>505</v>
      </c>
      <c r="O148" s="312" t="s">
        <v>813</v>
      </c>
      <c r="P148" s="313" t="s">
        <v>506</v>
      </c>
      <c r="Q148" s="312" t="s">
        <v>507</v>
      </c>
      <c r="R148" s="312" t="s">
        <v>507</v>
      </c>
      <c r="S148" s="2344"/>
      <c r="T148" s="696" t="s">
        <v>508</v>
      </c>
      <c r="U148" s="2412"/>
      <c r="V148" s="2413"/>
      <c r="W148" s="2413"/>
      <c r="X148" s="2413"/>
      <c r="Y148" s="2413"/>
      <c r="Z148" s="2406"/>
      <c r="AA148" s="2408"/>
      <c r="AB148" s="2407"/>
      <c r="AC148" s="2407"/>
      <c r="AD148" s="2407"/>
      <c r="AE148" s="2407"/>
      <c r="AF148" s="2407"/>
      <c r="AG148" s="2407"/>
      <c r="AH148" s="2407"/>
      <c r="AI148" s="2407"/>
      <c r="AJ148" s="2408"/>
    </row>
    <row r="149" spans="1:36" ht="18" x14ac:dyDescent="0.35">
      <c r="A149" s="2377" t="s">
        <v>561</v>
      </c>
      <c r="B149" s="2378"/>
      <c r="C149" s="2378"/>
      <c r="D149" s="2378"/>
      <c r="E149" s="2378"/>
      <c r="F149" s="2378"/>
      <c r="G149" s="2378"/>
      <c r="H149" s="2378"/>
      <c r="I149" s="2378"/>
      <c r="J149" s="2378"/>
      <c r="K149" s="2378"/>
      <c r="L149" s="2378"/>
      <c r="M149" s="2378"/>
      <c r="N149" s="2378"/>
      <c r="O149" s="2378"/>
      <c r="P149" s="2378"/>
      <c r="Q149" s="2378"/>
      <c r="R149" s="2378"/>
      <c r="S149" s="2378"/>
      <c r="T149" s="741"/>
      <c r="U149" s="719" t="s">
        <v>510</v>
      </c>
      <c r="V149" s="717" t="s">
        <v>11</v>
      </c>
      <c r="W149" s="717" t="s">
        <v>511</v>
      </c>
      <c r="X149" s="717" t="s">
        <v>512</v>
      </c>
      <c r="Y149" s="718" t="s">
        <v>513</v>
      </c>
      <c r="Z149" s="719" t="s">
        <v>514</v>
      </c>
      <c r="AA149" s="718" t="s">
        <v>515</v>
      </c>
      <c r="AB149" s="818" t="s">
        <v>0</v>
      </c>
      <c r="AC149" s="819" t="s">
        <v>4</v>
      </c>
      <c r="AD149" s="819" t="s">
        <v>2</v>
      </c>
      <c r="AE149" s="819" t="s">
        <v>153</v>
      </c>
      <c r="AF149" s="819" t="s">
        <v>154</v>
      </c>
      <c r="AG149" s="819" t="s">
        <v>155</v>
      </c>
      <c r="AH149" s="819" t="s">
        <v>156</v>
      </c>
      <c r="AI149" s="819" t="s">
        <v>5</v>
      </c>
      <c r="AJ149" s="718" t="s">
        <v>814</v>
      </c>
    </row>
    <row r="150" spans="1:36" x14ac:dyDescent="0.3">
      <c r="A150" s="154"/>
      <c r="B150" s="462"/>
      <c r="C150" s="462"/>
      <c r="D150" s="462"/>
      <c r="E150" s="462"/>
      <c r="F150" s="463"/>
      <c r="G150" s="462"/>
      <c r="H150" s="462"/>
      <c r="I150" s="465"/>
      <c r="J150" s="465"/>
      <c r="K150" s="465"/>
      <c r="L150" s="465"/>
      <c r="M150" s="462"/>
      <c r="N150" s="468"/>
      <c r="O150" s="468"/>
      <c r="P150" s="469"/>
      <c r="Q150" s="468"/>
      <c r="R150" s="468"/>
      <c r="S150" s="532"/>
      <c r="T150" s="149"/>
      <c r="U150" s="280"/>
      <c r="Y150" s="152"/>
      <c r="Z150" s="280"/>
      <c r="AA150" s="152"/>
      <c r="AB150" s="151"/>
      <c r="AC150" s="172"/>
      <c r="AD150" s="172"/>
      <c r="AE150" s="172"/>
      <c r="AF150" s="172"/>
      <c r="AG150" s="172"/>
      <c r="AH150" s="172"/>
      <c r="AI150" s="172"/>
      <c r="AJ150" s="152"/>
    </row>
    <row r="151" spans="1:36" x14ac:dyDescent="0.3">
      <c r="A151" s="157" t="s">
        <v>815</v>
      </c>
      <c r="B151" s="157" t="s">
        <v>157</v>
      </c>
      <c r="C151" s="157" t="s">
        <v>695</v>
      </c>
      <c r="D151" s="157" t="s">
        <v>433</v>
      </c>
      <c r="E151" s="157" t="s">
        <v>520</v>
      </c>
      <c r="F151" s="157" t="s">
        <v>816</v>
      </c>
      <c r="G151" s="1">
        <v>85</v>
      </c>
      <c r="H151" s="157" t="s">
        <v>22</v>
      </c>
      <c r="I151" s="188"/>
      <c r="J151" s="806">
        <v>85</v>
      </c>
      <c r="K151" s="807">
        <v>85</v>
      </c>
      <c r="L151" s="286"/>
      <c r="M151" s="163">
        <v>2</v>
      </c>
      <c r="N151" s="166">
        <v>1398.6</v>
      </c>
      <c r="O151" s="166">
        <f t="shared" ref="O151:O163" si="38">N151*M151*G151</f>
        <v>237761.99999999997</v>
      </c>
      <c r="P151" s="165">
        <v>0.7</v>
      </c>
      <c r="Q151" s="186">
        <f t="shared" ref="Q151:Q163" si="39">N151*(1-P151)</f>
        <v>419.58000000000004</v>
      </c>
      <c r="R151" s="166">
        <f>Q151*M151*G151</f>
        <v>71328.600000000006</v>
      </c>
      <c r="S151" s="167">
        <f t="shared" ref="S151:S163" si="40">R151/$R$168</f>
        <v>0.10680046158828715</v>
      </c>
      <c r="T151" s="168">
        <f>R151</f>
        <v>71328.600000000006</v>
      </c>
      <c r="U151" s="280"/>
      <c r="V151" s="169">
        <f>T151</f>
        <v>71328.600000000006</v>
      </c>
      <c r="Y151" s="152"/>
      <c r="Z151" s="282">
        <f>T151</f>
        <v>71328.600000000006</v>
      </c>
      <c r="AA151" s="152"/>
      <c r="AB151" s="170">
        <f>T151</f>
        <v>71328.600000000006</v>
      </c>
      <c r="AC151" s="172"/>
      <c r="AD151" s="172"/>
      <c r="AE151" s="174"/>
      <c r="AF151" s="172"/>
      <c r="AG151" s="172"/>
      <c r="AH151" s="172"/>
      <c r="AI151" s="172"/>
      <c r="AJ151" s="152"/>
    </row>
    <row r="152" spans="1:36" x14ac:dyDescent="0.3">
      <c r="A152" s="157" t="s">
        <v>815</v>
      </c>
      <c r="B152" s="157" t="s">
        <v>141</v>
      </c>
      <c r="C152" s="157" t="s">
        <v>819</v>
      </c>
      <c r="D152" s="157" t="s">
        <v>142</v>
      </c>
      <c r="E152" s="157" t="s">
        <v>518</v>
      </c>
      <c r="F152" s="157" t="s">
        <v>835</v>
      </c>
      <c r="G152" s="1">
        <v>27</v>
      </c>
      <c r="H152" s="157" t="s">
        <v>22</v>
      </c>
      <c r="I152" s="474"/>
      <c r="K152" s="807">
        <v>27</v>
      </c>
      <c r="L152" s="286"/>
      <c r="M152" s="163">
        <v>1</v>
      </c>
      <c r="N152" s="166">
        <v>26400</v>
      </c>
      <c r="O152" s="166">
        <f t="shared" si="38"/>
        <v>712800</v>
      </c>
      <c r="P152" s="173">
        <v>0.76</v>
      </c>
      <c r="Q152" s="186">
        <f t="shared" si="39"/>
        <v>6336</v>
      </c>
      <c r="R152" s="166">
        <f t="shared" ref="R152:R161" si="41">Q152*M152*G152</f>
        <v>171072</v>
      </c>
      <c r="S152" s="184">
        <f t="shared" si="40"/>
        <v>0.2561464624965506</v>
      </c>
      <c r="T152" s="168">
        <f t="shared" ref="T152:T163" si="42">R152</f>
        <v>171072</v>
      </c>
      <c r="U152" s="280"/>
      <c r="V152" s="169">
        <f>T152</f>
        <v>171072</v>
      </c>
      <c r="Y152" s="152"/>
      <c r="Z152" s="280"/>
      <c r="AA152" s="171">
        <f t="shared" ref="AA152:AA153" si="43">T152</f>
        <v>171072</v>
      </c>
      <c r="AB152" s="151"/>
      <c r="AC152" s="174">
        <f>T152</f>
        <v>171072</v>
      </c>
      <c r="AD152" s="174"/>
      <c r="AE152" s="174"/>
      <c r="AF152" s="172"/>
      <c r="AG152" s="172"/>
      <c r="AH152" s="172"/>
      <c r="AI152" s="172"/>
      <c r="AJ152" s="152"/>
    </row>
    <row r="153" spans="1:36" x14ac:dyDescent="0.3">
      <c r="A153" s="157" t="s">
        <v>815</v>
      </c>
      <c r="B153" s="157" t="s">
        <v>99</v>
      </c>
      <c r="C153" s="157" t="s">
        <v>695</v>
      </c>
      <c r="D153" s="810" t="s">
        <v>821</v>
      </c>
      <c r="E153" s="157" t="s">
        <v>518</v>
      </c>
      <c r="F153" s="157">
        <v>16</v>
      </c>
      <c r="G153" s="1">
        <v>1</v>
      </c>
      <c r="H153" s="157" t="s">
        <v>22</v>
      </c>
      <c r="I153" s="188"/>
      <c r="J153" s="807">
        <v>16</v>
      </c>
      <c r="L153" s="286"/>
      <c r="M153" s="163">
        <v>1</v>
      </c>
      <c r="N153" s="166">
        <v>189142</v>
      </c>
      <c r="O153" s="166">
        <f t="shared" si="38"/>
        <v>189142</v>
      </c>
      <c r="P153" s="173">
        <v>0.85</v>
      </c>
      <c r="Q153" s="186">
        <f t="shared" si="39"/>
        <v>28371.300000000003</v>
      </c>
      <c r="R153" s="166">
        <f t="shared" si="41"/>
        <v>28371.300000000003</v>
      </c>
      <c r="S153" s="184">
        <f t="shared" si="40"/>
        <v>4.2480406679225043E-2</v>
      </c>
      <c r="T153" s="168">
        <f t="shared" si="42"/>
        <v>28371.300000000003</v>
      </c>
      <c r="U153" s="280"/>
      <c r="V153" s="169">
        <f>T153</f>
        <v>28371.300000000003</v>
      </c>
      <c r="Y153" s="152"/>
      <c r="Z153" s="280"/>
      <c r="AA153" s="171">
        <f t="shared" si="43"/>
        <v>28371.300000000003</v>
      </c>
      <c r="AB153" s="151"/>
      <c r="AC153" s="174"/>
      <c r="AD153" s="174">
        <f>T153</f>
        <v>28371.300000000003</v>
      </c>
      <c r="AE153" s="172"/>
      <c r="AF153" s="172"/>
      <c r="AG153" s="172"/>
      <c r="AH153" s="172"/>
      <c r="AI153" s="172"/>
      <c r="AJ153" s="152"/>
    </row>
    <row r="154" spans="1:36" x14ac:dyDescent="0.3">
      <c r="A154" s="157" t="s">
        <v>815</v>
      </c>
      <c r="B154" s="157" t="s">
        <v>99</v>
      </c>
      <c r="C154" s="157" t="s">
        <v>695</v>
      </c>
      <c r="D154" s="810" t="s">
        <v>822</v>
      </c>
      <c r="E154" s="157" t="s">
        <v>520</v>
      </c>
      <c r="F154" s="157">
        <v>28</v>
      </c>
      <c r="G154" s="1">
        <v>1</v>
      </c>
      <c r="H154" s="157" t="s">
        <v>22</v>
      </c>
      <c r="I154" s="811">
        <v>28</v>
      </c>
      <c r="J154" s="813"/>
      <c r="K154" s="812"/>
      <c r="L154" s="286"/>
      <c r="M154" s="163">
        <v>1</v>
      </c>
      <c r="N154" s="166">
        <v>67000</v>
      </c>
      <c r="O154" s="166">
        <f t="shared" si="38"/>
        <v>67000</v>
      </c>
      <c r="P154" s="173">
        <v>0.85</v>
      </c>
      <c r="Q154" s="186">
        <f t="shared" si="39"/>
        <v>10050.000000000002</v>
      </c>
      <c r="R154" s="166">
        <f t="shared" si="41"/>
        <v>10050.000000000002</v>
      </c>
      <c r="S154" s="167">
        <f t="shared" si="40"/>
        <v>1.5047885966670956E-2</v>
      </c>
      <c r="T154" s="168">
        <f t="shared" si="42"/>
        <v>10050.000000000002</v>
      </c>
      <c r="U154" s="280"/>
      <c r="V154" s="169">
        <f t="shared" ref="V154:V155" si="44">T154</f>
        <v>10050.000000000002</v>
      </c>
      <c r="Y154" s="152"/>
      <c r="Z154" s="282">
        <f t="shared" ref="Z154:Z158" si="45">T154</f>
        <v>10050.000000000002</v>
      </c>
      <c r="AA154" s="152"/>
      <c r="AB154" s="151"/>
      <c r="AC154" s="172"/>
      <c r="AD154" s="174">
        <f>T154</f>
        <v>10050.000000000002</v>
      </c>
      <c r="AE154" s="172"/>
      <c r="AF154" s="172"/>
      <c r="AG154" s="172"/>
      <c r="AH154" s="172"/>
      <c r="AI154" s="172"/>
      <c r="AJ154" s="152"/>
    </row>
    <row r="155" spans="1:36" x14ac:dyDescent="0.3">
      <c r="A155" s="157" t="s">
        <v>815</v>
      </c>
      <c r="B155" s="157" t="s">
        <v>99</v>
      </c>
      <c r="C155" s="157" t="s">
        <v>695</v>
      </c>
      <c r="D155" s="810" t="s">
        <v>439</v>
      </c>
      <c r="E155" s="157" t="s">
        <v>520</v>
      </c>
      <c r="F155" s="157">
        <v>100</v>
      </c>
      <c r="G155" s="1">
        <v>100</v>
      </c>
      <c r="H155" s="157" t="s">
        <v>22</v>
      </c>
      <c r="I155" s="188"/>
      <c r="J155" s="847">
        <v>100</v>
      </c>
      <c r="K155" s="828">
        <v>100</v>
      </c>
      <c r="L155" s="286"/>
      <c r="M155" s="163">
        <v>2</v>
      </c>
      <c r="N155" s="166">
        <v>4427</v>
      </c>
      <c r="O155" s="166">
        <f t="shared" si="38"/>
        <v>885400</v>
      </c>
      <c r="P155" s="173">
        <v>0.85</v>
      </c>
      <c r="Q155" s="186">
        <f t="shared" si="39"/>
        <v>664.05000000000007</v>
      </c>
      <c r="R155" s="166">
        <f t="shared" si="41"/>
        <v>132810</v>
      </c>
      <c r="S155" s="167">
        <f t="shared" si="40"/>
        <v>0.19885669007299198</v>
      </c>
      <c r="T155" s="168">
        <f t="shared" si="42"/>
        <v>132810</v>
      </c>
      <c r="U155" s="280"/>
      <c r="V155" s="169">
        <f t="shared" si="44"/>
        <v>132810</v>
      </c>
      <c r="Y155" s="152"/>
      <c r="Z155" s="282">
        <f t="shared" si="45"/>
        <v>132810</v>
      </c>
      <c r="AA155" s="152"/>
      <c r="AB155" s="151"/>
      <c r="AC155" s="172"/>
      <c r="AD155" s="174">
        <f>T155</f>
        <v>132810</v>
      </c>
      <c r="AE155" s="172"/>
      <c r="AF155" s="172"/>
      <c r="AG155" s="172"/>
      <c r="AH155" s="172"/>
      <c r="AI155" s="172"/>
      <c r="AJ155" s="152"/>
    </row>
    <row r="156" spans="1:36" x14ac:dyDescent="0.3">
      <c r="A156" s="157" t="s">
        <v>815</v>
      </c>
      <c r="B156" s="157" t="s">
        <v>440</v>
      </c>
      <c r="C156" s="157" t="s">
        <v>696</v>
      </c>
      <c r="D156" s="814" t="s">
        <v>441</v>
      </c>
      <c r="E156" s="157" t="s">
        <v>520</v>
      </c>
      <c r="F156" s="157" t="s">
        <v>522</v>
      </c>
      <c r="G156" s="1">
        <v>22</v>
      </c>
      <c r="H156" s="157" t="s">
        <v>63</v>
      </c>
      <c r="I156" s="159">
        <v>22</v>
      </c>
      <c r="J156" s="161"/>
      <c r="L156" s="286"/>
      <c r="M156" s="163">
        <v>1</v>
      </c>
      <c r="N156" s="166">
        <v>2300</v>
      </c>
      <c r="O156" s="166">
        <f t="shared" si="38"/>
        <v>50600</v>
      </c>
      <c r="P156" s="173">
        <v>0.5</v>
      </c>
      <c r="Q156" s="186">
        <f t="shared" si="39"/>
        <v>1150</v>
      </c>
      <c r="R156" s="166">
        <f t="shared" si="41"/>
        <v>25300</v>
      </c>
      <c r="S156" s="167">
        <f t="shared" si="40"/>
        <v>3.7881742781768667E-2</v>
      </c>
      <c r="T156" s="168">
        <f t="shared" si="42"/>
        <v>25300</v>
      </c>
      <c r="U156" s="282">
        <f>T156</f>
        <v>25300</v>
      </c>
      <c r="Y156" s="152"/>
      <c r="Z156" s="282">
        <f t="shared" si="45"/>
        <v>25300</v>
      </c>
      <c r="AA156" s="152"/>
      <c r="AB156" s="151"/>
      <c r="AC156" s="172"/>
      <c r="AD156" s="174"/>
      <c r="AE156" s="174">
        <f>T156</f>
        <v>25300</v>
      </c>
      <c r="AF156" s="172"/>
      <c r="AG156" s="172"/>
      <c r="AH156" s="172"/>
      <c r="AI156" s="172"/>
      <c r="AJ156" s="152"/>
    </row>
    <row r="157" spans="1:36" x14ac:dyDescent="0.3">
      <c r="A157" s="157" t="s">
        <v>815</v>
      </c>
      <c r="B157" s="157" t="s">
        <v>440</v>
      </c>
      <c r="C157" s="157" t="s">
        <v>696</v>
      </c>
      <c r="D157" s="157" t="s">
        <v>442</v>
      </c>
      <c r="E157" s="157" t="s">
        <v>520</v>
      </c>
      <c r="F157" s="157" t="s">
        <v>522</v>
      </c>
      <c r="G157" s="1">
        <v>22</v>
      </c>
      <c r="H157" s="157" t="s">
        <v>63</v>
      </c>
      <c r="I157" s="175">
        <v>22</v>
      </c>
      <c r="J157" s="176"/>
      <c r="L157" s="162"/>
      <c r="M157" s="163">
        <v>1</v>
      </c>
      <c r="N157" s="166">
        <v>2300</v>
      </c>
      <c r="O157" s="166">
        <f t="shared" si="38"/>
        <v>50600</v>
      </c>
      <c r="P157" s="173">
        <v>0.5</v>
      </c>
      <c r="Q157" s="186">
        <f t="shared" si="39"/>
        <v>1150</v>
      </c>
      <c r="R157" s="166">
        <f t="shared" si="41"/>
        <v>25300</v>
      </c>
      <c r="S157" s="167">
        <f t="shared" si="40"/>
        <v>3.7881742781768667E-2</v>
      </c>
      <c r="T157" s="168">
        <f t="shared" si="42"/>
        <v>25300</v>
      </c>
      <c r="U157" s="282">
        <f>T157</f>
        <v>25300</v>
      </c>
      <c r="Y157" s="152"/>
      <c r="Z157" s="282">
        <f t="shared" si="45"/>
        <v>25300</v>
      </c>
      <c r="AA157" s="152"/>
      <c r="AB157" s="151"/>
      <c r="AC157" s="172"/>
      <c r="AD157" s="174"/>
      <c r="AE157" s="174">
        <f>T157</f>
        <v>25300</v>
      </c>
      <c r="AF157" s="172"/>
      <c r="AG157" s="172"/>
      <c r="AH157" s="172"/>
      <c r="AI157" s="172"/>
      <c r="AJ157" s="152"/>
    </row>
    <row r="158" spans="1:36" x14ac:dyDescent="0.3">
      <c r="A158" s="157" t="s">
        <v>815</v>
      </c>
      <c r="B158" s="157" t="s">
        <v>443</v>
      </c>
      <c r="C158" s="157" t="s">
        <v>817</v>
      </c>
      <c r="D158" s="157" t="s">
        <v>26</v>
      </c>
      <c r="E158" s="157" t="s">
        <v>520</v>
      </c>
      <c r="F158" s="808" t="s">
        <v>824</v>
      </c>
      <c r="G158" s="1">
        <v>2</v>
      </c>
      <c r="H158" s="157" t="s">
        <v>24</v>
      </c>
      <c r="I158" s="175">
        <v>2</v>
      </c>
      <c r="J158" s="176"/>
      <c r="K158" s="176"/>
      <c r="L158" s="177"/>
      <c r="M158" s="163">
        <v>1</v>
      </c>
      <c r="N158" s="166">
        <v>8500</v>
      </c>
      <c r="O158" s="166">
        <f t="shared" si="38"/>
        <v>17000</v>
      </c>
      <c r="P158" s="173">
        <v>0.35</v>
      </c>
      <c r="Q158" s="186">
        <f t="shared" si="39"/>
        <v>5525</v>
      </c>
      <c r="R158" s="166">
        <f t="shared" si="41"/>
        <v>11050</v>
      </c>
      <c r="S158" s="167">
        <f t="shared" si="40"/>
        <v>1.6545188052906869E-2</v>
      </c>
      <c r="T158" s="168">
        <f t="shared" si="42"/>
        <v>11050</v>
      </c>
      <c r="U158" s="282">
        <f>T158</f>
        <v>11050</v>
      </c>
      <c r="Y158" s="152"/>
      <c r="Z158" s="282">
        <f t="shared" si="45"/>
        <v>11050</v>
      </c>
      <c r="AA158" s="152"/>
      <c r="AB158" s="151"/>
      <c r="AC158" s="172"/>
      <c r="AD158" s="172"/>
      <c r="AE158" s="172"/>
      <c r="AF158" s="174">
        <f>T158</f>
        <v>11050</v>
      </c>
      <c r="AG158" s="172"/>
      <c r="AH158" s="172"/>
      <c r="AI158" s="172"/>
      <c r="AJ158" s="152"/>
    </row>
    <row r="159" spans="1:36" x14ac:dyDescent="0.3">
      <c r="A159" s="157" t="s">
        <v>815</v>
      </c>
      <c r="B159" s="157" t="s">
        <v>158</v>
      </c>
      <c r="C159" s="157" t="s">
        <v>695</v>
      </c>
      <c r="D159" s="157" t="s">
        <v>446</v>
      </c>
      <c r="E159" s="157" t="s">
        <v>518</v>
      </c>
      <c r="F159" s="157">
        <v>88</v>
      </c>
      <c r="G159" s="1">
        <v>1</v>
      </c>
      <c r="H159" s="157" t="s">
        <v>22</v>
      </c>
      <c r="K159" s="176">
        <v>88</v>
      </c>
      <c r="L159" s="286"/>
      <c r="M159" s="157">
        <v>1</v>
      </c>
      <c r="N159" s="166">
        <v>338800</v>
      </c>
      <c r="O159" s="166">
        <f t="shared" si="38"/>
        <v>338800</v>
      </c>
      <c r="P159" s="815">
        <v>0.75</v>
      </c>
      <c r="Q159" s="186">
        <f t="shared" si="39"/>
        <v>84700</v>
      </c>
      <c r="R159" s="166">
        <f t="shared" si="41"/>
        <v>84700</v>
      </c>
      <c r="S159" s="184">
        <f t="shared" si="40"/>
        <v>0.12682148670418206</v>
      </c>
      <c r="T159" s="168">
        <f t="shared" si="42"/>
        <v>84700</v>
      </c>
      <c r="U159" s="280"/>
      <c r="V159" s="169">
        <f>T159</f>
        <v>84700</v>
      </c>
      <c r="Y159" s="152"/>
      <c r="Z159" s="280"/>
      <c r="AA159" s="171">
        <f t="shared" ref="AA159:AA161" si="46">T159</f>
        <v>84700</v>
      </c>
      <c r="AB159" s="151"/>
      <c r="AC159" s="172"/>
      <c r="AD159" s="172"/>
      <c r="AE159" s="172"/>
      <c r="AF159" s="172"/>
      <c r="AG159" s="174"/>
      <c r="AH159" s="174">
        <f>T159</f>
        <v>84700</v>
      </c>
      <c r="AI159" s="172"/>
      <c r="AJ159" s="152"/>
    </row>
    <row r="160" spans="1:36" x14ac:dyDescent="0.3">
      <c r="A160" s="157" t="s">
        <v>815</v>
      </c>
      <c r="B160" s="157" t="s">
        <v>108</v>
      </c>
      <c r="C160" s="157" t="s">
        <v>696</v>
      </c>
      <c r="D160" s="157" t="s">
        <v>448</v>
      </c>
      <c r="E160" s="157" t="s">
        <v>518</v>
      </c>
      <c r="F160" s="157" t="s">
        <v>825</v>
      </c>
      <c r="G160" s="1">
        <v>1</v>
      </c>
      <c r="H160" s="157" t="s">
        <v>63</v>
      </c>
      <c r="I160" s="159">
        <v>1</v>
      </c>
      <c r="J160" s="806"/>
      <c r="L160" s="162"/>
      <c r="M160" s="157">
        <v>1</v>
      </c>
      <c r="N160" s="166">
        <v>12000</v>
      </c>
      <c r="O160" s="166">
        <f t="shared" si="38"/>
        <v>12000</v>
      </c>
      <c r="P160" s="173">
        <v>0.3</v>
      </c>
      <c r="Q160" s="186">
        <f t="shared" si="39"/>
        <v>8400</v>
      </c>
      <c r="R160" s="166">
        <f t="shared" si="41"/>
        <v>8400</v>
      </c>
      <c r="S160" s="184">
        <f t="shared" si="40"/>
        <v>1.2577337524381692E-2</v>
      </c>
      <c r="T160" s="168">
        <f t="shared" si="42"/>
        <v>8400</v>
      </c>
      <c r="U160" s="282">
        <f>T160</f>
        <v>8400</v>
      </c>
      <c r="Y160" s="152"/>
      <c r="Z160" s="280"/>
      <c r="AA160" s="171">
        <f t="shared" si="46"/>
        <v>8400</v>
      </c>
      <c r="AB160" s="151"/>
      <c r="AC160" s="172"/>
      <c r="AD160" s="172"/>
      <c r="AE160" s="172"/>
      <c r="AF160" s="172"/>
      <c r="AG160" s="172"/>
      <c r="AH160" s="174"/>
      <c r="AI160" s="174">
        <f>T160</f>
        <v>8400</v>
      </c>
      <c r="AJ160" s="152"/>
    </row>
    <row r="161" spans="1:36" x14ac:dyDescent="0.3">
      <c r="A161" s="157" t="s">
        <v>815</v>
      </c>
      <c r="B161" s="157" t="s">
        <v>108</v>
      </c>
      <c r="C161" s="157" t="s">
        <v>696</v>
      </c>
      <c r="D161" s="157" t="s">
        <v>449</v>
      </c>
      <c r="E161" s="157" t="s">
        <v>518</v>
      </c>
      <c r="F161" s="157" t="s">
        <v>825</v>
      </c>
      <c r="G161" s="1">
        <v>1</v>
      </c>
      <c r="H161" s="157" t="s">
        <v>63</v>
      </c>
      <c r="I161" s="159">
        <v>1</v>
      </c>
      <c r="J161" s="806"/>
      <c r="L161" s="162"/>
      <c r="M161" s="157">
        <v>1</v>
      </c>
      <c r="N161" s="166">
        <v>36000</v>
      </c>
      <c r="O161" s="166">
        <f t="shared" si="38"/>
        <v>36000</v>
      </c>
      <c r="P161" s="173">
        <v>0.3</v>
      </c>
      <c r="Q161" s="186">
        <f t="shared" si="39"/>
        <v>25200</v>
      </c>
      <c r="R161" s="166">
        <f t="shared" si="41"/>
        <v>25200</v>
      </c>
      <c r="S161" s="184">
        <f t="shared" si="40"/>
        <v>3.7732012573145075E-2</v>
      </c>
      <c r="T161" s="168">
        <f t="shared" si="42"/>
        <v>25200</v>
      </c>
      <c r="U161" s="282">
        <f>T161</f>
        <v>25200</v>
      </c>
      <c r="Y161" s="152"/>
      <c r="Z161" s="280"/>
      <c r="AA161" s="171">
        <f t="shared" si="46"/>
        <v>25200</v>
      </c>
      <c r="AB161" s="151"/>
      <c r="AC161" s="172"/>
      <c r="AD161" s="172"/>
      <c r="AE161" s="172"/>
      <c r="AF161" s="172"/>
      <c r="AG161" s="172"/>
      <c r="AH161" s="172"/>
      <c r="AI161" s="174">
        <f>T161</f>
        <v>25200</v>
      </c>
      <c r="AJ161" s="152"/>
    </row>
    <row r="162" spans="1:36" x14ac:dyDescent="0.3">
      <c r="A162" s="157" t="s">
        <v>815</v>
      </c>
      <c r="B162" s="157" t="s">
        <v>41</v>
      </c>
      <c r="C162" s="157" t="s">
        <v>828</v>
      </c>
      <c r="D162" s="157" t="s">
        <v>450</v>
      </c>
      <c r="E162" s="157" t="s">
        <v>520</v>
      </c>
      <c r="F162" s="158" t="s">
        <v>837</v>
      </c>
      <c r="G162" s="157">
        <v>15</v>
      </c>
      <c r="H162" s="157" t="s">
        <v>24</v>
      </c>
      <c r="I162" s="175">
        <v>35</v>
      </c>
      <c r="J162" s="176"/>
      <c r="K162" s="176"/>
      <c r="L162" s="177"/>
      <c r="M162" s="157">
        <v>1</v>
      </c>
      <c r="N162" s="166">
        <v>1600</v>
      </c>
      <c r="O162" s="166">
        <f t="shared" si="38"/>
        <v>24000</v>
      </c>
      <c r="P162" s="173">
        <v>0.7</v>
      </c>
      <c r="Q162" s="166">
        <f t="shared" si="39"/>
        <v>480.00000000000006</v>
      </c>
      <c r="R162" s="166">
        <f>Q162*M162*G162</f>
        <v>7200.0000000000009</v>
      </c>
      <c r="S162" s="167">
        <f t="shared" si="40"/>
        <v>1.0780575020898594E-2</v>
      </c>
      <c r="T162" s="168">
        <f t="shared" si="42"/>
        <v>7200.0000000000009</v>
      </c>
      <c r="U162" s="280"/>
      <c r="W162" s="169">
        <f>T162</f>
        <v>7200.0000000000009</v>
      </c>
      <c r="X162" s="169"/>
      <c r="Y162" s="152"/>
      <c r="Z162" s="282">
        <f>T162</f>
        <v>7200.0000000000009</v>
      </c>
      <c r="AA162" s="152"/>
      <c r="AB162" s="151"/>
      <c r="AC162" s="172"/>
      <c r="AD162" s="172"/>
      <c r="AE162" s="172"/>
      <c r="AF162" s="172"/>
      <c r="AG162" s="172"/>
      <c r="AH162" s="172"/>
      <c r="AI162" s="174">
        <f>T162</f>
        <v>7200.0000000000009</v>
      </c>
      <c r="AJ162" s="152"/>
    </row>
    <row r="163" spans="1:36" x14ac:dyDescent="0.3">
      <c r="A163" s="157" t="s">
        <v>815</v>
      </c>
      <c r="B163" s="157" t="s">
        <v>150</v>
      </c>
      <c r="C163" s="157" t="s">
        <v>830</v>
      </c>
      <c r="D163" s="157" t="s">
        <v>68</v>
      </c>
      <c r="E163" s="157" t="s">
        <v>520</v>
      </c>
      <c r="F163" s="158" t="s">
        <v>552</v>
      </c>
      <c r="G163" s="157">
        <v>10</v>
      </c>
      <c r="H163" s="157" t="s">
        <v>24</v>
      </c>
      <c r="I163" s="175">
        <v>10</v>
      </c>
      <c r="J163" s="176"/>
      <c r="K163" s="176"/>
      <c r="L163" s="177"/>
      <c r="M163" s="157">
        <v>1</v>
      </c>
      <c r="N163" s="166">
        <v>11181</v>
      </c>
      <c r="O163" s="166">
        <f t="shared" si="38"/>
        <v>111810</v>
      </c>
      <c r="P163" s="173">
        <v>0.4</v>
      </c>
      <c r="Q163" s="166">
        <f t="shared" si="39"/>
        <v>6708.5999999999995</v>
      </c>
      <c r="R163" s="166">
        <f t="shared" ref="R163" si="47">Q163*M163*G163</f>
        <v>67086</v>
      </c>
      <c r="S163" s="167">
        <f t="shared" si="40"/>
        <v>0.10044800775722265</v>
      </c>
      <c r="T163" s="168">
        <f t="shared" si="42"/>
        <v>67086</v>
      </c>
      <c r="U163" s="280"/>
      <c r="W163" s="169">
        <f>T163</f>
        <v>67086</v>
      </c>
      <c r="X163" s="169"/>
      <c r="Y163" s="152"/>
      <c r="Z163" s="282">
        <f>T163</f>
        <v>67086</v>
      </c>
      <c r="AA163" s="152"/>
      <c r="AB163" s="151"/>
      <c r="AC163" s="172"/>
      <c r="AD163" s="172"/>
      <c r="AE163" s="172"/>
      <c r="AF163" s="172"/>
      <c r="AG163" s="172"/>
      <c r="AH163" s="172"/>
      <c r="AI163" s="172"/>
      <c r="AJ163" s="171">
        <f>T163</f>
        <v>67086</v>
      </c>
    </row>
    <row r="164" spans="1:36" x14ac:dyDescent="0.3">
      <c r="A164" s="157"/>
      <c r="B164" s="157"/>
      <c r="C164" s="157"/>
      <c r="D164" s="157"/>
      <c r="E164" s="157"/>
      <c r="F164" s="158"/>
      <c r="G164" s="157"/>
      <c r="H164" s="157"/>
      <c r="L164" s="286"/>
      <c r="M164" s="157"/>
      <c r="N164" s="166"/>
      <c r="O164" s="166"/>
      <c r="P164" s="173"/>
      <c r="Q164" s="166"/>
      <c r="R164" s="166"/>
      <c r="S164" s="6"/>
      <c r="T164" s="168"/>
      <c r="U164" s="280"/>
      <c r="X164" s="169"/>
      <c r="Y164" s="152"/>
      <c r="Z164" s="280"/>
      <c r="AA164" s="152"/>
      <c r="AB164" s="151"/>
      <c r="AC164" s="172"/>
      <c r="AD164" s="172"/>
      <c r="AE164" s="172"/>
      <c r="AF164" s="172"/>
      <c r="AG164" s="172"/>
      <c r="AH164" s="172"/>
      <c r="AI164" s="172"/>
      <c r="AJ164" s="152"/>
    </row>
    <row r="165" spans="1:36" x14ac:dyDescent="0.3">
      <c r="A165" s="108" t="s">
        <v>815</v>
      </c>
      <c r="B165" s="108" t="s">
        <v>528</v>
      </c>
      <c r="C165" s="289"/>
      <c r="D165" s="252"/>
      <c r="E165" s="252"/>
      <c r="F165" s="253"/>
      <c r="G165" s="252"/>
      <c r="H165" s="252"/>
      <c r="I165" s="254"/>
      <c r="J165" s="254"/>
      <c r="K165" s="254"/>
      <c r="L165" s="254"/>
      <c r="M165" s="252"/>
      <c r="N165" s="255"/>
      <c r="O165" s="255"/>
      <c r="P165" s="256"/>
      <c r="Q165" s="290"/>
      <c r="R165" s="257"/>
      <c r="S165" s="256"/>
      <c r="T165" s="168">
        <f>R165</f>
        <v>0</v>
      </c>
      <c r="U165" s="280"/>
      <c r="X165" s="169">
        <f>T165</f>
        <v>0</v>
      </c>
      <c r="Y165" s="152"/>
      <c r="Z165" s="280"/>
      <c r="AA165" s="152"/>
      <c r="AB165" s="151"/>
      <c r="AC165" s="172"/>
      <c r="AD165" s="172"/>
      <c r="AE165" s="172"/>
      <c r="AF165" s="172"/>
      <c r="AG165" s="172"/>
      <c r="AH165" s="172"/>
      <c r="AI165" s="172"/>
      <c r="AJ165" s="152"/>
    </row>
    <row r="166" spans="1:36" x14ac:dyDescent="0.3">
      <c r="A166" s="108" t="s">
        <v>815</v>
      </c>
      <c r="B166" s="108" t="s">
        <v>529</v>
      </c>
      <c r="C166" s="289"/>
      <c r="D166" s="252"/>
      <c r="E166" s="252"/>
      <c r="F166" s="253"/>
      <c r="G166" s="252"/>
      <c r="H166" s="252"/>
      <c r="I166" s="254"/>
      <c r="J166" s="254"/>
      <c r="K166" s="254"/>
      <c r="L166" s="254"/>
      <c r="M166" s="252"/>
      <c r="N166" s="255"/>
      <c r="O166" s="255"/>
      <c r="P166" s="256"/>
      <c r="Q166" s="290"/>
      <c r="R166" s="257"/>
      <c r="S166" s="291"/>
      <c r="T166" s="168">
        <f>R166</f>
        <v>0</v>
      </c>
      <c r="U166" s="280"/>
      <c r="Y166" s="171">
        <f>T166</f>
        <v>0</v>
      </c>
      <c r="Z166" s="280"/>
      <c r="AA166" s="152"/>
      <c r="AB166" s="151"/>
      <c r="AC166" s="172"/>
      <c r="AD166" s="172"/>
      <c r="AE166" s="172"/>
      <c r="AF166" s="172"/>
      <c r="AG166" s="172"/>
      <c r="AH166" s="172"/>
      <c r="AI166" s="172"/>
      <c r="AJ166" s="152"/>
    </row>
    <row r="167" spans="1:36" x14ac:dyDescent="0.3">
      <c r="T167" s="645"/>
      <c r="U167" s="566"/>
      <c r="V167" s="245"/>
      <c r="W167" s="245"/>
      <c r="X167" s="245"/>
      <c r="Y167" s="567"/>
      <c r="Z167" s="566"/>
      <c r="AA167" s="567"/>
      <c r="AB167" s="737"/>
      <c r="AC167" s="738"/>
      <c r="AD167" s="738"/>
      <c r="AE167" s="738"/>
      <c r="AF167" s="738"/>
      <c r="AG167" s="738"/>
      <c r="AH167" s="738"/>
      <c r="AI167" s="738"/>
      <c r="AJ167" s="567"/>
    </row>
    <row r="168" spans="1:36" x14ac:dyDescent="0.3">
      <c r="A168" s="326" t="s">
        <v>531</v>
      </c>
      <c r="B168" s="327"/>
      <c r="C168" s="327"/>
      <c r="D168" s="327"/>
      <c r="E168" s="327"/>
      <c r="F168" s="328"/>
      <c r="G168" s="327"/>
      <c r="H168" s="327"/>
      <c r="I168" s="327">
        <f>I163+I162+I161+I160+I158+I157+I156+I154</f>
        <v>121</v>
      </c>
      <c r="J168" s="327">
        <f>J155+J153+J151</f>
        <v>201</v>
      </c>
      <c r="K168" s="327">
        <f>K159+K152+K151+K155</f>
        <v>300</v>
      </c>
      <c r="L168" s="327"/>
      <c r="M168" s="327">
        <f>SUM(I168:L168)</f>
        <v>622</v>
      </c>
      <c r="N168" s="329"/>
      <c r="O168" s="329">
        <f>SUM(O151:O167)</f>
        <v>2732914</v>
      </c>
      <c r="P168" s="330">
        <f>1-R168/O168</f>
        <v>0.75562059398868753</v>
      </c>
      <c r="Q168" s="329"/>
      <c r="R168" s="331">
        <f>SUM(R150:R167)</f>
        <v>667867.9</v>
      </c>
      <c r="S168" s="332">
        <f>SUM(S150:S166)</f>
        <v>1</v>
      </c>
      <c r="T168" s="646">
        <f>SUM(T150:T167)</f>
        <v>667867.9</v>
      </c>
      <c r="U168" s="588">
        <f t="shared" ref="U168:AA168" si="48">SUM(U150:U166)</f>
        <v>95250</v>
      </c>
      <c r="V168" s="589">
        <f t="shared" si="48"/>
        <v>498331.9</v>
      </c>
      <c r="W168" s="589">
        <f t="shared" si="48"/>
        <v>74286</v>
      </c>
      <c r="X168" s="589">
        <f t="shared" si="48"/>
        <v>0</v>
      </c>
      <c r="Y168" s="647">
        <f t="shared" si="48"/>
        <v>0</v>
      </c>
      <c r="Z168" s="648">
        <f t="shared" si="48"/>
        <v>350124.6</v>
      </c>
      <c r="AA168" s="647">
        <f t="shared" si="48"/>
        <v>317743.3</v>
      </c>
      <c r="AB168" s="588">
        <f>SUM(AB151:AB167)</f>
        <v>71328.600000000006</v>
      </c>
      <c r="AC168" s="589">
        <f>SUM(AC151:AC167)</f>
        <v>171072</v>
      </c>
      <c r="AD168" s="589">
        <f t="shared" ref="AD168:AJ168" si="49">SUM(AD151:AD167)</f>
        <v>171231.3</v>
      </c>
      <c r="AE168" s="589">
        <f t="shared" si="49"/>
        <v>50600</v>
      </c>
      <c r="AF168" s="589">
        <f t="shared" si="49"/>
        <v>11050</v>
      </c>
      <c r="AG168" s="589">
        <f t="shared" si="49"/>
        <v>0</v>
      </c>
      <c r="AH168" s="589">
        <f t="shared" si="49"/>
        <v>84700</v>
      </c>
      <c r="AI168" s="589">
        <f t="shared" si="49"/>
        <v>40800</v>
      </c>
      <c r="AJ168" s="647">
        <f t="shared" si="49"/>
        <v>67086</v>
      </c>
    </row>
    <row r="169" spans="1:36" x14ac:dyDescent="0.3">
      <c r="A169" s="342" t="s">
        <v>532</v>
      </c>
      <c r="B169" s="343"/>
      <c r="C169" s="343"/>
      <c r="D169" s="343"/>
      <c r="E169" s="343"/>
      <c r="F169" s="344"/>
      <c r="G169" s="343"/>
      <c r="H169" s="343"/>
      <c r="I169" s="343">
        <f>I163+I162+I161+I160+I158+I157+I156+I154</f>
        <v>121</v>
      </c>
      <c r="J169" s="343">
        <f>I163+I162+I161+I160+I158+I157+I156+J155+J153+J151</f>
        <v>294</v>
      </c>
      <c r="K169" s="343">
        <f>I163+I162+K159+I158+K152+K151+K155</f>
        <v>347</v>
      </c>
      <c r="L169" s="343">
        <f>I163+I162+I158</f>
        <v>47</v>
      </c>
      <c r="M169" s="343">
        <f>SUM(I169:L169)</f>
        <v>809</v>
      </c>
      <c r="N169" s="345"/>
      <c r="O169" s="345"/>
      <c r="P169" s="346"/>
      <c r="Q169" s="345"/>
      <c r="R169" s="345"/>
      <c r="S169" s="347"/>
      <c r="T169" s="348"/>
      <c r="U169" s="349">
        <f>U168/T168</f>
        <v>0.14261802371397098</v>
      </c>
      <c r="V169" s="350">
        <f>V168/T168</f>
        <v>0.74615339350790777</v>
      </c>
      <c r="W169" s="350">
        <f>W168/T168</f>
        <v>0.11122858277812124</v>
      </c>
      <c r="X169" s="350">
        <f>X168/T168</f>
        <v>0</v>
      </c>
      <c r="Y169" s="352">
        <f>Y168/T168</f>
        <v>0</v>
      </c>
      <c r="Z169" s="351">
        <f>Z168/T168</f>
        <v>0.52424229402251543</v>
      </c>
      <c r="AA169" s="352">
        <f>AA168/T168</f>
        <v>0.47575770597748446</v>
      </c>
      <c r="AB169" s="848"/>
      <c r="AC169" s="524"/>
      <c r="AD169" s="524"/>
      <c r="AE169" s="524"/>
      <c r="AF169" s="524"/>
      <c r="AG169" s="524"/>
      <c r="AH169" s="524"/>
      <c r="AI169" s="524"/>
      <c r="AJ169" s="356"/>
    </row>
    <row r="170" spans="1:36" x14ac:dyDescent="0.3">
      <c r="A170" s="243" t="s">
        <v>533</v>
      </c>
      <c r="B170" s="193"/>
      <c r="C170" s="193"/>
      <c r="D170" s="193"/>
      <c r="E170" s="193"/>
      <c r="F170" s="244"/>
      <c r="G170" s="193"/>
      <c r="H170" s="193"/>
      <c r="I170" s="245"/>
      <c r="J170" s="245"/>
      <c r="K170" s="245"/>
      <c r="L170" s="245"/>
      <c r="M170" s="193"/>
      <c r="N170" s="246"/>
      <c r="O170" s="246"/>
      <c r="P170" s="196"/>
      <c r="Q170" s="246"/>
      <c r="R170" s="194">
        <f>U168</f>
        <v>95250</v>
      </c>
      <c r="S170" s="247">
        <f>R170/R175</f>
        <v>0.14261802371397098</v>
      </c>
      <c r="Y170" s="248"/>
      <c r="Z170" s="830">
        <f>J151+K151+I154+J155+I156+I157+I158+I162+I163</f>
        <v>389</v>
      </c>
      <c r="AA170" s="831">
        <f>K152+J153+K159+I160+I161</f>
        <v>133</v>
      </c>
    </row>
    <row r="171" spans="1:36" x14ac:dyDescent="0.3">
      <c r="A171" s="251" t="s">
        <v>11</v>
      </c>
      <c r="B171" s="252"/>
      <c r="C171" s="252"/>
      <c r="D171" s="252"/>
      <c r="E171" s="252"/>
      <c r="F171" s="253"/>
      <c r="G171" s="252"/>
      <c r="H171" s="252"/>
      <c r="I171" s="254"/>
      <c r="J171" s="254"/>
      <c r="K171" s="254"/>
      <c r="L171" s="254"/>
      <c r="M171" s="252"/>
      <c r="N171" s="255"/>
      <c r="O171" s="255"/>
      <c r="P171" s="256"/>
      <c r="Q171" s="255"/>
      <c r="R171" s="257">
        <f>V168</f>
        <v>498331.9</v>
      </c>
      <c r="S171" s="262">
        <f>R171/R175</f>
        <v>0.74615339350790777</v>
      </c>
      <c r="T171" s="525">
        <f>R168/M168</f>
        <v>1073.7426045016077</v>
      </c>
      <c r="U171" s="526" t="s">
        <v>535</v>
      </c>
      <c r="Z171" s="195">
        <f>Z170/M168</f>
        <v>0.62540192926045013</v>
      </c>
      <c r="AA171" s="247">
        <f>AA170/M168</f>
        <v>0.21382636655948553</v>
      </c>
    </row>
    <row r="172" spans="1:36" x14ac:dyDescent="0.3">
      <c r="A172" s="251" t="s">
        <v>536</v>
      </c>
      <c r="B172" s="252"/>
      <c r="C172" s="252"/>
      <c r="D172" s="252"/>
      <c r="E172" s="252"/>
      <c r="F172" s="253"/>
      <c r="G172" s="252"/>
      <c r="H172" s="252"/>
      <c r="I172" s="254"/>
      <c r="J172" s="254"/>
      <c r="K172" s="254"/>
      <c r="L172" s="254"/>
      <c r="M172" s="252"/>
      <c r="N172" s="255"/>
      <c r="O172" s="255"/>
      <c r="P172" s="256"/>
      <c r="Q172" s="255"/>
      <c r="R172" s="257">
        <f>W168</f>
        <v>74286</v>
      </c>
      <c r="S172" s="262">
        <f>R172/R175</f>
        <v>0.11122858277812124</v>
      </c>
      <c r="X172" s="99"/>
      <c r="Z172" s="2265" t="s">
        <v>537</v>
      </c>
      <c r="AA172" s="2265"/>
    </row>
    <row r="173" spans="1:36" x14ac:dyDescent="0.3">
      <c r="A173" s="251" t="s">
        <v>529</v>
      </c>
      <c r="B173" s="252"/>
      <c r="C173" s="252"/>
      <c r="D173" s="252"/>
      <c r="E173" s="252"/>
      <c r="F173" s="253"/>
      <c r="G173" s="252"/>
      <c r="H173" s="252"/>
      <c r="I173" s="254"/>
      <c r="J173" s="254"/>
      <c r="K173" s="254"/>
      <c r="L173" s="254"/>
      <c r="M173" s="252"/>
      <c r="N173" s="255"/>
      <c r="O173" s="255"/>
      <c r="P173" s="256"/>
      <c r="Q173" s="255"/>
      <c r="R173" s="257">
        <f>Y168</f>
        <v>0</v>
      </c>
      <c r="S173" s="262">
        <f>R173/R175</f>
        <v>0</v>
      </c>
    </row>
    <row r="174" spans="1:36" x14ac:dyDescent="0.3">
      <c r="A174" s="251" t="s">
        <v>528</v>
      </c>
      <c r="B174" s="252"/>
      <c r="C174" s="252"/>
      <c r="D174" s="252"/>
      <c r="E174" s="252"/>
      <c r="F174" s="253"/>
      <c r="G174" s="252"/>
      <c r="H174" s="252"/>
      <c r="I174" s="254"/>
      <c r="J174" s="254"/>
      <c r="K174" s="254"/>
      <c r="L174" s="254"/>
      <c r="M174" s="252"/>
      <c r="N174" s="255"/>
      <c r="O174" s="255"/>
      <c r="P174" s="256"/>
      <c r="Q174" s="255"/>
      <c r="R174" s="257">
        <f>X168</f>
        <v>0</v>
      </c>
      <c r="S174" s="262">
        <f>R174/R175</f>
        <v>0</v>
      </c>
    </row>
    <row r="175" spans="1:36" x14ac:dyDescent="0.3">
      <c r="A175" s="251"/>
      <c r="B175" s="252"/>
      <c r="C175" s="252"/>
      <c r="D175" s="252"/>
      <c r="E175" s="252"/>
      <c r="F175" s="253"/>
      <c r="G175" s="252"/>
      <c r="H175" s="252"/>
      <c r="I175" s="254"/>
      <c r="J175" s="254"/>
      <c r="K175" s="254"/>
      <c r="L175" s="254"/>
      <c r="M175" s="252"/>
      <c r="N175" s="255"/>
      <c r="O175" s="255"/>
      <c r="P175" s="256"/>
      <c r="Q175" s="255"/>
      <c r="R175" s="264">
        <f>SUM(R170:R174)</f>
        <v>667867.9</v>
      </c>
      <c r="S175" s="262">
        <f>SUM(S170:S174)</f>
        <v>1</v>
      </c>
    </row>
    <row r="177" spans="1:21" x14ac:dyDescent="0.3">
      <c r="A177" s="188"/>
      <c r="N177" s="5"/>
      <c r="O177" s="5"/>
      <c r="P177" s="6"/>
      <c r="Q177" s="5"/>
      <c r="R177" s="5"/>
      <c r="S177" s="6"/>
      <c r="T177" s="600"/>
    </row>
    <row r="178" spans="1:21" ht="18" x14ac:dyDescent="0.35">
      <c r="A178" s="430" t="s">
        <v>569</v>
      </c>
      <c r="B178" s="431"/>
      <c r="C178" s="431"/>
      <c r="D178" s="432"/>
      <c r="E178" s="432"/>
      <c r="F178" s="433"/>
      <c r="G178" s="432"/>
      <c r="H178" s="432"/>
      <c r="I178" s="434"/>
      <c r="J178" s="434"/>
      <c r="K178" s="434"/>
      <c r="L178" s="434"/>
      <c r="M178" s="431"/>
      <c r="N178" s="435"/>
      <c r="O178" s="436"/>
      <c r="P178" s="435"/>
      <c r="Q178" s="435"/>
      <c r="R178" s="436"/>
      <c r="S178" s="763"/>
      <c r="T178" s="763">
        <f>T168+T135+T95+T58</f>
        <v>5949505.4000000004</v>
      </c>
    </row>
    <row r="179" spans="1:21" x14ac:dyDescent="0.3">
      <c r="O179" s="3"/>
      <c r="P179" s="99"/>
      <c r="R179" s="3"/>
      <c r="S179" s="3" t="s">
        <v>571</v>
      </c>
      <c r="T179" s="838">
        <f>D20-T178</f>
        <v>2342942.0999999996</v>
      </c>
      <c r="U179" s="111"/>
    </row>
    <row r="180" spans="1:21" x14ac:dyDescent="0.3">
      <c r="R180" s="116"/>
      <c r="S180" s="62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176"/>
  <sheetViews>
    <sheetView workbookViewId="0"/>
  </sheetViews>
  <sheetFormatPr defaultRowHeight="14.4" x14ac:dyDescent="0.3"/>
  <sheetData>
    <row r="1" spans="1:11" ht="20.399999999999999" x14ac:dyDescent="0.35">
      <c r="A1" s="849" t="s">
        <v>853</v>
      </c>
    </row>
    <row r="2" spans="1:11" x14ac:dyDescent="0.3">
      <c r="A2" s="850" t="s">
        <v>854</v>
      </c>
    </row>
    <row r="3" spans="1:11" x14ac:dyDescent="0.3">
      <c r="A3" s="93"/>
    </row>
    <row r="4" spans="1:11" x14ac:dyDescent="0.3">
      <c r="A4" s="850"/>
      <c r="B4" s="851"/>
    </row>
    <row r="6" spans="1:11" ht="17.399999999999999" x14ac:dyDescent="0.3">
      <c r="A6" s="852" t="s">
        <v>457</v>
      </c>
      <c r="B6" s="10"/>
      <c r="C6" s="10"/>
      <c r="D6" s="10"/>
      <c r="E6" s="10"/>
    </row>
    <row r="7" spans="1:11" x14ac:dyDescent="0.3">
      <c r="A7" s="2546" t="s">
        <v>458</v>
      </c>
      <c r="B7" s="2547"/>
      <c r="C7" s="853" t="s">
        <v>855</v>
      </c>
      <c r="D7" s="853" t="s">
        <v>856</v>
      </c>
      <c r="E7" s="853" t="s">
        <v>857</v>
      </c>
    </row>
    <row r="8" spans="1:11" x14ac:dyDescent="0.3">
      <c r="A8" s="854" t="s">
        <v>576</v>
      </c>
      <c r="B8" s="855" t="s">
        <v>858</v>
      </c>
      <c r="C8" s="856">
        <v>0.43</v>
      </c>
      <c r="D8" s="857">
        <v>1117622.8899999999</v>
      </c>
      <c r="E8" s="858">
        <v>372540.96333333332</v>
      </c>
    </row>
    <row r="9" spans="1:11" x14ac:dyDescent="0.3">
      <c r="A9" s="854" t="s">
        <v>464</v>
      </c>
      <c r="B9" s="855" t="s">
        <v>859</v>
      </c>
      <c r="C9" s="856">
        <v>0.45</v>
      </c>
      <c r="D9" s="857">
        <v>1169605.3500000001</v>
      </c>
      <c r="E9" s="857">
        <v>233921.07</v>
      </c>
    </row>
    <row r="10" spans="1:11" x14ac:dyDescent="0.3">
      <c r="A10" s="854" t="s">
        <v>466</v>
      </c>
      <c r="B10" s="855" t="s">
        <v>858</v>
      </c>
      <c r="C10" s="856">
        <v>0.12</v>
      </c>
      <c r="D10" s="857">
        <v>311894.76</v>
      </c>
      <c r="E10" s="857">
        <v>103964.92</v>
      </c>
    </row>
    <row r="11" spans="1:11" x14ac:dyDescent="0.3">
      <c r="A11" s="854"/>
      <c r="B11" s="855"/>
      <c r="C11" s="856"/>
      <c r="D11" s="857"/>
      <c r="E11" s="857"/>
    </row>
    <row r="12" spans="1:11" x14ac:dyDescent="0.3">
      <c r="A12" s="850"/>
      <c r="B12" s="10">
        <v>11</v>
      </c>
      <c r="C12" s="859">
        <v>1</v>
      </c>
      <c r="D12" s="860">
        <v>2599123</v>
      </c>
      <c r="E12" s="10"/>
    </row>
    <row r="14" spans="1:11" x14ac:dyDescent="0.3">
      <c r="A14" s="100" t="s">
        <v>860</v>
      </c>
      <c r="B14" s="769">
        <v>2417678</v>
      </c>
    </row>
    <row r="15" spans="1:11" x14ac:dyDescent="0.3">
      <c r="A15" s="714" t="s">
        <v>579</v>
      </c>
      <c r="B15" s="770">
        <v>1129304</v>
      </c>
      <c r="D15" s="10" t="s">
        <v>472</v>
      </c>
      <c r="E15" s="859">
        <v>0.42</v>
      </c>
      <c r="F15" s="861"/>
      <c r="G15" s="10" t="s">
        <v>470</v>
      </c>
      <c r="H15" s="859"/>
      <c r="I15" s="10"/>
      <c r="J15" s="862">
        <v>0.37</v>
      </c>
      <c r="K15" s="862"/>
    </row>
    <row r="16" spans="1:11" x14ac:dyDescent="0.3">
      <c r="B16" s="1"/>
      <c r="D16" s="10" t="s">
        <v>861</v>
      </c>
      <c r="E16" s="10">
        <v>19</v>
      </c>
      <c r="F16" s="861"/>
      <c r="G16" s="10" t="s">
        <v>861</v>
      </c>
      <c r="H16" s="10"/>
      <c r="I16" s="10"/>
      <c r="J16" s="863">
        <v>18</v>
      </c>
      <c r="K16" s="863"/>
    </row>
    <row r="17" spans="1:31" x14ac:dyDescent="0.3">
      <c r="D17" s="10" t="s">
        <v>475</v>
      </c>
      <c r="E17" s="864">
        <v>781</v>
      </c>
      <c r="F17" s="861"/>
      <c r="G17" s="10" t="s">
        <v>475</v>
      </c>
      <c r="H17" s="864"/>
      <c r="I17" s="10"/>
      <c r="J17" s="10">
        <v>682</v>
      </c>
      <c r="K17" s="10"/>
    </row>
    <row r="18" spans="1:31" x14ac:dyDescent="0.3">
      <c r="D18" s="10" t="s">
        <v>862</v>
      </c>
      <c r="E18" s="864">
        <v>17200348</v>
      </c>
      <c r="F18" s="861"/>
      <c r="G18" s="10" t="s">
        <v>862</v>
      </c>
      <c r="H18" s="864"/>
      <c r="I18" s="10"/>
      <c r="J18" s="864">
        <v>15010448</v>
      </c>
      <c r="K18" s="864"/>
    </row>
    <row r="19" spans="1:31" x14ac:dyDescent="0.3">
      <c r="D19" s="10"/>
      <c r="E19" s="864"/>
      <c r="F19" s="861"/>
      <c r="G19" s="10"/>
      <c r="H19" s="864"/>
      <c r="I19" s="10"/>
      <c r="J19" s="10"/>
    </row>
    <row r="20" spans="1:31" x14ac:dyDescent="0.3">
      <c r="A20" s="850"/>
      <c r="D20" s="10"/>
      <c r="E20" s="864"/>
      <c r="F20" s="861"/>
      <c r="G20" s="10"/>
      <c r="H20" s="864"/>
      <c r="I20" s="10"/>
      <c r="J20" s="10"/>
    </row>
    <row r="21" spans="1:31" x14ac:dyDescent="0.3">
      <c r="A21" s="850"/>
      <c r="D21" s="10"/>
      <c r="E21" s="864"/>
      <c r="F21" s="861"/>
      <c r="G21" s="10"/>
      <c r="H21" s="864"/>
      <c r="I21" s="10"/>
      <c r="J21" s="10"/>
    </row>
    <row r="22" spans="1:31" ht="18" x14ac:dyDescent="0.35">
      <c r="A22" s="118" t="s">
        <v>479</v>
      </c>
      <c r="B22" s="1"/>
      <c r="C22" s="1"/>
      <c r="D22" s="1"/>
      <c r="E22" s="1"/>
      <c r="F22" s="2"/>
      <c r="G22" s="1"/>
      <c r="H22" s="1"/>
      <c r="M22" s="1"/>
      <c r="O22" s="3"/>
      <c r="R22" s="3"/>
    </row>
    <row r="23" spans="1:31" x14ac:dyDescent="0.3">
      <c r="B23" s="1"/>
      <c r="C23" s="1"/>
      <c r="D23" s="1"/>
      <c r="E23" s="1"/>
      <c r="F23" s="2"/>
      <c r="G23" s="1"/>
      <c r="H23" s="1"/>
      <c r="M23" s="1"/>
      <c r="O23" s="3"/>
      <c r="R23" s="3"/>
    </row>
    <row r="24" spans="1:31" x14ac:dyDescent="0.3">
      <c r="A24" s="2415" t="s">
        <v>480</v>
      </c>
      <c r="B24" s="2416"/>
      <c r="C24" s="2416"/>
      <c r="D24" s="2416"/>
      <c r="E24" s="2416"/>
      <c r="F24" s="2416"/>
      <c r="G24" s="2416"/>
      <c r="H24" s="2416"/>
      <c r="I24" s="2416"/>
      <c r="J24" s="2416"/>
      <c r="K24" s="2416"/>
      <c r="L24" s="2416"/>
      <c r="M24" s="2416"/>
      <c r="N24" s="2416"/>
      <c r="O24" s="2416"/>
      <c r="P24" s="2416"/>
      <c r="Q24" s="2416"/>
      <c r="R24" s="2417"/>
      <c r="S24" s="865"/>
      <c r="T24" s="2548" t="s">
        <v>584</v>
      </c>
      <c r="U24" s="2549"/>
      <c r="V24" s="2549"/>
      <c r="W24" s="2549"/>
      <c r="X24" s="2549"/>
      <c r="Y24" s="2549"/>
      <c r="Z24" s="2549"/>
      <c r="AA24" s="2549"/>
      <c r="AB24" s="2549"/>
      <c r="AC24" s="2549"/>
      <c r="AD24" s="2549"/>
      <c r="AE24" s="2550"/>
    </row>
    <row r="25" spans="1:31" ht="69" x14ac:dyDescent="0.35">
      <c r="A25" s="2538" t="s">
        <v>482</v>
      </c>
      <c r="B25" s="2540" t="s">
        <v>483</v>
      </c>
      <c r="C25" s="2540" t="s">
        <v>484</v>
      </c>
      <c r="D25" s="2540" t="s">
        <v>485</v>
      </c>
      <c r="E25" s="2540" t="s">
        <v>486</v>
      </c>
      <c r="F25" s="2542" t="s">
        <v>487</v>
      </c>
      <c r="G25" s="2536" t="s">
        <v>488</v>
      </c>
      <c r="H25" s="2529" t="s">
        <v>489</v>
      </c>
      <c r="I25" s="2531" t="s">
        <v>490</v>
      </c>
      <c r="J25" s="2532"/>
      <c r="K25" s="2532"/>
      <c r="L25" s="2533"/>
      <c r="M25" s="2534" t="s">
        <v>863</v>
      </c>
      <c r="N25" s="2522" t="s">
        <v>864</v>
      </c>
      <c r="O25" s="2536" t="s">
        <v>865</v>
      </c>
      <c r="P25" s="2522" t="s">
        <v>866</v>
      </c>
      <c r="Q25" s="2522" t="s">
        <v>867</v>
      </c>
      <c r="R25" s="2544" t="s">
        <v>495</v>
      </c>
      <c r="S25" s="866" t="s">
        <v>496</v>
      </c>
      <c r="T25" s="2425" t="s">
        <v>497</v>
      </c>
      <c r="U25" s="2425"/>
      <c r="V25" s="2425"/>
      <c r="W25" s="2425"/>
      <c r="X25" s="2425"/>
      <c r="Y25" s="2424" t="s">
        <v>498</v>
      </c>
      <c r="Z25" s="2426"/>
      <c r="AA25" s="2424" t="s">
        <v>499</v>
      </c>
      <c r="AB25" s="2425"/>
      <c r="AC25" s="2425"/>
      <c r="AD25" s="2425"/>
      <c r="AE25" s="2426"/>
    </row>
    <row r="26" spans="1:31" ht="18" x14ac:dyDescent="0.35">
      <c r="A26" s="2539"/>
      <c r="B26" s="2541"/>
      <c r="C26" s="2541"/>
      <c r="D26" s="2541"/>
      <c r="E26" s="2541"/>
      <c r="F26" s="2543"/>
      <c r="G26" s="2537"/>
      <c r="H26" s="2530"/>
      <c r="I26" s="867" t="s">
        <v>500</v>
      </c>
      <c r="J26" s="867" t="s">
        <v>501</v>
      </c>
      <c r="K26" s="868" t="s">
        <v>502</v>
      </c>
      <c r="L26" s="868" t="s">
        <v>503</v>
      </c>
      <c r="M26" s="2535"/>
      <c r="N26" s="2523"/>
      <c r="O26" s="2537"/>
      <c r="P26" s="2523"/>
      <c r="Q26" s="2523"/>
      <c r="R26" s="2545"/>
      <c r="S26" s="869" t="s">
        <v>508</v>
      </c>
      <c r="T26" s="2428"/>
      <c r="U26" s="2428"/>
      <c r="V26" s="2428"/>
      <c r="W26" s="2428"/>
      <c r="X26" s="2428"/>
      <c r="Y26" s="2427"/>
      <c r="Z26" s="2429"/>
      <c r="AA26" s="2427"/>
      <c r="AB26" s="2428"/>
      <c r="AC26" s="2428"/>
      <c r="AD26" s="2428"/>
      <c r="AE26" s="2429"/>
    </row>
    <row r="27" spans="1:31" ht="15.6" x14ac:dyDescent="0.3">
      <c r="A27" s="2526" t="s">
        <v>509</v>
      </c>
      <c r="B27" s="2527"/>
      <c r="C27" s="2527"/>
      <c r="D27" s="2527"/>
      <c r="E27" s="2527"/>
      <c r="F27" s="2527"/>
      <c r="G27" s="2527"/>
      <c r="H27" s="2527"/>
      <c r="I27" s="2527"/>
      <c r="J27" s="2527"/>
      <c r="K27" s="2527"/>
      <c r="L27" s="2527"/>
      <c r="M27" s="2527"/>
      <c r="N27" s="2527"/>
      <c r="O27" s="2527"/>
      <c r="P27" s="2527"/>
      <c r="Q27" s="2527"/>
      <c r="R27" s="2528"/>
      <c r="S27" s="870"/>
      <c r="T27" s="716" t="s">
        <v>510</v>
      </c>
      <c r="U27" s="871" t="s">
        <v>11</v>
      </c>
      <c r="V27" s="871" t="s">
        <v>511</v>
      </c>
      <c r="W27" s="871" t="s">
        <v>512</v>
      </c>
      <c r="X27" s="871" t="s">
        <v>513</v>
      </c>
      <c r="Y27" s="872" t="s">
        <v>514</v>
      </c>
      <c r="Z27" s="873" t="s">
        <v>515</v>
      </c>
      <c r="AA27" s="871" t="s">
        <v>868</v>
      </c>
      <c r="AB27" s="871" t="s">
        <v>159</v>
      </c>
      <c r="AC27" s="871" t="s">
        <v>160</v>
      </c>
      <c r="AD27" s="871" t="s">
        <v>3</v>
      </c>
      <c r="AE27" s="873" t="s">
        <v>0</v>
      </c>
    </row>
    <row r="28" spans="1:31" ht="15.6" x14ac:dyDescent="0.3">
      <c r="A28" s="874"/>
      <c r="B28" s="875"/>
      <c r="C28" s="875"/>
      <c r="D28" s="876"/>
      <c r="E28" s="876"/>
      <c r="F28" s="877"/>
      <c r="G28" s="876"/>
      <c r="H28" s="876"/>
      <c r="I28" s="878"/>
      <c r="J28" s="878"/>
      <c r="K28" s="879"/>
      <c r="L28" s="880"/>
      <c r="M28" s="881"/>
      <c r="N28" s="882"/>
      <c r="O28" s="881"/>
      <c r="P28" s="883"/>
      <c r="Q28" s="884"/>
      <c r="R28" s="885"/>
      <c r="S28" s="886"/>
      <c r="T28" s="887"/>
      <c r="U28" s="7"/>
      <c r="V28" s="888"/>
      <c r="W28" s="7"/>
      <c r="X28" s="7"/>
      <c r="Y28" s="889"/>
      <c r="Z28" s="890"/>
      <c r="AA28" s="7"/>
      <c r="AB28" s="7"/>
      <c r="AC28" s="7"/>
      <c r="AD28" s="7"/>
      <c r="AE28" s="890"/>
    </row>
    <row r="29" spans="1:31" ht="15.6" x14ac:dyDescent="0.3">
      <c r="A29" s="891" t="s">
        <v>869</v>
      </c>
      <c r="B29" s="891" t="s">
        <v>23</v>
      </c>
      <c r="C29" s="891" t="s">
        <v>870</v>
      </c>
      <c r="D29" s="891" t="s">
        <v>397</v>
      </c>
      <c r="E29" s="891" t="s">
        <v>518</v>
      </c>
      <c r="F29" s="892">
        <v>1</v>
      </c>
      <c r="G29" s="893">
        <v>1</v>
      </c>
      <c r="H29" s="894" t="s">
        <v>22</v>
      </c>
      <c r="I29" s="878"/>
      <c r="J29" s="895">
        <v>1</v>
      </c>
      <c r="K29" s="879"/>
      <c r="L29" s="11"/>
      <c r="M29" s="896">
        <v>1</v>
      </c>
      <c r="N29" s="897">
        <v>113400</v>
      </c>
      <c r="O29" s="898">
        <v>0.3</v>
      </c>
      <c r="P29" s="897">
        <f>N29*(1-O29)</f>
        <v>79380</v>
      </c>
      <c r="Q29" s="897">
        <f t="shared" ref="Q29:Q35" si="0">P29*G29*M29</f>
        <v>79380</v>
      </c>
      <c r="R29" s="899">
        <f>Q29/Q41</f>
        <v>0.21262632891455571</v>
      </c>
      <c r="S29" s="900">
        <f t="shared" ref="S29:S35" si="1">Q29*2</f>
        <v>158760</v>
      </c>
      <c r="T29" s="901">
        <f>S29</f>
        <v>158760</v>
      </c>
      <c r="U29" s="7"/>
      <c r="V29" s="7"/>
      <c r="W29" s="7"/>
      <c r="X29" s="7"/>
      <c r="Y29" s="889"/>
      <c r="Z29" s="890">
        <f>S29</f>
        <v>158760</v>
      </c>
      <c r="AA29" s="7">
        <f>S29</f>
        <v>158760</v>
      </c>
      <c r="AB29" s="7"/>
      <c r="AC29" s="7"/>
      <c r="AD29" s="7"/>
      <c r="AE29" s="890"/>
    </row>
    <row r="30" spans="1:31" x14ac:dyDescent="0.3">
      <c r="A30" s="891" t="s">
        <v>869</v>
      </c>
      <c r="B30" s="902" t="s">
        <v>23</v>
      </c>
      <c r="C30" s="902" t="s">
        <v>871</v>
      </c>
      <c r="D30" s="902" t="s">
        <v>398</v>
      </c>
      <c r="E30" s="902" t="s">
        <v>518</v>
      </c>
      <c r="F30" s="903" t="s">
        <v>613</v>
      </c>
      <c r="G30" s="902">
        <v>15</v>
      </c>
      <c r="H30" s="902" t="s">
        <v>22</v>
      </c>
      <c r="I30" s="904">
        <v>15</v>
      </c>
      <c r="J30" s="904">
        <v>15</v>
      </c>
      <c r="K30" s="11"/>
      <c r="L30" s="11"/>
      <c r="M30" s="896">
        <v>2</v>
      </c>
      <c r="N30" s="897">
        <v>3326</v>
      </c>
      <c r="O30" s="898">
        <v>0.55000000000000004</v>
      </c>
      <c r="P30" s="897">
        <f t="shared" ref="P30:P32" si="2">N30*(1-O30)</f>
        <v>1496.6999999999998</v>
      </c>
      <c r="Q30" s="897">
        <f t="shared" si="0"/>
        <v>44900.999999999993</v>
      </c>
      <c r="R30" s="899">
        <f>Q30/Q41</f>
        <v>0.12027128740983201</v>
      </c>
      <c r="S30" s="900">
        <f t="shared" si="1"/>
        <v>89801.999999999985</v>
      </c>
      <c r="T30" s="901"/>
      <c r="U30" s="7">
        <f>S30</f>
        <v>89801.999999999985</v>
      </c>
      <c r="V30" s="7"/>
      <c r="W30" s="7"/>
      <c r="X30" s="7"/>
      <c r="Y30" s="889"/>
      <c r="Z30" s="890">
        <f t="shared" ref="Z30:Z33" si="3">S30</f>
        <v>89801.999999999985</v>
      </c>
      <c r="AA30" s="7">
        <f>S30</f>
        <v>89801.999999999985</v>
      </c>
      <c r="AB30" s="7"/>
      <c r="AC30" s="7"/>
      <c r="AD30" s="7"/>
      <c r="AE30" s="890"/>
    </row>
    <row r="31" spans="1:31" x14ac:dyDescent="0.3">
      <c r="A31" s="891" t="s">
        <v>869</v>
      </c>
      <c r="B31" s="902" t="s">
        <v>399</v>
      </c>
      <c r="C31" s="902" t="s">
        <v>870</v>
      </c>
      <c r="D31" s="902" t="s">
        <v>400</v>
      </c>
      <c r="E31" s="902" t="s">
        <v>518</v>
      </c>
      <c r="F31" s="903">
        <v>1</v>
      </c>
      <c r="G31" s="902">
        <v>1</v>
      </c>
      <c r="H31" s="902" t="s">
        <v>22</v>
      </c>
      <c r="I31" s="13"/>
      <c r="J31" s="13"/>
      <c r="K31" s="905">
        <v>1</v>
      </c>
      <c r="L31" s="11"/>
      <c r="M31" s="896">
        <v>1</v>
      </c>
      <c r="N31" s="897">
        <v>65000</v>
      </c>
      <c r="O31" s="898">
        <v>0.5</v>
      </c>
      <c r="P31" s="897">
        <f t="shared" si="2"/>
        <v>32500</v>
      </c>
      <c r="Q31" s="897">
        <f t="shared" si="0"/>
        <v>32500</v>
      </c>
      <c r="R31" s="899">
        <f>Q31/Q41</f>
        <v>8.7054115516793415E-2</v>
      </c>
      <c r="S31" s="900">
        <f t="shared" si="1"/>
        <v>65000</v>
      </c>
      <c r="T31" s="901">
        <f>S31</f>
        <v>65000</v>
      </c>
      <c r="U31" s="7"/>
      <c r="V31" s="7"/>
      <c r="W31" s="7"/>
      <c r="X31" s="7"/>
      <c r="Y31" s="889"/>
      <c r="Z31" s="890">
        <f t="shared" si="3"/>
        <v>65000</v>
      </c>
      <c r="AA31" s="7"/>
      <c r="AB31" s="7">
        <f>S31</f>
        <v>65000</v>
      </c>
      <c r="AC31" s="7"/>
      <c r="AD31" s="7"/>
      <c r="AE31" s="890"/>
    </row>
    <row r="32" spans="1:31" x14ac:dyDescent="0.3">
      <c r="A32" s="891" t="s">
        <v>869</v>
      </c>
      <c r="B32" s="902" t="s">
        <v>399</v>
      </c>
      <c r="C32" s="902" t="s">
        <v>870</v>
      </c>
      <c r="D32" s="902" t="s">
        <v>29</v>
      </c>
      <c r="E32" s="902" t="s">
        <v>518</v>
      </c>
      <c r="F32" s="903" t="s">
        <v>872</v>
      </c>
      <c r="G32" s="902">
        <v>1</v>
      </c>
      <c r="H32" s="902" t="s">
        <v>22</v>
      </c>
      <c r="I32" s="906">
        <v>1</v>
      </c>
      <c r="J32" s="13"/>
      <c r="K32" s="907"/>
      <c r="L32" s="906">
        <v>1</v>
      </c>
      <c r="M32" s="896">
        <v>2</v>
      </c>
      <c r="N32" s="897">
        <v>65000</v>
      </c>
      <c r="O32" s="898">
        <v>0.5</v>
      </c>
      <c r="P32" s="897">
        <f t="shared" si="2"/>
        <v>32500</v>
      </c>
      <c r="Q32" s="897">
        <f t="shared" si="0"/>
        <v>65000</v>
      </c>
      <c r="R32" s="899">
        <f>Q32/Q41</f>
        <v>0.17410823103358683</v>
      </c>
      <c r="S32" s="900">
        <f t="shared" si="1"/>
        <v>130000</v>
      </c>
      <c r="T32" s="901">
        <f>S32</f>
        <v>130000</v>
      </c>
      <c r="U32" s="7"/>
      <c r="V32" s="7"/>
      <c r="W32" s="7"/>
      <c r="X32" s="7"/>
      <c r="Y32" s="889"/>
      <c r="Z32" s="890">
        <f t="shared" si="3"/>
        <v>130000</v>
      </c>
      <c r="AA32" s="7"/>
      <c r="AB32" s="7">
        <f>S32</f>
        <v>130000</v>
      </c>
      <c r="AC32" s="7"/>
      <c r="AD32" s="7"/>
      <c r="AE32" s="890"/>
    </row>
    <row r="33" spans="1:31" x14ac:dyDescent="0.3">
      <c r="A33" s="891" t="s">
        <v>869</v>
      </c>
      <c r="B33" s="902" t="s">
        <v>399</v>
      </c>
      <c r="C33" s="902" t="s">
        <v>873</v>
      </c>
      <c r="D33" s="902" t="s">
        <v>161</v>
      </c>
      <c r="E33" s="902" t="s">
        <v>518</v>
      </c>
      <c r="F33" s="903" t="s">
        <v>874</v>
      </c>
      <c r="G33" s="902">
        <v>25</v>
      </c>
      <c r="H33" s="902" t="s">
        <v>22</v>
      </c>
      <c r="I33" s="908">
        <v>25</v>
      </c>
      <c r="J33" s="13"/>
      <c r="K33" s="907"/>
      <c r="L33" s="907"/>
      <c r="M33" s="896">
        <v>1</v>
      </c>
      <c r="N33" s="909">
        <v>1480</v>
      </c>
      <c r="O33" s="910">
        <v>0.5</v>
      </c>
      <c r="P33" s="909">
        <f>N33*(1-O33)</f>
        <v>740</v>
      </c>
      <c r="Q33" s="897">
        <f t="shared" si="0"/>
        <v>18500</v>
      </c>
      <c r="R33" s="899">
        <f>Q33/Q41</f>
        <v>4.9553881140328555E-2</v>
      </c>
      <c r="S33" s="900">
        <f t="shared" si="1"/>
        <v>37000</v>
      </c>
      <c r="T33" s="901"/>
      <c r="U33" s="7">
        <f>S33</f>
        <v>37000</v>
      </c>
      <c r="V33" s="7"/>
      <c r="W33" s="7"/>
      <c r="X33" s="7"/>
      <c r="Y33" s="889"/>
      <c r="Z33" s="890">
        <f t="shared" si="3"/>
        <v>37000</v>
      </c>
      <c r="AA33" s="7"/>
      <c r="AB33" s="7">
        <f>S33</f>
        <v>37000</v>
      </c>
      <c r="AC33" s="7"/>
      <c r="AD33" s="7"/>
      <c r="AE33" s="890"/>
    </row>
    <row r="34" spans="1:31" x14ac:dyDescent="0.3">
      <c r="A34" s="891" t="s">
        <v>869</v>
      </c>
      <c r="B34" s="902" t="s">
        <v>401</v>
      </c>
      <c r="C34" s="902" t="s">
        <v>873</v>
      </c>
      <c r="D34" s="902" t="s">
        <v>161</v>
      </c>
      <c r="E34" s="902" t="s">
        <v>697</v>
      </c>
      <c r="F34" s="903" t="s">
        <v>874</v>
      </c>
      <c r="G34" s="902">
        <v>14</v>
      </c>
      <c r="H34" s="902" t="s">
        <v>24</v>
      </c>
      <c r="I34" s="908">
        <v>14</v>
      </c>
      <c r="J34" s="895"/>
      <c r="K34" s="895"/>
      <c r="L34" s="2480"/>
      <c r="M34" s="896">
        <v>1</v>
      </c>
      <c r="N34" s="909">
        <v>6000</v>
      </c>
      <c r="O34" s="910">
        <v>0.3</v>
      </c>
      <c r="P34" s="909">
        <f t="shared" ref="P34:P35" si="4">N34*(1-O34)</f>
        <v>4200</v>
      </c>
      <c r="Q34" s="909">
        <f t="shared" si="0"/>
        <v>58800</v>
      </c>
      <c r="R34" s="911">
        <f>Q34/Q41</f>
        <v>0.15750098438115237</v>
      </c>
      <c r="S34" s="900">
        <f t="shared" si="1"/>
        <v>117600</v>
      </c>
      <c r="T34" s="901"/>
      <c r="U34" s="7">
        <f>S34</f>
        <v>117600</v>
      </c>
      <c r="V34" s="7"/>
      <c r="W34" s="7"/>
      <c r="X34" s="7"/>
      <c r="Y34" s="889">
        <f>S34</f>
        <v>117600</v>
      </c>
      <c r="Z34" s="890"/>
      <c r="AA34" s="7"/>
      <c r="AB34" s="7"/>
      <c r="AC34" s="7">
        <f>S34</f>
        <v>117600</v>
      </c>
      <c r="AD34" s="7"/>
      <c r="AE34" s="890"/>
    </row>
    <row r="35" spans="1:31" x14ac:dyDescent="0.3">
      <c r="A35" s="891" t="s">
        <v>869</v>
      </c>
      <c r="B35" s="902" t="s">
        <v>401</v>
      </c>
      <c r="C35" s="902" t="s">
        <v>870</v>
      </c>
      <c r="D35" s="902" t="s">
        <v>26</v>
      </c>
      <c r="E35" s="902" t="s">
        <v>697</v>
      </c>
      <c r="F35" s="903" t="s">
        <v>654</v>
      </c>
      <c r="G35" s="902">
        <v>5</v>
      </c>
      <c r="H35" s="902" t="s">
        <v>24</v>
      </c>
      <c r="I35" s="908">
        <v>5</v>
      </c>
      <c r="J35" s="895"/>
      <c r="K35" s="895"/>
      <c r="L35" s="2480"/>
      <c r="M35" s="896">
        <v>1</v>
      </c>
      <c r="N35" s="909">
        <v>15500</v>
      </c>
      <c r="O35" s="910">
        <v>0.7</v>
      </c>
      <c r="P35" s="909">
        <f t="shared" si="4"/>
        <v>4650.0000000000009</v>
      </c>
      <c r="Q35" s="909">
        <f t="shared" si="0"/>
        <v>23250.000000000004</v>
      </c>
      <c r="R35" s="911">
        <f>Q35/Q41</f>
        <v>6.2277174946629141E-2</v>
      </c>
      <c r="S35" s="900">
        <f t="shared" si="1"/>
        <v>46500.000000000007</v>
      </c>
      <c r="T35" s="901">
        <f>S35</f>
        <v>46500.000000000007</v>
      </c>
      <c r="U35" s="7"/>
      <c r="V35" s="7"/>
      <c r="W35" s="7"/>
      <c r="X35" s="7"/>
      <c r="Y35" s="889">
        <f>S35</f>
        <v>46500.000000000007</v>
      </c>
      <c r="Z35" s="890"/>
      <c r="AA35" s="7"/>
      <c r="AB35" s="7"/>
      <c r="AC35" s="7">
        <f>S35</f>
        <v>46500.000000000007</v>
      </c>
      <c r="AD35" s="7"/>
      <c r="AE35" s="890"/>
    </row>
    <row r="36" spans="1:31" x14ac:dyDescent="0.3">
      <c r="A36" s="891"/>
      <c r="B36" s="902"/>
      <c r="C36" s="902"/>
      <c r="D36" s="902"/>
      <c r="E36" s="902"/>
      <c r="F36" s="903"/>
      <c r="G36" s="902"/>
      <c r="H36" s="902"/>
      <c r="I36" s="13"/>
      <c r="J36" s="912"/>
      <c r="K36" s="912"/>
      <c r="L36" s="11"/>
      <c r="M36" s="896"/>
      <c r="N36" s="909"/>
      <c r="O36" s="910"/>
      <c r="P36" s="909"/>
      <c r="Q36" s="909"/>
      <c r="R36" s="913"/>
      <c r="S36" s="900"/>
      <c r="T36" s="901"/>
      <c r="U36" s="7"/>
      <c r="V36" s="7"/>
      <c r="W36" s="7"/>
      <c r="X36" s="7"/>
      <c r="Y36" s="889"/>
      <c r="Z36" s="890"/>
      <c r="AA36" s="7"/>
      <c r="AB36" s="7"/>
      <c r="AC36" s="7"/>
      <c r="AD36" s="7"/>
      <c r="AE36" s="890"/>
    </row>
    <row r="37" spans="1:31" x14ac:dyDescent="0.3">
      <c r="A37" s="891"/>
      <c r="B37" s="902"/>
      <c r="C37" s="902"/>
      <c r="D37" s="902"/>
      <c r="E37" s="902"/>
      <c r="F37" s="903"/>
      <c r="G37" s="902"/>
      <c r="H37" s="902"/>
      <c r="I37" s="914"/>
      <c r="J37" s="914"/>
      <c r="K37" s="912"/>
      <c r="L37" s="912"/>
      <c r="M37" s="896"/>
      <c r="N37" s="909"/>
      <c r="O37" s="910"/>
      <c r="P37" s="909"/>
      <c r="Q37" s="909"/>
      <c r="R37" s="913"/>
      <c r="S37" s="900"/>
      <c r="T37" s="901"/>
      <c r="U37" s="7"/>
      <c r="V37" s="7"/>
      <c r="W37" s="7"/>
      <c r="X37" s="7"/>
      <c r="Y37" s="889"/>
      <c r="Z37" s="890"/>
      <c r="AA37" s="7"/>
      <c r="AB37" s="7"/>
      <c r="AC37" s="7"/>
      <c r="AD37" s="7"/>
      <c r="AE37" s="890"/>
    </row>
    <row r="38" spans="1:31" x14ac:dyDescent="0.3">
      <c r="A38" s="915" t="s">
        <v>869</v>
      </c>
      <c r="B38" s="916" t="s">
        <v>528</v>
      </c>
      <c r="C38" s="916"/>
      <c r="D38" s="916"/>
      <c r="E38" s="916"/>
      <c r="F38" s="917"/>
      <c r="G38" s="916"/>
      <c r="H38" s="916"/>
      <c r="I38" s="918"/>
      <c r="J38" s="918"/>
      <c r="K38" s="919"/>
      <c r="L38" s="919"/>
      <c r="M38" s="920"/>
      <c r="N38" s="921"/>
      <c r="O38" s="922"/>
      <c r="P38" s="921"/>
      <c r="Q38" s="921">
        <v>36000</v>
      </c>
      <c r="R38" s="923">
        <f>Q38/Q41</f>
        <v>9.6429174110909621E-2</v>
      </c>
      <c r="S38" s="900">
        <f>Q38*2</f>
        <v>72000</v>
      </c>
      <c r="T38" s="901"/>
      <c r="U38" s="7"/>
      <c r="V38" s="7"/>
      <c r="W38" s="7">
        <f>S38</f>
        <v>72000</v>
      </c>
      <c r="X38" s="7"/>
      <c r="Y38" s="889"/>
      <c r="Z38" s="890"/>
      <c r="AA38" s="7"/>
      <c r="AB38" s="7"/>
      <c r="AC38" s="7"/>
      <c r="AD38" s="7"/>
      <c r="AE38" s="890"/>
    </row>
    <row r="39" spans="1:31" x14ac:dyDescent="0.3">
      <c r="A39" s="915" t="s">
        <v>869</v>
      </c>
      <c r="B39" s="916" t="s">
        <v>529</v>
      </c>
      <c r="C39" s="916"/>
      <c r="D39" s="916"/>
      <c r="E39" s="916"/>
      <c r="F39" s="917"/>
      <c r="G39" s="916"/>
      <c r="H39" s="916"/>
      <c r="I39" s="924"/>
      <c r="J39" s="924"/>
      <c r="K39" s="924"/>
      <c r="L39" s="924"/>
      <c r="M39" s="916"/>
      <c r="N39" s="925"/>
      <c r="O39" s="916"/>
      <c r="P39" s="925"/>
      <c r="Q39" s="926">
        <v>15000</v>
      </c>
      <c r="R39" s="927">
        <f>Q39/Q41</f>
        <v>4.0178822546212342E-2</v>
      </c>
      <c r="S39" s="900">
        <f>Q39*2</f>
        <v>30000</v>
      </c>
      <c r="T39" s="928"/>
      <c r="U39" s="7"/>
      <c r="V39" s="7"/>
      <c r="W39" s="7"/>
      <c r="X39" s="7">
        <f>S39</f>
        <v>30000</v>
      </c>
      <c r="Y39" s="889"/>
      <c r="Z39" s="890"/>
      <c r="AA39" s="7"/>
      <c r="AB39" s="7"/>
      <c r="AC39" s="7"/>
      <c r="AD39" s="7"/>
      <c r="AE39" s="890"/>
    </row>
    <row r="40" spans="1:31" x14ac:dyDescent="0.3">
      <c r="A40" s="929"/>
      <c r="B40" s="10"/>
      <c r="C40" s="10"/>
      <c r="D40" s="10"/>
      <c r="E40" s="10"/>
      <c r="F40" s="930"/>
      <c r="G40" s="10"/>
      <c r="H40" s="10"/>
      <c r="I40" s="1684">
        <f>I41/M41</f>
        <v>0.76923076923076927</v>
      </c>
      <c r="J40" s="1917">
        <f>J41/M41</f>
        <v>0.20512820512820512</v>
      </c>
      <c r="K40" s="1684">
        <f>K41/M41</f>
        <v>1.282051282051282E-2</v>
      </c>
      <c r="L40" s="1684">
        <f>L41/M41</f>
        <v>1.282051282051282E-2</v>
      </c>
      <c r="M40" s="10"/>
      <c r="N40" s="931"/>
      <c r="O40" s="10"/>
      <c r="P40" s="931"/>
      <c r="Q40" s="932"/>
      <c r="R40" s="933"/>
      <c r="S40" s="934"/>
      <c r="T40" s="935"/>
      <c r="U40" s="650"/>
      <c r="V40" s="650"/>
      <c r="W40" s="650"/>
      <c r="X40" s="650"/>
      <c r="Y40" s="936"/>
      <c r="Z40" s="937"/>
      <c r="AA40" s="650"/>
      <c r="AB40" s="650"/>
      <c r="AC40" s="650"/>
      <c r="AD40" s="650"/>
      <c r="AE40" s="937"/>
    </row>
    <row r="41" spans="1:31" x14ac:dyDescent="0.3">
      <c r="A41" s="938" t="s">
        <v>531</v>
      </c>
      <c r="B41" s="939"/>
      <c r="C41" s="939"/>
      <c r="D41" s="939"/>
      <c r="E41" s="939"/>
      <c r="F41" s="940"/>
      <c r="G41" s="939"/>
      <c r="H41" s="939"/>
      <c r="I41" s="941">
        <f>I35+I34+I33+I32+I30</f>
        <v>60</v>
      </c>
      <c r="J41" s="942">
        <f>J30+J29</f>
        <v>16</v>
      </c>
      <c r="K41" s="941">
        <f>K31</f>
        <v>1</v>
      </c>
      <c r="L41" s="941">
        <f>L32</f>
        <v>1</v>
      </c>
      <c r="M41" s="941">
        <f>SUM(I41:L41)</f>
        <v>78</v>
      </c>
      <c r="N41" s="943"/>
      <c r="O41" s="939"/>
      <c r="P41" s="943"/>
      <c r="Q41" s="944">
        <f>SUM(Q28:Q40)</f>
        <v>373331</v>
      </c>
      <c r="R41" s="945">
        <f>SUM(R28:R40)</f>
        <v>1</v>
      </c>
      <c r="S41" s="946">
        <f>SUM(S29:S39)</f>
        <v>746662</v>
      </c>
      <c r="T41" s="947">
        <f t="shared" ref="T41:AC41" si="5">SUM(T28:T40)</f>
        <v>400260</v>
      </c>
      <c r="U41" s="221">
        <f t="shared" si="5"/>
        <v>244402</v>
      </c>
      <c r="V41" s="221">
        <f t="shared" si="5"/>
        <v>0</v>
      </c>
      <c r="W41" s="221">
        <f t="shared" si="5"/>
        <v>72000</v>
      </c>
      <c r="X41" s="221">
        <f t="shared" si="5"/>
        <v>30000</v>
      </c>
      <c r="Y41" s="222">
        <f t="shared" si="5"/>
        <v>164100</v>
      </c>
      <c r="Z41" s="223">
        <f t="shared" si="5"/>
        <v>480562</v>
      </c>
      <c r="AA41" s="221">
        <f t="shared" si="5"/>
        <v>248562</v>
      </c>
      <c r="AB41" s="221">
        <f t="shared" si="5"/>
        <v>232000</v>
      </c>
      <c r="AC41" s="221">
        <f t="shared" si="5"/>
        <v>164100</v>
      </c>
      <c r="AD41" s="221"/>
      <c r="AE41" s="223"/>
    </row>
    <row r="42" spans="1:31" x14ac:dyDescent="0.3">
      <c r="A42" s="948" t="s">
        <v>532</v>
      </c>
      <c r="B42" s="949"/>
      <c r="C42" s="949"/>
      <c r="D42" s="949"/>
      <c r="E42" s="949"/>
      <c r="F42" s="950"/>
      <c r="G42" s="949"/>
      <c r="H42" s="949"/>
      <c r="I42" s="951">
        <f>I35+I34+I33+I32+I30</f>
        <v>60</v>
      </c>
      <c r="J42" s="951">
        <f>I35+I34+J30+J29</f>
        <v>35</v>
      </c>
      <c r="K42" s="951">
        <f>I35+I34+K31</f>
        <v>20</v>
      </c>
      <c r="L42" s="951">
        <f>L32+I34+I35</f>
        <v>20</v>
      </c>
      <c r="M42" s="952">
        <f>I42+J42+K42+L42</f>
        <v>135</v>
      </c>
      <c r="N42" s="953"/>
      <c r="O42" s="949"/>
      <c r="P42" s="953"/>
      <c r="Q42" s="954"/>
      <c r="R42" s="955"/>
      <c r="S42" s="956"/>
      <c r="T42" s="957"/>
      <c r="U42" s="958"/>
      <c r="V42" s="958"/>
      <c r="W42" s="958"/>
      <c r="X42" s="958"/>
      <c r="Y42" s="298">
        <f>Y41/S41</f>
        <v>0.21977815932778152</v>
      </c>
      <c r="Z42" s="297">
        <f>Z41/S41</f>
        <v>0.64361384401509647</v>
      </c>
      <c r="AA42" s="958"/>
      <c r="AB42" s="958"/>
      <c r="AC42" s="958"/>
      <c r="AD42" s="958"/>
      <c r="AE42" s="959"/>
    </row>
    <row r="43" spans="1:31" x14ac:dyDescent="0.3">
      <c r="A43" s="251" t="s">
        <v>533</v>
      </c>
      <c r="B43" s="252"/>
      <c r="C43" s="252"/>
      <c r="D43" s="252"/>
      <c r="E43" s="252"/>
      <c r="F43" s="253"/>
      <c r="G43" s="252"/>
      <c r="H43" s="252"/>
      <c r="I43" s="256">
        <f>I42/$M$42</f>
        <v>0.44444444444444442</v>
      </c>
      <c r="J43" s="256">
        <f t="shared" ref="J43:L43" si="6">J42/$M$42</f>
        <v>0.25925925925925924</v>
      </c>
      <c r="K43" s="256">
        <f t="shared" si="6"/>
        <v>0.14814814814814814</v>
      </c>
      <c r="L43" s="256">
        <f t="shared" si="6"/>
        <v>0.14814814814814814</v>
      </c>
      <c r="M43" s="252"/>
      <c r="N43" s="255"/>
      <c r="O43" s="255"/>
      <c r="P43" s="256"/>
      <c r="Q43" s="255"/>
      <c r="R43" s="257">
        <f>T41/2</f>
        <v>200130</v>
      </c>
      <c r="Y43" s="960">
        <f>I34+I35</f>
        <v>19</v>
      </c>
      <c r="Z43" s="961">
        <f>J29+I30+J30+K31+L32+I32+I33</f>
        <v>59</v>
      </c>
      <c r="AB43" s="962"/>
      <c r="AC43" s="7"/>
      <c r="AD43" s="7"/>
      <c r="AE43" s="7"/>
    </row>
    <row r="44" spans="1:31" x14ac:dyDescent="0.3">
      <c r="A44" s="251" t="s">
        <v>11</v>
      </c>
      <c r="B44" s="252"/>
      <c r="C44" s="252"/>
      <c r="D44" s="252"/>
      <c r="E44" s="252"/>
      <c r="F44" s="253"/>
      <c r="G44" s="252"/>
      <c r="H44" s="252"/>
      <c r="I44" s="254"/>
      <c r="J44" s="254"/>
      <c r="K44" s="254"/>
      <c r="L44" s="254"/>
      <c r="M44" s="252"/>
      <c r="N44" s="255"/>
      <c r="O44" s="255"/>
      <c r="P44" s="256"/>
      <c r="Q44" s="255"/>
      <c r="R44" s="257">
        <f>U41/2</f>
        <v>122201</v>
      </c>
      <c r="S44" s="574">
        <f>Q41/M41</f>
        <v>4786.2948717948721</v>
      </c>
      <c r="T44" s="963" t="s">
        <v>535</v>
      </c>
      <c r="Y44" s="964">
        <f>Y43/M41</f>
        <v>0.24358974358974358</v>
      </c>
      <c r="Z44" s="323">
        <f>Z43/M41</f>
        <v>0.75641025641025639</v>
      </c>
      <c r="AC44" s="7"/>
      <c r="AD44" s="7"/>
      <c r="AE44" s="7"/>
    </row>
    <row r="45" spans="1:31" x14ac:dyDescent="0.3">
      <c r="A45" s="251" t="s">
        <v>536</v>
      </c>
      <c r="B45" s="252"/>
      <c r="C45" s="252"/>
      <c r="D45" s="252"/>
      <c r="E45" s="252"/>
      <c r="F45" s="253"/>
      <c r="G45" s="252"/>
      <c r="H45" s="252"/>
      <c r="I45" s="254"/>
      <c r="J45" s="254"/>
      <c r="K45" s="254"/>
      <c r="L45" s="254"/>
      <c r="M45" s="252"/>
      <c r="N45" s="255"/>
      <c r="O45" s="255"/>
      <c r="P45" s="256"/>
      <c r="Q45" s="255"/>
      <c r="R45" s="257"/>
      <c r="Y45" s="2481" t="s">
        <v>537</v>
      </c>
      <c r="Z45" s="2482"/>
      <c r="AC45" s="7"/>
      <c r="AD45" s="7"/>
      <c r="AE45" s="7"/>
    </row>
    <row r="46" spans="1:31" x14ac:dyDescent="0.3">
      <c r="A46" s="251" t="s">
        <v>529</v>
      </c>
      <c r="B46" s="252"/>
      <c r="C46" s="252"/>
      <c r="D46" s="252"/>
      <c r="E46" s="252"/>
      <c r="F46" s="253"/>
      <c r="G46" s="252"/>
      <c r="H46" s="252"/>
      <c r="I46" s="254"/>
      <c r="J46" s="254"/>
      <c r="K46" s="254"/>
      <c r="L46" s="254"/>
      <c r="M46" s="252"/>
      <c r="N46" s="255"/>
      <c r="O46" s="255"/>
      <c r="P46" s="256"/>
      <c r="Q46" s="255"/>
      <c r="R46" s="257">
        <f>X41/2</f>
        <v>15000</v>
      </c>
      <c r="AC46" s="7"/>
      <c r="AD46" s="7"/>
      <c r="AE46" s="7"/>
    </row>
    <row r="47" spans="1:31" x14ac:dyDescent="0.3">
      <c r="A47" s="251" t="s">
        <v>528</v>
      </c>
      <c r="B47" s="252"/>
      <c r="C47" s="252"/>
      <c r="D47" s="252"/>
      <c r="E47" s="252"/>
      <c r="F47" s="253"/>
      <c r="G47" s="252"/>
      <c r="H47" s="252"/>
      <c r="I47" s="254"/>
      <c r="J47" s="254"/>
      <c r="K47" s="254"/>
      <c r="L47" s="254"/>
      <c r="M47" s="252"/>
      <c r="N47" s="255"/>
      <c r="O47" s="255"/>
      <c r="P47" s="256"/>
      <c r="Q47" s="255"/>
      <c r="R47" s="257">
        <f>W41/2</f>
        <v>36000</v>
      </c>
      <c r="AC47" s="7"/>
      <c r="AD47" s="7"/>
      <c r="AE47" s="7"/>
    </row>
    <row r="48" spans="1:31" x14ac:dyDescent="0.3">
      <c r="A48" s="251"/>
      <c r="B48" s="252"/>
      <c r="C48" s="252"/>
      <c r="D48" s="252"/>
      <c r="E48" s="252"/>
      <c r="F48" s="253"/>
      <c r="G48" s="252"/>
      <c r="H48" s="252"/>
      <c r="I48" s="254"/>
      <c r="J48" s="254"/>
      <c r="K48" s="254"/>
      <c r="L48" s="254"/>
      <c r="M48" s="252"/>
      <c r="N48" s="255"/>
      <c r="O48" s="255"/>
      <c r="P48" s="256"/>
      <c r="Q48" s="255"/>
      <c r="R48" s="264">
        <f>SUM(R43:R47)</f>
        <v>373331</v>
      </c>
      <c r="AC48" s="7"/>
      <c r="AD48" s="7"/>
      <c r="AE48" s="7"/>
    </row>
    <row r="49" spans="1:31" x14ac:dyDescent="0.3">
      <c r="A49" s="11"/>
      <c r="B49" s="11"/>
      <c r="C49" s="11"/>
      <c r="D49" s="11"/>
      <c r="E49" s="11"/>
      <c r="F49" s="861"/>
      <c r="G49" s="11"/>
      <c r="H49" s="11"/>
      <c r="I49" s="11"/>
      <c r="J49" s="13"/>
      <c r="K49" s="11"/>
      <c r="L49" s="11"/>
      <c r="M49" s="11"/>
      <c r="N49" s="965"/>
      <c r="O49" s="11"/>
      <c r="P49" s="965"/>
      <c r="Q49" s="965"/>
      <c r="R49" s="966"/>
      <c r="S49" s="965"/>
      <c r="T49" s="965"/>
    </row>
    <row r="50" spans="1:31" x14ac:dyDescent="0.3">
      <c r="A50" s="11"/>
      <c r="B50" s="11"/>
      <c r="C50" s="11"/>
      <c r="D50" s="11"/>
      <c r="E50" s="11"/>
      <c r="F50" s="861"/>
      <c r="G50" s="11"/>
      <c r="H50" s="11"/>
      <c r="I50" s="11"/>
      <c r="J50" s="13"/>
    </row>
    <row r="51" spans="1:31" ht="18" x14ac:dyDescent="0.35">
      <c r="A51" s="118" t="s">
        <v>479</v>
      </c>
      <c r="B51" s="1"/>
      <c r="C51" s="1"/>
      <c r="D51" s="1"/>
      <c r="E51" s="1"/>
      <c r="F51" s="2"/>
      <c r="G51" s="1"/>
      <c r="H51" s="1"/>
      <c r="M51" s="1"/>
      <c r="O51" s="3"/>
      <c r="R51" s="3"/>
    </row>
    <row r="52" spans="1:31" x14ac:dyDescent="0.3">
      <c r="B52" s="1"/>
      <c r="C52" s="1"/>
      <c r="D52" s="1"/>
      <c r="E52" s="1"/>
      <c r="F52" s="2"/>
      <c r="G52" s="1"/>
      <c r="H52" s="1"/>
      <c r="M52" s="1"/>
      <c r="O52" s="3"/>
      <c r="R52" s="3"/>
    </row>
    <row r="53" spans="1:31" x14ac:dyDescent="0.3">
      <c r="A53" s="2335" t="s">
        <v>480</v>
      </c>
      <c r="B53" s="2336"/>
      <c r="C53" s="2336"/>
      <c r="D53" s="2336"/>
      <c r="E53" s="2336"/>
      <c r="F53" s="2336"/>
      <c r="G53" s="2336"/>
      <c r="H53" s="2336"/>
      <c r="I53" s="2336"/>
      <c r="J53" s="2336"/>
      <c r="K53" s="2336"/>
      <c r="L53" s="2336"/>
      <c r="M53" s="2336"/>
      <c r="N53" s="2336"/>
      <c r="O53" s="2336"/>
      <c r="P53" s="2336"/>
      <c r="Q53" s="2336"/>
      <c r="R53" s="2337"/>
      <c r="S53" s="2498" t="s">
        <v>584</v>
      </c>
      <c r="T53" s="2499"/>
      <c r="U53" s="2499"/>
      <c r="V53" s="2499"/>
      <c r="W53" s="2499"/>
      <c r="X53" s="2499"/>
      <c r="Y53" s="2499"/>
      <c r="Z53" s="2499"/>
      <c r="AA53" s="2499"/>
      <c r="AB53" s="2499"/>
      <c r="AC53" s="2499"/>
      <c r="AD53" s="2499"/>
      <c r="AE53" s="2500"/>
    </row>
    <row r="54" spans="1:31" ht="69" x14ac:dyDescent="0.35">
      <c r="A54" s="2538" t="s">
        <v>482</v>
      </c>
      <c r="B54" s="2540" t="s">
        <v>483</v>
      </c>
      <c r="C54" s="2540" t="s">
        <v>484</v>
      </c>
      <c r="D54" s="2540" t="s">
        <v>485</v>
      </c>
      <c r="E54" s="2540" t="s">
        <v>486</v>
      </c>
      <c r="F54" s="2542" t="s">
        <v>487</v>
      </c>
      <c r="G54" s="2536" t="s">
        <v>488</v>
      </c>
      <c r="H54" s="2529" t="s">
        <v>489</v>
      </c>
      <c r="I54" s="2531" t="s">
        <v>490</v>
      </c>
      <c r="J54" s="2532"/>
      <c r="K54" s="2532"/>
      <c r="L54" s="2533"/>
      <c r="M54" s="2534" t="s">
        <v>863</v>
      </c>
      <c r="N54" s="2522" t="s">
        <v>864</v>
      </c>
      <c r="O54" s="2536" t="s">
        <v>865</v>
      </c>
      <c r="P54" s="2522" t="s">
        <v>866</v>
      </c>
      <c r="Q54" s="2522" t="s">
        <v>867</v>
      </c>
      <c r="R54" s="2524" t="s">
        <v>495</v>
      </c>
      <c r="S54" s="866" t="s">
        <v>496</v>
      </c>
      <c r="T54" s="2425" t="s">
        <v>497</v>
      </c>
      <c r="U54" s="2425"/>
      <c r="V54" s="2425"/>
      <c r="W54" s="2425"/>
      <c r="X54" s="2425"/>
      <c r="Y54" s="2424" t="s">
        <v>498</v>
      </c>
      <c r="Z54" s="2426"/>
      <c r="AA54" s="2424" t="s">
        <v>499</v>
      </c>
      <c r="AB54" s="2425"/>
      <c r="AC54" s="2425"/>
      <c r="AD54" s="2425"/>
      <c r="AE54" s="2426"/>
    </row>
    <row r="55" spans="1:31" ht="18" x14ac:dyDescent="0.35">
      <c r="A55" s="2539"/>
      <c r="B55" s="2541"/>
      <c r="C55" s="2541"/>
      <c r="D55" s="2541"/>
      <c r="E55" s="2541"/>
      <c r="F55" s="2543"/>
      <c r="G55" s="2537"/>
      <c r="H55" s="2530"/>
      <c r="I55" s="867" t="s">
        <v>500</v>
      </c>
      <c r="J55" s="867" t="s">
        <v>501</v>
      </c>
      <c r="K55" s="868" t="s">
        <v>502</v>
      </c>
      <c r="L55" s="868" t="s">
        <v>503</v>
      </c>
      <c r="M55" s="2535"/>
      <c r="N55" s="2523"/>
      <c r="O55" s="2537"/>
      <c r="P55" s="2523"/>
      <c r="Q55" s="2523"/>
      <c r="R55" s="2525"/>
      <c r="S55" s="869" t="s">
        <v>508</v>
      </c>
      <c r="T55" s="2428"/>
      <c r="U55" s="2428"/>
      <c r="V55" s="2428"/>
      <c r="W55" s="2428"/>
      <c r="X55" s="2428"/>
      <c r="Y55" s="2427"/>
      <c r="Z55" s="2429"/>
      <c r="AA55" s="2427"/>
      <c r="AB55" s="2428"/>
      <c r="AC55" s="2428"/>
      <c r="AD55" s="2428"/>
      <c r="AE55" s="2429"/>
    </row>
    <row r="56" spans="1:31" ht="15.6" x14ac:dyDescent="0.3">
      <c r="A56" s="2526" t="s">
        <v>875</v>
      </c>
      <c r="B56" s="2527"/>
      <c r="C56" s="2527"/>
      <c r="D56" s="2527"/>
      <c r="E56" s="2527"/>
      <c r="F56" s="2527"/>
      <c r="G56" s="2527"/>
      <c r="H56" s="2527"/>
      <c r="I56" s="2527"/>
      <c r="J56" s="2527"/>
      <c r="K56" s="2527"/>
      <c r="L56" s="2527"/>
      <c r="M56" s="2527"/>
      <c r="N56" s="2527"/>
      <c r="O56" s="2527"/>
      <c r="P56" s="2527"/>
      <c r="Q56" s="2527"/>
      <c r="R56" s="2528"/>
      <c r="S56" s="870"/>
      <c r="T56" s="716" t="s">
        <v>510</v>
      </c>
      <c r="U56" s="871" t="s">
        <v>11</v>
      </c>
      <c r="V56" s="871" t="s">
        <v>511</v>
      </c>
      <c r="W56" s="871" t="s">
        <v>512</v>
      </c>
      <c r="X56" s="873" t="s">
        <v>513</v>
      </c>
      <c r="Y56" s="872" t="s">
        <v>514</v>
      </c>
      <c r="Z56" s="873" t="s">
        <v>515</v>
      </c>
      <c r="AA56" s="716" t="s">
        <v>868</v>
      </c>
      <c r="AB56" s="871" t="s">
        <v>159</v>
      </c>
      <c r="AC56" s="871" t="s">
        <v>160</v>
      </c>
      <c r="AD56" s="871" t="s">
        <v>3</v>
      </c>
      <c r="AE56" s="873" t="s">
        <v>0</v>
      </c>
    </row>
    <row r="57" spans="1:31" ht="15.6" x14ac:dyDescent="0.3">
      <c r="A57" s="874"/>
      <c r="B57" s="875"/>
      <c r="C57" s="875"/>
      <c r="D57" s="876"/>
      <c r="E57" s="876"/>
      <c r="F57" s="877"/>
      <c r="G57" s="876"/>
      <c r="H57" s="876"/>
      <c r="I57" s="878"/>
      <c r="J57" s="878"/>
      <c r="K57" s="879"/>
      <c r="L57" s="880"/>
      <c r="M57" s="881"/>
      <c r="N57" s="882"/>
      <c r="O57" s="881"/>
      <c r="P57" s="883"/>
      <c r="Q57" s="884"/>
      <c r="R57" s="885"/>
      <c r="S57" s="886"/>
      <c r="T57" s="887"/>
      <c r="U57" s="7"/>
      <c r="V57" s="7"/>
      <c r="W57" s="7"/>
      <c r="X57" s="890"/>
      <c r="Y57" s="150"/>
      <c r="Z57" s="890"/>
      <c r="AA57" s="150"/>
      <c r="AB57" s="7"/>
      <c r="AC57" s="7"/>
      <c r="AD57" s="7"/>
      <c r="AE57" s="890"/>
    </row>
    <row r="58" spans="1:31" x14ac:dyDescent="0.3">
      <c r="A58" s="891" t="s">
        <v>869</v>
      </c>
      <c r="B58" s="902" t="s">
        <v>23</v>
      </c>
      <c r="C58" s="902" t="s">
        <v>870</v>
      </c>
      <c r="D58" s="902" t="s">
        <v>402</v>
      </c>
      <c r="E58" s="902" t="s">
        <v>518</v>
      </c>
      <c r="F58" s="903" t="s">
        <v>645</v>
      </c>
      <c r="G58" s="902">
        <v>1</v>
      </c>
      <c r="H58" s="902" t="s">
        <v>22</v>
      </c>
      <c r="I58" s="906">
        <v>1</v>
      </c>
      <c r="J58" s="11"/>
      <c r="K58" s="11"/>
      <c r="L58" s="11"/>
      <c r="M58" s="896">
        <v>1</v>
      </c>
      <c r="N58" s="897">
        <v>35211</v>
      </c>
      <c r="O58" s="898">
        <v>0.3</v>
      </c>
      <c r="P58" s="897">
        <f t="shared" ref="P58:P60" si="7">N58*(1-O58)</f>
        <v>24647.699999999997</v>
      </c>
      <c r="Q58" s="897">
        <f t="shared" ref="Q58:Q66" si="8">P58*G58*M58</f>
        <v>24647.699999999997</v>
      </c>
      <c r="R58" s="899">
        <f>Q58/Q71</f>
        <v>6.5820595036316862E-2</v>
      </c>
      <c r="S58" s="900">
        <f>Q58</f>
        <v>24647.699999999997</v>
      </c>
      <c r="T58" s="901">
        <f>S58</f>
        <v>24647.699999999997</v>
      </c>
      <c r="U58" s="7"/>
      <c r="V58" s="7"/>
      <c r="W58" s="7"/>
      <c r="X58" s="890"/>
      <c r="Y58" s="150"/>
      <c r="Z58" s="890">
        <f>S58</f>
        <v>24647.699999999997</v>
      </c>
      <c r="AA58" s="150">
        <f>S58</f>
        <v>24647.699999999997</v>
      </c>
      <c r="AB58" s="7"/>
      <c r="AC58" s="7"/>
      <c r="AD58" s="7"/>
      <c r="AE58" s="890"/>
    </row>
    <row r="59" spans="1:31" x14ac:dyDescent="0.3">
      <c r="A59" s="891" t="s">
        <v>869</v>
      </c>
      <c r="B59" s="902" t="s">
        <v>23</v>
      </c>
      <c r="C59" s="902" t="s">
        <v>871</v>
      </c>
      <c r="D59" s="902" t="s">
        <v>398</v>
      </c>
      <c r="E59" s="902" t="s">
        <v>518</v>
      </c>
      <c r="F59" s="903" t="s">
        <v>613</v>
      </c>
      <c r="G59" s="902">
        <v>13</v>
      </c>
      <c r="H59" s="902" t="s">
        <v>22</v>
      </c>
      <c r="I59" s="904">
        <v>13</v>
      </c>
      <c r="J59" s="904">
        <v>13</v>
      </c>
      <c r="K59" s="11"/>
      <c r="L59" s="11"/>
      <c r="M59" s="896">
        <v>2</v>
      </c>
      <c r="N59" s="897">
        <v>3326</v>
      </c>
      <c r="O59" s="898">
        <v>0.55000000000000004</v>
      </c>
      <c r="P59" s="897">
        <f t="shared" si="7"/>
        <v>1496.6999999999998</v>
      </c>
      <c r="Q59" s="897">
        <f t="shared" si="8"/>
        <v>38914.199999999997</v>
      </c>
      <c r="R59" s="899">
        <f>Q59/Q71</f>
        <v>0.1039186536416072</v>
      </c>
      <c r="S59" s="900">
        <f t="shared" ref="S59:S66" si="9">Q59</f>
        <v>38914.199999999997</v>
      </c>
      <c r="T59" s="901"/>
      <c r="U59" s="7">
        <f>S59</f>
        <v>38914.199999999997</v>
      </c>
      <c r="V59" s="7"/>
      <c r="W59" s="7"/>
      <c r="X59" s="890"/>
      <c r="Y59" s="150"/>
      <c r="Z59" s="890">
        <f t="shared" ref="Z59:Z61" si="10">S59</f>
        <v>38914.199999999997</v>
      </c>
      <c r="AA59" s="150">
        <f>S59</f>
        <v>38914.199999999997</v>
      </c>
      <c r="AB59" s="7"/>
      <c r="AC59" s="7"/>
      <c r="AD59" s="7"/>
      <c r="AE59" s="890"/>
    </row>
    <row r="60" spans="1:31" x14ac:dyDescent="0.3">
      <c r="A60" s="891" t="s">
        <v>869</v>
      </c>
      <c r="B60" s="902" t="s">
        <v>399</v>
      </c>
      <c r="C60" s="902" t="s">
        <v>870</v>
      </c>
      <c r="D60" s="902" t="s">
        <v>400</v>
      </c>
      <c r="E60" s="902" t="s">
        <v>518</v>
      </c>
      <c r="F60" s="903" t="s">
        <v>645</v>
      </c>
      <c r="G60" s="902">
        <v>1</v>
      </c>
      <c r="H60" s="902" t="s">
        <v>22</v>
      </c>
      <c r="I60" s="13"/>
      <c r="J60" s="13"/>
      <c r="K60" s="905">
        <v>1</v>
      </c>
      <c r="L60" s="11"/>
      <c r="M60" s="896">
        <v>1</v>
      </c>
      <c r="N60" s="897">
        <v>65000</v>
      </c>
      <c r="O60" s="898">
        <v>0.5</v>
      </c>
      <c r="P60" s="897">
        <f t="shared" si="7"/>
        <v>32500</v>
      </c>
      <c r="Q60" s="897">
        <f t="shared" si="8"/>
        <v>32500</v>
      </c>
      <c r="R60" s="899">
        <f>Q60/Q71</f>
        <v>8.6789815629056591E-2</v>
      </c>
      <c r="S60" s="900">
        <f t="shared" si="9"/>
        <v>32500</v>
      </c>
      <c r="T60" s="901">
        <f>S60</f>
        <v>32500</v>
      </c>
      <c r="U60" s="7"/>
      <c r="V60" s="7"/>
      <c r="W60" s="7"/>
      <c r="X60" s="890"/>
      <c r="Y60" s="150"/>
      <c r="Z60" s="890">
        <f t="shared" si="10"/>
        <v>32500</v>
      </c>
      <c r="AA60" s="150"/>
      <c r="AB60" s="7">
        <f>S60</f>
        <v>32500</v>
      </c>
      <c r="AC60" s="7"/>
      <c r="AD60" s="7"/>
      <c r="AE60" s="890"/>
    </row>
    <row r="61" spans="1:31" x14ac:dyDescent="0.3">
      <c r="A61" s="891" t="s">
        <v>869</v>
      </c>
      <c r="B61" s="902" t="s">
        <v>399</v>
      </c>
      <c r="C61" s="902" t="s">
        <v>873</v>
      </c>
      <c r="D61" s="902" t="s">
        <v>161</v>
      </c>
      <c r="E61" s="902" t="s">
        <v>518</v>
      </c>
      <c r="F61" s="903" t="s">
        <v>874</v>
      </c>
      <c r="G61" s="902">
        <v>10</v>
      </c>
      <c r="H61" s="902" t="s">
        <v>22</v>
      </c>
      <c r="I61" s="908">
        <v>10</v>
      </c>
      <c r="J61" s="13"/>
      <c r="K61" s="907"/>
      <c r="L61" s="907"/>
      <c r="M61" s="896">
        <v>1</v>
      </c>
      <c r="N61" s="909">
        <v>1480</v>
      </c>
      <c r="O61" s="910">
        <v>0.5</v>
      </c>
      <c r="P61" s="909">
        <f>N61*(1-O61)</f>
        <v>740</v>
      </c>
      <c r="Q61" s="897">
        <f t="shared" si="8"/>
        <v>7400</v>
      </c>
      <c r="R61" s="899">
        <f>Q61/Q71</f>
        <v>1.976137340476981E-2</v>
      </c>
      <c r="S61" s="900">
        <f t="shared" si="9"/>
        <v>7400</v>
      </c>
      <c r="T61" s="901"/>
      <c r="U61" s="7">
        <f>S61</f>
        <v>7400</v>
      </c>
      <c r="V61" s="7"/>
      <c r="W61" s="7"/>
      <c r="X61" s="890"/>
      <c r="Y61" s="150"/>
      <c r="Z61" s="890">
        <f t="shared" si="10"/>
        <v>7400</v>
      </c>
      <c r="AA61" s="150"/>
      <c r="AB61" s="7">
        <f>S61</f>
        <v>7400</v>
      </c>
      <c r="AC61" s="7"/>
      <c r="AD61" s="7"/>
      <c r="AE61" s="890"/>
    </row>
    <row r="62" spans="1:31" x14ac:dyDescent="0.3">
      <c r="A62" s="891" t="s">
        <v>869</v>
      </c>
      <c r="B62" s="902" t="s">
        <v>401</v>
      </c>
      <c r="C62" s="902" t="s">
        <v>871</v>
      </c>
      <c r="D62" s="902" t="s">
        <v>403</v>
      </c>
      <c r="E62" s="902" t="s">
        <v>520</v>
      </c>
      <c r="F62" s="903" t="s">
        <v>613</v>
      </c>
      <c r="G62" s="902">
        <v>10</v>
      </c>
      <c r="H62" s="902" t="s">
        <v>22</v>
      </c>
      <c r="I62" s="13"/>
      <c r="J62" s="13"/>
      <c r="K62" s="905">
        <v>10</v>
      </c>
      <c r="L62" s="895">
        <v>10</v>
      </c>
      <c r="M62" s="896">
        <v>2</v>
      </c>
      <c r="N62" s="909">
        <v>5000</v>
      </c>
      <c r="O62" s="910">
        <v>0.32</v>
      </c>
      <c r="P62" s="909">
        <f>N62*(1-O62)</f>
        <v>3399.9999999999995</v>
      </c>
      <c r="Q62" s="897">
        <f t="shared" si="8"/>
        <v>67999.999999999985</v>
      </c>
      <c r="R62" s="967">
        <f>Q62/Q71</f>
        <v>0.18159099885464144</v>
      </c>
      <c r="S62" s="900">
        <f t="shared" si="9"/>
        <v>67999.999999999985</v>
      </c>
      <c r="T62" s="901"/>
      <c r="U62" s="7">
        <f>S62</f>
        <v>67999.999999999985</v>
      </c>
      <c r="V62" s="7"/>
      <c r="W62" s="7"/>
      <c r="X62" s="890"/>
      <c r="Y62" s="150">
        <f>S62</f>
        <v>67999.999999999985</v>
      </c>
      <c r="Z62" s="890"/>
      <c r="AA62" s="150"/>
      <c r="AB62" s="7"/>
      <c r="AC62" s="7">
        <f>S62</f>
        <v>67999.999999999985</v>
      </c>
      <c r="AD62" s="7"/>
      <c r="AE62" s="890"/>
    </row>
    <row r="63" spans="1:31" x14ac:dyDescent="0.3">
      <c r="A63" s="891" t="s">
        <v>869</v>
      </c>
      <c r="B63" s="902" t="s">
        <v>122</v>
      </c>
      <c r="C63" s="902" t="s">
        <v>870</v>
      </c>
      <c r="D63" s="902" t="s">
        <v>404</v>
      </c>
      <c r="E63" s="902" t="s">
        <v>518</v>
      </c>
      <c r="F63" s="903" t="s">
        <v>38</v>
      </c>
      <c r="G63" s="902">
        <v>1</v>
      </c>
      <c r="H63" s="902" t="s">
        <v>22</v>
      </c>
      <c r="I63" s="13"/>
      <c r="J63" s="907"/>
      <c r="K63" s="905">
        <v>1</v>
      </c>
      <c r="L63" s="11"/>
      <c r="M63" s="896">
        <v>1</v>
      </c>
      <c r="N63" s="909">
        <v>172800</v>
      </c>
      <c r="O63" s="910">
        <v>0.45</v>
      </c>
      <c r="P63" s="909">
        <f t="shared" ref="P63:P66" si="11">N63*(1-O63)</f>
        <v>95040.000000000015</v>
      </c>
      <c r="Q63" s="897">
        <f t="shared" si="8"/>
        <v>95040.000000000015</v>
      </c>
      <c r="R63" s="899">
        <f>Q63/Q71</f>
        <v>0.25380012545801661</v>
      </c>
      <c r="S63" s="900">
        <f t="shared" si="9"/>
        <v>95040.000000000015</v>
      </c>
      <c r="T63" s="901">
        <f>S63</f>
        <v>95040.000000000015</v>
      </c>
      <c r="U63" s="7"/>
      <c r="V63" s="7"/>
      <c r="W63" s="7"/>
      <c r="X63" s="890"/>
      <c r="Y63" s="150"/>
      <c r="Z63" s="890">
        <f>S63</f>
        <v>95040.000000000015</v>
      </c>
      <c r="AA63" s="150"/>
      <c r="AB63" s="7"/>
      <c r="AC63" s="7"/>
      <c r="AD63" s="7">
        <f>S63</f>
        <v>95040.000000000015</v>
      </c>
      <c r="AE63" s="890"/>
    </row>
    <row r="64" spans="1:31" x14ac:dyDescent="0.3">
      <c r="A64" s="891" t="s">
        <v>869</v>
      </c>
      <c r="B64" s="902" t="s">
        <v>401</v>
      </c>
      <c r="C64" s="902" t="s">
        <v>873</v>
      </c>
      <c r="D64" s="902" t="s">
        <v>161</v>
      </c>
      <c r="E64" s="902" t="s">
        <v>697</v>
      </c>
      <c r="F64" s="903" t="s">
        <v>874</v>
      </c>
      <c r="G64" s="902">
        <v>10</v>
      </c>
      <c r="H64" s="902" t="s">
        <v>24</v>
      </c>
      <c r="I64" s="908">
        <v>10</v>
      </c>
      <c r="J64" s="895"/>
      <c r="K64" s="895"/>
      <c r="L64" s="2480"/>
      <c r="M64" s="896">
        <v>1</v>
      </c>
      <c r="N64" s="909">
        <v>6000</v>
      </c>
      <c r="O64" s="910">
        <v>0.43</v>
      </c>
      <c r="P64" s="909">
        <f t="shared" si="11"/>
        <v>3420.0000000000005</v>
      </c>
      <c r="Q64" s="909">
        <f t="shared" si="8"/>
        <v>34200.000000000007</v>
      </c>
      <c r="R64" s="911">
        <f>Q64/Q71</f>
        <v>9.1329590600422658E-2</v>
      </c>
      <c r="S64" s="900">
        <f t="shared" si="9"/>
        <v>34200.000000000007</v>
      </c>
      <c r="T64" s="901"/>
      <c r="U64" s="7">
        <f>S64</f>
        <v>34200.000000000007</v>
      </c>
      <c r="V64" s="7"/>
      <c r="W64" s="7"/>
      <c r="X64" s="890"/>
      <c r="Y64" s="150">
        <f>S64</f>
        <v>34200.000000000007</v>
      </c>
      <c r="Z64" s="890"/>
      <c r="AA64" s="150"/>
      <c r="AB64" s="7"/>
      <c r="AC64" s="7">
        <f>S64</f>
        <v>34200.000000000007</v>
      </c>
      <c r="AD64" s="7"/>
      <c r="AE64" s="890"/>
    </row>
    <row r="65" spans="1:31" x14ac:dyDescent="0.3">
      <c r="A65" s="891" t="s">
        <v>869</v>
      </c>
      <c r="B65" s="902" t="s">
        <v>401</v>
      </c>
      <c r="C65" s="902" t="s">
        <v>870</v>
      </c>
      <c r="D65" s="902" t="s">
        <v>26</v>
      </c>
      <c r="E65" s="902" t="s">
        <v>697</v>
      </c>
      <c r="F65" s="903" t="s">
        <v>654</v>
      </c>
      <c r="G65" s="902">
        <v>3</v>
      </c>
      <c r="H65" s="902" t="s">
        <v>24</v>
      </c>
      <c r="I65" s="908">
        <v>3</v>
      </c>
      <c r="J65" s="895"/>
      <c r="K65" s="895"/>
      <c r="L65" s="2480"/>
      <c r="M65" s="896">
        <v>1</v>
      </c>
      <c r="N65" s="909">
        <v>15500</v>
      </c>
      <c r="O65" s="910">
        <v>0.7</v>
      </c>
      <c r="P65" s="909">
        <f t="shared" si="11"/>
        <v>4650.0000000000009</v>
      </c>
      <c r="Q65" s="909">
        <f t="shared" si="8"/>
        <v>13950.000000000004</v>
      </c>
      <c r="R65" s="913">
        <f>Q65/Q71</f>
        <v>3.7252859323856607E-2</v>
      </c>
      <c r="S65" s="900">
        <f t="shared" si="9"/>
        <v>13950.000000000004</v>
      </c>
      <c r="T65" s="901">
        <f>S65</f>
        <v>13950.000000000004</v>
      </c>
      <c r="U65" s="7"/>
      <c r="V65" s="7"/>
      <c r="W65" s="7"/>
      <c r="X65" s="890"/>
      <c r="Y65" s="150"/>
      <c r="Z65" s="890">
        <f>S65</f>
        <v>13950.000000000004</v>
      </c>
      <c r="AA65" s="150"/>
      <c r="AB65" s="7"/>
      <c r="AC65" s="7"/>
      <c r="AD65" s="7"/>
      <c r="AE65" s="890"/>
    </row>
    <row r="66" spans="1:31" x14ac:dyDescent="0.3">
      <c r="A66" s="891" t="s">
        <v>869</v>
      </c>
      <c r="B66" s="902" t="s">
        <v>157</v>
      </c>
      <c r="C66" s="902" t="s">
        <v>873</v>
      </c>
      <c r="D66" s="902" t="s">
        <v>161</v>
      </c>
      <c r="E66" s="902" t="s">
        <v>520</v>
      </c>
      <c r="F66" s="903" t="s">
        <v>874</v>
      </c>
      <c r="G66" s="902">
        <v>15</v>
      </c>
      <c r="H66" s="902" t="s">
        <v>22</v>
      </c>
      <c r="I66" s="13"/>
      <c r="J66" s="905">
        <v>15</v>
      </c>
      <c r="K66" s="895">
        <v>15</v>
      </c>
      <c r="L66" s="11"/>
      <c r="M66" s="896">
        <v>2</v>
      </c>
      <c r="N66" s="909">
        <v>1960</v>
      </c>
      <c r="O66" s="910">
        <v>0.68</v>
      </c>
      <c r="P66" s="909">
        <f t="shared" si="11"/>
        <v>627.19999999999993</v>
      </c>
      <c r="Q66" s="909">
        <f t="shared" si="8"/>
        <v>18815.999999999996</v>
      </c>
      <c r="R66" s="913">
        <f>Q66/Q71</f>
        <v>5.0247297565425494E-2</v>
      </c>
      <c r="S66" s="900">
        <f t="shared" si="9"/>
        <v>18815.999999999996</v>
      </c>
      <c r="T66" s="901"/>
      <c r="U66" s="7">
        <f>S66</f>
        <v>18815.999999999996</v>
      </c>
      <c r="V66" s="7"/>
      <c r="W66" s="7"/>
      <c r="X66" s="890"/>
      <c r="Y66" s="150"/>
      <c r="Z66" s="890">
        <f>S66</f>
        <v>18815.999999999996</v>
      </c>
      <c r="AA66" s="150"/>
      <c r="AB66" s="7"/>
      <c r="AC66" s="7"/>
      <c r="AD66" s="7"/>
      <c r="AE66" s="890">
        <f>S66</f>
        <v>18815.999999999996</v>
      </c>
    </row>
    <row r="67" spans="1:31" x14ac:dyDescent="0.3">
      <c r="A67" s="891"/>
      <c r="B67" s="902"/>
      <c r="C67" s="902"/>
      <c r="D67" s="902"/>
      <c r="E67" s="902"/>
      <c r="F67" s="903"/>
      <c r="G67" s="902"/>
      <c r="H67" s="902"/>
      <c r="I67" s="914"/>
      <c r="J67" s="914"/>
      <c r="K67" s="912"/>
      <c r="L67" s="912"/>
      <c r="M67" s="896"/>
      <c r="N67" s="909"/>
      <c r="O67" s="910"/>
      <c r="P67" s="909"/>
      <c r="Q67" s="909"/>
      <c r="R67" s="913"/>
      <c r="S67" s="900"/>
      <c r="T67" s="901"/>
      <c r="U67" s="7"/>
      <c r="V67" s="7"/>
      <c r="W67" s="7"/>
      <c r="X67" s="890"/>
      <c r="Y67" s="150"/>
      <c r="Z67" s="890"/>
      <c r="AA67" s="150"/>
      <c r="AB67" s="7"/>
      <c r="AC67" s="7"/>
      <c r="AD67" s="7"/>
      <c r="AE67" s="890"/>
    </row>
    <row r="68" spans="1:31" x14ac:dyDescent="0.3">
      <c r="A68" s="915" t="s">
        <v>869</v>
      </c>
      <c r="B68" s="916" t="s">
        <v>528</v>
      </c>
      <c r="C68" s="916"/>
      <c r="D68" s="916"/>
      <c r="E68" s="916"/>
      <c r="F68" s="917"/>
      <c r="G68" s="916"/>
      <c r="H68" s="916"/>
      <c r="I68" s="918"/>
      <c r="J68" s="918"/>
      <c r="K68" s="919"/>
      <c r="L68" s="919"/>
      <c r="M68" s="920"/>
      <c r="N68" s="921"/>
      <c r="O68" s="922"/>
      <c r="P68" s="921"/>
      <c r="Q68" s="921">
        <v>21000</v>
      </c>
      <c r="R68" s="923">
        <f>Q68/Q71</f>
        <v>5.6079573175698109E-2</v>
      </c>
      <c r="S68" s="900">
        <f>Q68</f>
        <v>21000</v>
      </c>
      <c r="T68" s="901"/>
      <c r="U68" s="7"/>
      <c r="V68" s="7"/>
      <c r="W68" s="7">
        <f>S68</f>
        <v>21000</v>
      </c>
      <c r="X68" s="890"/>
      <c r="Y68" s="150"/>
      <c r="Z68" s="890"/>
      <c r="AA68" s="150"/>
      <c r="AB68" s="7"/>
      <c r="AC68" s="7"/>
      <c r="AD68" s="7"/>
      <c r="AE68" s="890"/>
    </row>
    <row r="69" spans="1:31" x14ac:dyDescent="0.3">
      <c r="A69" s="915" t="s">
        <v>869</v>
      </c>
      <c r="B69" s="916" t="s">
        <v>529</v>
      </c>
      <c r="C69" s="916"/>
      <c r="D69" s="916"/>
      <c r="E69" s="916"/>
      <c r="F69" s="917"/>
      <c r="G69" s="916"/>
      <c r="H69" s="916"/>
      <c r="I69" s="924"/>
      <c r="J69" s="924"/>
      <c r="K69" s="924"/>
      <c r="L69" s="924"/>
      <c r="M69" s="916"/>
      <c r="N69" s="925"/>
      <c r="O69" s="916"/>
      <c r="P69" s="925"/>
      <c r="Q69" s="926">
        <v>20000</v>
      </c>
      <c r="R69" s="927">
        <f>Q69/Q71</f>
        <v>5.3409117310188672E-2</v>
      </c>
      <c r="S69" s="900">
        <f>Q69</f>
        <v>20000</v>
      </c>
      <c r="T69" s="928"/>
      <c r="U69" s="7"/>
      <c r="V69" s="7"/>
      <c r="W69" s="7"/>
      <c r="X69" s="890">
        <f>S69</f>
        <v>20000</v>
      </c>
      <c r="Y69" s="150"/>
      <c r="Z69" s="890"/>
      <c r="AA69" s="150"/>
      <c r="AB69" s="7"/>
      <c r="AC69" s="7"/>
      <c r="AD69" s="7"/>
      <c r="AE69" s="890"/>
    </row>
    <row r="70" spans="1:31" x14ac:dyDescent="0.3">
      <c r="A70" s="929"/>
      <c r="B70" s="10"/>
      <c r="C70" s="10"/>
      <c r="D70" s="10"/>
      <c r="E70" s="10"/>
      <c r="F70" s="930"/>
      <c r="G70" s="10"/>
      <c r="H70" s="10"/>
      <c r="I70" s="1684">
        <f>I71/$M$71</f>
        <v>0.36274509803921567</v>
      </c>
      <c r="J70" s="1684">
        <f t="shared" ref="J70:L70" si="12">J71/$M$71</f>
        <v>0.27450980392156865</v>
      </c>
      <c r="K70" s="1684">
        <f t="shared" si="12"/>
        <v>0.26470588235294118</v>
      </c>
      <c r="L70" s="1684">
        <f t="shared" si="12"/>
        <v>9.8039215686274508E-2</v>
      </c>
      <c r="M70" s="10"/>
      <c r="N70" s="931"/>
      <c r="O70" s="10"/>
      <c r="P70" s="931"/>
      <c r="Q70" s="932"/>
      <c r="R70" s="933"/>
      <c r="S70" s="934"/>
      <c r="T70" s="935"/>
      <c r="U70" s="650"/>
      <c r="V70" s="650"/>
      <c r="W70" s="650"/>
      <c r="X70" s="937"/>
      <c r="Y70" s="578"/>
      <c r="Z70" s="937"/>
      <c r="AA70" s="578"/>
      <c r="AB70" s="650"/>
      <c r="AC70" s="650"/>
      <c r="AD70" s="650"/>
      <c r="AE70" s="937"/>
    </row>
    <row r="71" spans="1:31" x14ac:dyDescent="0.3">
      <c r="A71" s="938" t="s">
        <v>531</v>
      </c>
      <c r="B71" s="939"/>
      <c r="C71" s="939"/>
      <c r="D71" s="939"/>
      <c r="E71" s="939"/>
      <c r="F71" s="940"/>
      <c r="G71" s="939"/>
      <c r="H71" s="939"/>
      <c r="I71" s="941">
        <f>I65+I64+I61+I59+I58</f>
        <v>37</v>
      </c>
      <c r="J71" s="942">
        <f>J66+J59</f>
        <v>28</v>
      </c>
      <c r="K71" s="941">
        <f>K66+K63+K62+K60</f>
        <v>27</v>
      </c>
      <c r="L71" s="941">
        <f>L62</f>
        <v>10</v>
      </c>
      <c r="M71" s="941">
        <f>SUM(I71:L71)</f>
        <v>102</v>
      </c>
      <c r="N71" s="943"/>
      <c r="O71" s="939"/>
      <c r="P71" s="943"/>
      <c r="Q71" s="944">
        <f>SUM(Q57:Q70)</f>
        <v>374467.89999999997</v>
      </c>
      <c r="R71" s="968">
        <f>SUM(R57:R70)</f>
        <v>1</v>
      </c>
      <c r="S71" s="946">
        <f>SUM(S57:S69)</f>
        <v>374467.89999999997</v>
      </c>
      <c r="T71" s="947">
        <f t="shared" ref="T71:AD71" si="13">SUM(T58:T70)</f>
        <v>166137.70000000001</v>
      </c>
      <c r="U71" s="221">
        <f t="shared" si="13"/>
        <v>167330.19999999998</v>
      </c>
      <c r="V71" s="221">
        <f t="shared" si="13"/>
        <v>0</v>
      </c>
      <c r="W71" s="221">
        <f t="shared" si="13"/>
        <v>21000</v>
      </c>
      <c r="X71" s="223">
        <f t="shared" si="13"/>
        <v>20000</v>
      </c>
      <c r="Y71" s="222">
        <f t="shared" si="13"/>
        <v>102200</v>
      </c>
      <c r="Z71" s="223">
        <f t="shared" si="13"/>
        <v>231267.90000000002</v>
      </c>
      <c r="AA71" s="220">
        <f t="shared" si="13"/>
        <v>63561.899999999994</v>
      </c>
      <c r="AB71" s="221">
        <f t="shared" si="13"/>
        <v>39900</v>
      </c>
      <c r="AC71" s="221">
        <f t="shared" si="13"/>
        <v>102200</v>
      </c>
      <c r="AD71" s="221">
        <f t="shared" si="13"/>
        <v>95040.000000000015</v>
      </c>
      <c r="AE71" s="223">
        <f>SUM(AE57:AE70)</f>
        <v>18815.999999999996</v>
      </c>
    </row>
    <row r="72" spans="1:31" x14ac:dyDescent="0.3">
      <c r="A72" s="948" t="s">
        <v>532</v>
      </c>
      <c r="B72" s="949"/>
      <c r="C72" s="949"/>
      <c r="D72" s="949"/>
      <c r="E72" s="949"/>
      <c r="F72" s="950"/>
      <c r="G72" s="949"/>
      <c r="H72" s="949"/>
      <c r="I72" s="951">
        <f>I65+I64+I61+I59+I58</f>
        <v>37</v>
      </c>
      <c r="J72" s="951">
        <f>J66+I65+I64+J59</f>
        <v>41</v>
      </c>
      <c r="K72" s="951">
        <f>K66+I65+I64+K63+K62+K60</f>
        <v>40</v>
      </c>
      <c r="L72" s="951">
        <f>I65+I64+L62</f>
        <v>23</v>
      </c>
      <c r="M72" s="952">
        <f>I72+J72+K72+L76+L72</f>
        <v>141</v>
      </c>
      <c r="N72" s="953"/>
      <c r="O72" s="949"/>
      <c r="P72" s="953"/>
      <c r="Q72" s="954"/>
      <c r="R72" s="969"/>
      <c r="S72" s="956"/>
      <c r="T72" s="957"/>
      <c r="U72" s="958"/>
      <c r="V72" s="958"/>
      <c r="W72" s="958"/>
      <c r="X72" s="959"/>
      <c r="Y72" s="298">
        <f>Y71/S71</f>
        <v>0.27292058945506414</v>
      </c>
      <c r="Z72" s="297">
        <f>Z71/S71</f>
        <v>0.61759072005904925</v>
      </c>
      <c r="AA72" s="970"/>
      <c r="AB72" s="958"/>
      <c r="AC72" s="958"/>
      <c r="AD72" s="958"/>
      <c r="AE72" s="959"/>
    </row>
    <row r="73" spans="1:31" x14ac:dyDescent="0.3">
      <c r="A73" s="251" t="s">
        <v>533</v>
      </c>
      <c r="B73" s="252"/>
      <c r="C73" s="252"/>
      <c r="D73" s="252"/>
      <c r="E73" s="252"/>
      <c r="F73" s="253"/>
      <c r="G73" s="252"/>
      <c r="H73" s="252"/>
      <c r="I73" s="2188">
        <f>I72/$M$72</f>
        <v>0.26241134751773049</v>
      </c>
      <c r="J73" s="2188">
        <f t="shared" ref="J73:L73" si="14">J72/$M$72</f>
        <v>0.29078014184397161</v>
      </c>
      <c r="K73" s="2188">
        <f t="shared" si="14"/>
        <v>0.28368794326241137</v>
      </c>
      <c r="L73" s="2188">
        <f t="shared" si="14"/>
        <v>0.16312056737588654</v>
      </c>
      <c r="M73" s="252"/>
      <c r="N73" s="255"/>
      <c r="O73" s="255"/>
      <c r="P73" s="256"/>
      <c r="Q73" s="255"/>
      <c r="R73" s="257">
        <f>T71</f>
        <v>166137.70000000001</v>
      </c>
      <c r="Y73" s="971">
        <f>K62+L62+I64</f>
        <v>30</v>
      </c>
      <c r="Z73" s="972">
        <f>I58+I59+J59+K60+I61+K63+I65+J66+K66</f>
        <v>72</v>
      </c>
      <c r="AB73" s="962"/>
      <c r="AC73" s="7"/>
      <c r="AD73" s="7"/>
      <c r="AE73" s="7"/>
    </row>
    <row r="74" spans="1:31" x14ac:dyDescent="0.3">
      <c r="A74" s="251" t="s">
        <v>11</v>
      </c>
      <c r="B74" s="252"/>
      <c r="C74" s="252"/>
      <c r="D74" s="252"/>
      <c r="E74" s="252"/>
      <c r="F74" s="253"/>
      <c r="G74" s="252"/>
      <c r="H74" s="252"/>
      <c r="I74" s="254"/>
      <c r="J74" s="254"/>
      <c r="K74" s="254"/>
      <c r="L74" s="254"/>
      <c r="M74" s="252"/>
      <c r="N74" s="255"/>
      <c r="O74" s="255"/>
      <c r="P74" s="256"/>
      <c r="Q74" s="255"/>
      <c r="R74" s="257">
        <f>U71</f>
        <v>167330.19999999998</v>
      </c>
      <c r="S74" s="574">
        <f>Q71/M71</f>
        <v>3671.253921568627</v>
      </c>
      <c r="T74" s="963" t="s">
        <v>535</v>
      </c>
      <c r="Y74" s="964">
        <f>Y73/M71</f>
        <v>0.29411764705882354</v>
      </c>
      <c r="Z74" s="323">
        <f>Z73/M71</f>
        <v>0.70588235294117652</v>
      </c>
      <c r="AC74" s="7"/>
      <c r="AD74" s="7"/>
      <c r="AE74" s="7"/>
    </row>
    <row r="75" spans="1:31" x14ac:dyDescent="0.3">
      <c r="A75" s="251" t="s">
        <v>536</v>
      </c>
      <c r="B75" s="252"/>
      <c r="C75" s="252"/>
      <c r="D75" s="252"/>
      <c r="E75" s="252"/>
      <c r="F75" s="253"/>
      <c r="G75" s="252"/>
      <c r="H75" s="252"/>
      <c r="I75" s="254"/>
      <c r="J75" s="254"/>
      <c r="K75" s="254"/>
      <c r="L75" s="254"/>
      <c r="M75" s="252"/>
      <c r="N75" s="255"/>
      <c r="O75" s="255"/>
      <c r="P75" s="256"/>
      <c r="Q75" s="255"/>
      <c r="R75" s="257"/>
      <c r="Y75" s="2481" t="s">
        <v>537</v>
      </c>
      <c r="Z75" s="2482"/>
      <c r="AC75" s="7"/>
      <c r="AD75" s="7"/>
      <c r="AE75" s="7"/>
    </row>
    <row r="76" spans="1:31" x14ac:dyDescent="0.3">
      <c r="A76" s="251" t="s">
        <v>529</v>
      </c>
      <c r="B76" s="252"/>
      <c r="C76" s="252"/>
      <c r="D76" s="252"/>
      <c r="E76" s="252"/>
      <c r="F76" s="253"/>
      <c r="G76" s="252"/>
      <c r="H76" s="252"/>
      <c r="I76" s="254"/>
      <c r="J76" s="254"/>
      <c r="K76" s="254"/>
      <c r="L76" s="254"/>
      <c r="M76" s="252"/>
      <c r="N76" s="255"/>
      <c r="O76" s="255"/>
      <c r="P76" s="256"/>
      <c r="Q76" s="255"/>
      <c r="R76" s="257">
        <f>X71</f>
        <v>20000</v>
      </c>
      <c r="AC76" s="7"/>
      <c r="AD76" s="7"/>
      <c r="AE76" s="7"/>
    </row>
    <row r="77" spans="1:31" x14ac:dyDescent="0.3">
      <c r="A77" s="251" t="s">
        <v>528</v>
      </c>
      <c r="B77" s="252"/>
      <c r="C77" s="252"/>
      <c r="D77" s="252"/>
      <c r="E77" s="252"/>
      <c r="F77" s="253"/>
      <c r="G77" s="252"/>
      <c r="H77" s="252"/>
      <c r="I77" s="254"/>
      <c r="J77" s="254"/>
      <c r="K77" s="254"/>
      <c r="L77" s="254"/>
      <c r="M77" s="252"/>
      <c r="N77" s="255"/>
      <c r="O77" s="255"/>
      <c r="P77" s="256"/>
      <c r="Q77" s="255"/>
      <c r="R77" s="257">
        <f>W71</f>
        <v>21000</v>
      </c>
      <c r="AC77" s="7"/>
      <c r="AD77" s="7"/>
      <c r="AE77" s="7"/>
    </row>
    <row r="78" spans="1:31" x14ac:dyDescent="0.3">
      <c r="A78" s="251"/>
      <c r="B78" s="252"/>
      <c r="C78" s="252"/>
      <c r="D78" s="252"/>
      <c r="E78" s="252"/>
      <c r="F78" s="253"/>
      <c r="G78" s="252"/>
      <c r="H78" s="252"/>
      <c r="I78" s="254"/>
      <c r="J78" s="254"/>
      <c r="K78" s="254"/>
      <c r="L78" s="254"/>
      <c r="M78" s="252"/>
      <c r="N78" s="255"/>
      <c r="O78" s="255"/>
      <c r="P78" s="256"/>
      <c r="Q78" s="255"/>
      <c r="R78" s="264">
        <f>SUM(R73:R77)</f>
        <v>374467.9</v>
      </c>
      <c r="AC78" s="7"/>
      <c r="AD78" s="7"/>
      <c r="AE78" s="7"/>
    </row>
    <row r="81" spans="1:31" x14ac:dyDescent="0.3">
      <c r="D81" s="554"/>
      <c r="E81" s="554"/>
      <c r="F81" s="973"/>
      <c r="G81" s="554"/>
      <c r="H81" s="554"/>
      <c r="I81" s="554"/>
      <c r="J81" s="554"/>
      <c r="K81" s="554"/>
    </row>
    <row r="82" spans="1:31" x14ac:dyDescent="0.3">
      <c r="D82" s="863" t="s">
        <v>545</v>
      </c>
      <c r="E82" s="862">
        <v>0.36</v>
      </c>
      <c r="F82" s="77"/>
      <c r="G82" s="863" t="s">
        <v>543</v>
      </c>
      <c r="H82" s="862"/>
      <c r="I82" s="863"/>
      <c r="J82" s="862">
        <v>0.26</v>
      </c>
      <c r="K82" s="862"/>
    </row>
    <row r="83" spans="1:31" x14ac:dyDescent="0.3">
      <c r="D83" s="863" t="s">
        <v>861</v>
      </c>
      <c r="E83" s="863">
        <v>16</v>
      </c>
      <c r="F83" s="77"/>
      <c r="G83" s="863" t="s">
        <v>861</v>
      </c>
      <c r="H83" s="863"/>
      <c r="I83" s="863"/>
      <c r="J83" s="863">
        <v>16</v>
      </c>
      <c r="K83" s="863"/>
    </row>
    <row r="84" spans="1:31" x14ac:dyDescent="0.3">
      <c r="D84" s="863" t="s">
        <v>475</v>
      </c>
      <c r="E84" s="974">
        <v>582</v>
      </c>
      <c r="F84" s="77"/>
      <c r="G84" s="863" t="s">
        <v>475</v>
      </c>
      <c r="H84" s="974"/>
      <c r="I84" s="863"/>
      <c r="J84" s="863">
        <v>442</v>
      </c>
      <c r="K84" s="863"/>
    </row>
    <row r="85" spans="1:31" x14ac:dyDescent="0.3">
      <c r="D85" s="863" t="s">
        <v>862</v>
      </c>
      <c r="E85" s="974">
        <v>16412715</v>
      </c>
      <c r="F85" s="77"/>
      <c r="G85" s="863" t="s">
        <v>862</v>
      </c>
      <c r="H85" s="974"/>
      <c r="I85" s="863"/>
      <c r="J85" s="974">
        <v>12459307</v>
      </c>
      <c r="K85" s="974"/>
    </row>
    <row r="86" spans="1:31" ht="18" x14ac:dyDescent="0.35">
      <c r="A86" s="118" t="s">
        <v>549</v>
      </c>
      <c r="B86" s="1"/>
      <c r="C86" s="1"/>
      <c r="D86" s="1"/>
      <c r="E86" s="1"/>
      <c r="F86" s="2"/>
      <c r="G86" s="1"/>
      <c r="H86" s="1"/>
      <c r="M86" s="1"/>
      <c r="O86" s="3"/>
      <c r="R86" s="3"/>
    </row>
    <row r="87" spans="1:31" x14ac:dyDescent="0.3">
      <c r="B87" s="1"/>
      <c r="C87" s="1"/>
      <c r="D87" s="1"/>
      <c r="E87" s="1"/>
      <c r="F87" s="2"/>
      <c r="G87" s="1"/>
      <c r="H87" s="1"/>
      <c r="M87" s="1"/>
      <c r="O87" s="3"/>
      <c r="R87" s="3"/>
    </row>
    <row r="88" spans="1:31" x14ac:dyDescent="0.3">
      <c r="A88" s="2335" t="s">
        <v>480</v>
      </c>
      <c r="B88" s="2336"/>
      <c r="C88" s="2336"/>
      <c r="D88" s="2336"/>
      <c r="E88" s="2336"/>
      <c r="F88" s="2336"/>
      <c r="G88" s="2336"/>
      <c r="H88" s="2336"/>
      <c r="I88" s="2336"/>
      <c r="J88" s="2336"/>
      <c r="K88" s="2336"/>
      <c r="L88" s="2336"/>
      <c r="M88" s="2336"/>
      <c r="N88" s="2336"/>
      <c r="O88" s="2336"/>
      <c r="P88" s="2336"/>
      <c r="Q88" s="2336"/>
      <c r="R88" s="2337"/>
      <c r="S88" s="2498" t="s">
        <v>584</v>
      </c>
      <c r="T88" s="2499"/>
      <c r="U88" s="2499"/>
      <c r="V88" s="2499"/>
      <c r="W88" s="2499"/>
      <c r="X88" s="2499"/>
      <c r="Y88" s="2499"/>
      <c r="Z88" s="2499"/>
      <c r="AA88" s="2499"/>
      <c r="AB88" s="2499"/>
      <c r="AC88" s="2499"/>
      <c r="AD88" s="2499"/>
      <c r="AE88" s="2500"/>
    </row>
    <row r="89" spans="1:31" ht="69" x14ac:dyDescent="0.35">
      <c r="A89" s="2520" t="s">
        <v>482</v>
      </c>
      <c r="B89" s="975" t="s">
        <v>483</v>
      </c>
      <c r="C89" s="975" t="s">
        <v>484</v>
      </c>
      <c r="D89" s="975" t="s">
        <v>485</v>
      </c>
      <c r="E89" s="975" t="s">
        <v>486</v>
      </c>
      <c r="F89" s="2511" t="s">
        <v>487</v>
      </c>
      <c r="G89" s="2505" t="s">
        <v>488</v>
      </c>
      <c r="H89" s="2513" t="s">
        <v>489</v>
      </c>
      <c r="I89" s="2515" t="s">
        <v>490</v>
      </c>
      <c r="J89" s="2516"/>
      <c r="K89" s="2516"/>
      <c r="L89" s="2517"/>
      <c r="M89" s="2518" t="s">
        <v>863</v>
      </c>
      <c r="N89" s="2507" t="s">
        <v>864</v>
      </c>
      <c r="O89" s="2505" t="s">
        <v>865</v>
      </c>
      <c r="P89" s="2507" t="s">
        <v>866</v>
      </c>
      <c r="Q89" s="2507" t="s">
        <v>867</v>
      </c>
      <c r="R89" s="2509" t="s">
        <v>495</v>
      </c>
      <c r="S89" s="976" t="s">
        <v>496</v>
      </c>
      <c r="T89" s="2410" t="s">
        <v>497</v>
      </c>
      <c r="U89" s="2410"/>
      <c r="V89" s="2410"/>
      <c r="W89" s="2410"/>
      <c r="X89" s="2410"/>
      <c r="Y89" s="2409" t="s">
        <v>498</v>
      </c>
      <c r="Z89" s="2411"/>
      <c r="AA89" s="2409" t="s">
        <v>499</v>
      </c>
      <c r="AB89" s="2410"/>
      <c r="AC89" s="2410"/>
      <c r="AD89" s="2410"/>
      <c r="AE89" s="2411"/>
    </row>
    <row r="90" spans="1:31" ht="18" x14ac:dyDescent="0.35">
      <c r="A90" s="2521"/>
      <c r="B90" s="977"/>
      <c r="C90" s="977"/>
      <c r="D90" s="977"/>
      <c r="E90" s="977"/>
      <c r="F90" s="2512"/>
      <c r="G90" s="2506"/>
      <c r="H90" s="2514"/>
      <c r="I90" s="978" t="s">
        <v>500</v>
      </c>
      <c r="J90" s="978" t="s">
        <v>501</v>
      </c>
      <c r="K90" s="979" t="s">
        <v>502</v>
      </c>
      <c r="L90" s="979" t="s">
        <v>503</v>
      </c>
      <c r="M90" s="2519"/>
      <c r="N90" s="2508"/>
      <c r="O90" s="2506"/>
      <c r="P90" s="2508"/>
      <c r="Q90" s="2508"/>
      <c r="R90" s="2510"/>
      <c r="S90" s="980" t="s">
        <v>508</v>
      </c>
      <c r="T90" s="2413"/>
      <c r="U90" s="2413"/>
      <c r="V90" s="2413"/>
      <c r="W90" s="2413"/>
      <c r="X90" s="2413"/>
      <c r="Y90" s="2412"/>
      <c r="Z90" s="2414"/>
      <c r="AA90" s="2412"/>
      <c r="AB90" s="2413"/>
      <c r="AC90" s="2413"/>
      <c r="AD90" s="2413"/>
      <c r="AE90" s="2414"/>
    </row>
    <row r="91" spans="1:31" ht="15.6" x14ac:dyDescent="0.3">
      <c r="A91" s="2478" t="s">
        <v>550</v>
      </c>
      <c r="B91" s="2479"/>
      <c r="C91" s="2479"/>
      <c r="D91" s="2479"/>
      <c r="E91" s="2479"/>
      <c r="F91" s="2479"/>
      <c r="G91" s="2479"/>
      <c r="H91" s="2479"/>
      <c r="I91" s="2479"/>
      <c r="J91" s="2479"/>
      <c r="K91" s="2479"/>
      <c r="L91" s="2479"/>
      <c r="M91" s="2479"/>
      <c r="N91" s="2479"/>
      <c r="O91" s="2479"/>
      <c r="P91" s="2479"/>
      <c r="Q91" s="2479"/>
      <c r="R91" s="2479"/>
      <c r="S91" s="870"/>
      <c r="T91" s="716" t="s">
        <v>510</v>
      </c>
      <c r="U91" s="871" t="s">
        <v>11</v>
      </c>
      <c r="V91" s="871" t="s">
        <v>511</v>
      </c>
      <c r="W91" s="871" t="s">
        <v>512</v>
      </c>
      <c r="X91" s="873" t="s">
        <v>513</v>
      </c>
      <c r="Y91" s="872" t="s">
        <v>514</v>
      </c>
      <c r="Z91" s="873" t="s">
        <v>515</v>
      </c>
      <c r="AA91" s="716" t="s">
        <v>868</v>
      </c>
      <c r="AB91" s="871" t="s">
        <v>159</v>
      </c>
      <c r="AC91" s="871" t="s">
        <v>160</v>
      </c>
      <c r="AD91" s="871" t="s">
        <v>3</v>
      </c>
      <c r="AE91" s="873" t="s">
        <v>0</v>
      </c>
    </row>
    <row r="92" spans="1:31" ht="15.6" x14ac:dyDescent="0.3">
      <c r="A92" s="874"/>
      <c r="B92" s="875"/>
      <c r="C92" s="875"/>
      <c r="D92" s="876"/>
      <c r="E92" s="876"/>
      <c r="F92" s="877"/>
      <c r="G92" s="876"/>
      <c r="H92" s="876"/>
      <c r="I92" s="878"/>
      <c r="J92" s="878"/>
      <c r="K92" s="879"/>
      <c r="L92" s="880"/>
      <c r="M92" s="881"/>
      <c r="N92" s="882"/>
      <c r="O92" s="881"/>
      <c r="P92" s="883"/>
      <c r="Q92" s="884"/>
      <c r="R92" s="885"/>
      <c r="S92" s="886"/>
      <c r="T92" s="887"/>
      <c r="U92" s="7"/>
      <c r="V92" s="7"/>
      <c r="W92" s="7"/>
      <c r="X92" s="890"/>
      <c r="Y92" s="150"/>
      <c r="Z92" s="890"/>
      <c r="AA92" s="981"/>
      <c r="AB92" s="982"/>
      <c r="AC92" s="982"/>
      <c r="AD92" s="982"/>
      <c r="AE92" s="890"/>
    </row>
    <row r="93" spans="1:31" x14ac:dyDescent="0.3">
      <c r="A93" s="891" t="s">
        <v>869</v>
      </c>
      <c r="B93" s="902" t="s">
        <v>23</v>
      </c>
      <c r="C93" s="902" t="s">
        <v>870</v>
      </c>
      <c r="D93" s="902" t="s">
        <v>402</v>
      </c>
      <c r="E93" s="902" t="s">
        <v>518</v>
      </c>
      <c r="F93" s="903" t="s">
        <v>43</v>
      </c>
      <c r="G93" s="902">
        <v>2</v>
      </c>
      <c r="H93" s="902" t="s">
        <v>22</v>
      </c>
      <c r="I93" s="906">
        <v>2</v>
      </c>
      <c r="J93" s="11"/>
      <c r="K93" s="11"/>
      <c r="L93" s="11"/>
      <c r="M93" s="896">
        <v>1</v>
      </c>
      <c r="N93" s="897">
        <v>35211</v>
      </c>
      <c r="O93" s="898">
        <v>0.3</v>
      </c>
      <c r="P93" s="897">
        <f t="shared" ref="P93:P95" si="15">N93*(1-O93)</f>
        <v>24647.699999999997</v>
      </c>
      <c r="Q93" s="897">
        <f t="shared" ref="Q93:Q98" si="16">P93*G93*M93</f>
        <v>49295.399999999994</v>
      </c>
      <c r="R93" s="899">
        <f>Q93/Q104</f>
        <v>0.21089265973721946</v>
      </c>
      <c r="S93" s="900">
        <f>Q93*4</f>
        <v>197181.59999999998</v>
      </c>
      <c r="T93" s="901">
        <f>S93</f>
        <v>197181.59999999998</v>
      </c>
      <c r="U93" s="7"/>
      <c r="V93" s="7"/>
      <c r="W93" s="7"/>
      <c r="X93" s="890"/>
      <c r="Y93" s="150"/>
      <c r="Z93" s="890">
        <f>S93</f>
        <v>197181.59999999998</v>
      </c>
      <c r="AA93" s="889">
        <f>S93</f>
        <v>197181.59999999998</v>
      </c>
      <c r="AB93" s="503"/>
      <c r="AC93" s="503"/>
      <c r="AD93" s="503"/>
      <c r="AE93" s="890"/>
    </row>
    <row r="94" spans="1:31" x14ac:dyDescent="0.3">
      <c r="A94" s="891" t="s">
        <v>869</v>
      </c>
      <c r="B94" s="902" t="s">
        <v>23</v>
      </c>
      <c r="C94" s="902" t="s">
        <v>871</v>
      </c>
      <c r="D94" s="902" t="s">
        <v>398</v>
      </c>
      <c r="E94" s="902" t="s">
        <v>518</v>
      </c>
      <c r="F94" s="903" t="s">
        <v>698</v>
      </c>
      <c r="G94" s="902">
        <v>15</v>
      </c>
      <c r="H94" s="902" t="s">
        <v>22</v>
      </c>
      <c r="I94" s="904">
        <v>15</v>
      </c>
      <c r="J94" s="904">
        <v>15</v>
      </c>
      <c r="K94" s="11"/>
      <c r="L94" s="11"/>
      <c r="M94" s="896">
        <v>2</v>
      </c>
      <c r="N94" s="897">
        <v>3326</v>
      </c>
      <c r="O94" s="898">
        <v>0.55000000000000004</v>
      </c>
      <c r="P94" s="897">
        <f t="shared" si="15"/>
        <v>1496.6999999999998</v>
      </c>
      <c r="Q94" s="897">
        <f t="shared" si="16"/>
        <v>44900.999999999993</v>
      </c>
      <c r="R94" s="899">
        <f>Q94/Q104</f>
        <v>0.19209279800672863</v>
      </c>
      <c r="S94" s="900">
        <f t="shared" ref="S94:S98" si="17">Q94*4</f>
        <v>179603.99999999997</v>
      </c>
      <c r="T94" s="901"/>
      <c r="U94" s="7">
        <f>S94</f>
        <v>179603.99999999997</v>
      </c>
      <c r="V94" s="7"/>
      <c r="W94" s="7"/>
      <c r="X94" s="890"/>
      <c r="Y94" s="150"/>
      <c r="Z94" s="890">
        <f t="shared" ref="Z94:Z96" si="18">S94</f>
        <v>179603.99999999997</v>
      </c>
      <c r="AA94" s="889">
        <f>S94</f>
        <v>179603.99999999997</v>
      </c>
      <c r="AB94" s="503"/>
      <c r="AC94" s="503"/>
      <c r="AD94" s="503"/>
      <c r="AE94" s="890"/>
    </row>
    <row r="95" spans="1:31" x14ac:dyDescent="0.3">
      <c r="A95" s="891" t="s">
        <v>869</v>
      </c>
      <c r="B95" s="902" t="s">
        <v>399</v>
      </c>
      <c r="C95" s="902" t="s">
        <v>870</v>
      </c>
      <c r="D95" s="902" t="s">
        <v>400</v>
      </c>
      <c r="E95" s="902" t="s">
        <v>518</v>
      </c>
      <c r="F95" s="903" t="s">
        <v>43</v>
      </c>
      <c r="G95" s="902">
        <v>1</v>
      </c>
      <c r="H95" s="902" t="s">
        <v>22</v>
      </c>
      <c r="I95" s="13"/>
      <c r="J95" s="13"/>
      <c r="K95" s="905">
        <v>1</v>
      </c>
      <c r="L95" s="11"/>
      <c r="M95" s="896">
        <v>1</v>
      </c>
      <c r="N95" s="897">
        <v>65000</v>
      </c>
      <c r="O95" s="898">
        <v>0.5</v>
      </c>
      <c r="P95" s="897">
        <f t="shared" si="15"/>
        <v>32500</v>
      </c>
      <c r="Q95" s="897">
        <f t="shared" si="16"/>
        <v>32500</v>
      </c>
      <c r="R95" s="899">
        <f>Q95/Q104</f>
        <v>0.13903957451323315</v>
      </c>
      <c r="S95" s="900">
        <f t="shared" si="17"/>
        <v>130000</v>
      </c>
      <c r="T95" s="901">
        <f>S95</f>
        <v>130000</v>
      </c>
      <c r="U95" s="7"/>
      <c r="V95" s="7"/>
      <c r="W95" s="7"/>
      <c r="X95" s="890"/>
      <c r="Y95" s="150"/>
      <c r="Z95" s="890">
        <f t="shared" si="18"/>
        <v>130000</v>
      </c>
      <c r="AA95" s="889"/>
      <c r="AB95" s="503">
        <f>S95</f>
        <v>130000</v>
      </c>
      <c r="AC95" s="503"/>
      <c r="AD95" s="503"/>
      <c r="AE95" s="890"/>
    </row>
    <row r="96" spans="1:31" x14ac:dyDescent="0.3">
      <c r="A96" s="891" t="s">
        <v>869</v>
      </c>
      <c r="B96" s="902" t="s">
        <v>399</v>
      </c>
      <c r="C96" s="902" t="s">
        <v>873</v>
      </c>
      <c r="D96" s="902" t="s">
        <v>161</v>
      </c>
      <c r="E96" s="902" t="s">
        <v>518</v>
      </c>
      <c r="F96" s="903" t="s">
        <v>876</v>
      </c>
      <c r="G96" s="902">
        <v>15</v>
      </c>
      <c r="H96" s="902" t="s">
        <v>22</v>
      </c>
      <c r="I96" s="908">
        <v>15</v>
      </c>
      <c r="J96" s="13"/>
      <c r="K96" s="907"/>
      <c r="L96" s="907"/>
      <c r="M96" s="896">
        <v>1</v>
      </c>
      <c r="N96" s="909">
        <v>1480</v>
      </c>
      <c r="O96" s="910">
        <v>0.5</v>
      </c>
      <c r="P96" s="909">
        <f>N96*(1-O96)</f>
        <v>740</v>
      </c>
      <c r="Q96" s="897">
        <f t="shared" si="16"/>
        <v>11100</v>
      </c>
      <c r="R96" s="899">
        <f>Q96/Q104</f>
        <v>4.748736237221194E-2</v>
      </c>
      <c r="S96" s="900">
        <f t="shared" si="17"/>
        <v>44400</v>
      </c>
      <c r="T96" s="901"/>
      <c r="U96" s="7">
        <f>S96</f>
        <v>44400</v>
      </c>
      <c r="V96" s="7"/>
      <c r="W96" s="7"/>
      <c r="X96" s="890"/>
      <c r="Y96" s="150"/>
      <c r="Z96" s="890">
        <f t="shared" si="18"/>
        <v>44400</v>
      </c>
      <c r="AA96" s="889"/>
      <c r="AB96" s="503">
        <f>S96</f>
        <v>44400</v>
      </c>
      <c r="AC96" s="503"/>
      <c r="AD96" s="503"/>
      <c r="AE96" s="890"/>
    </row>
    <row r="97" spans="1:31" x14ac:dyDescent="0.3">
      <c r="A97" s="891" t="s">
        <v>869</v>
      </c>
      <c r="B97" s="902" t="s">
        <v>401</v>
      </c>
      <c r="C97" s="902" t="s">
        <v>873</v>
      </c>
      <c r="D97" s="902" t="s">
        <v>161</v>
      </c>
      <c r="E97" s="902" t="s">
        <v>697</v>
      </c>
      <c r="F97" s="903" t="s">
        <v>876</v>
      </c>
      <c r="G97" s="902">
        <v>10</v>
      </c>
      <c r="H97" s="902" t="s">
        <v>24</v>
      </c>
      <c r="I97" s="908">
        <v>10</v>
      </c>
      <c r="J97" s="895"/>
      <c r="K97" s="895"/>
      <c r="L97" s="2480"/>
      <c r="M97" s="896">
        <v>1</v>
      </c>
      <c r="N97" s="909">
        <v>6000</v>
      </c>
      <c r="O97" s="910">
        <v>0.3</v>
      </c>
      <c r="P97" s="909">
        <f t="shared" ref="P97:P98" si="19">N97*(1-O97)</f>
        <v>4200</v>
      </c>
      <c r="Q97" s="909">
        <f t="shared" si="16"/>
        <v>42000</v>
      </c>
      <c r="R97" s="911">
        <f>Q97/Q104</f>
        <v>0.17968191167863976</v>
      </c>
      <c r="S97" s="900">
        <f t="shared" si="17"/>
        <v>168000</v>
      </c>
      <c r="T97" s="901"/>
      <c r="U97" s="7">
        <f>S97</f>
        <v>168000</v>
      </c>
      <c r="V97" s="7"/>
      <c r="W97" s="7"/>
      <c r="X97" s="890"/>
      <c r="Y97" s="150">
        <f>S97</f>
        <v>168000</v>
      </c>
      <c r="Z97" s="890"/>
      <c r="AA97" s="889"/>
      <c r="AB97" s="503"/>
      <c r="AC97" s="503">
        <f>S97</f>
        <v>168000</v>
      </c>
      <c r="AD97" s="503"/>
      <c r="AE97" s="890"/>
    </row>
    <row r="98" spans="1:31" x14ac:dyDescent="0.3">
      <c r="A98" s="891" t="s">
        <v>869</v>
      </c>
      <c r="B98" s="902" t="s">
        <v>401</v>
      </c>
      <c r="C98" s="902" t="s">
        <v>870</v>
      </c>
      <c r="D98" s="902" t="s">
        <v>26</v>
      </c>
      <c r="E98" s="902" t="s">
        <v>697</v>
      </c>
      <c r="F98" s="903" t="s">
        <v>523</v>
      </c>
      <c r="G98" s="902">
        <v>3</v>
      </c>
      <c r="H98" s="902" t="s">
        <v>24</v>
      </c>
      <c r="I98" s="908">
        <v>3</v>
      </c>
      <c r="J98" s="895"/>
      <c r="K98" s="895"/>
      <c r="L98" s="2480"/>
      <c r="M98" s="896">
        <v>1</v>
      </c>
      <c r="N98" s="909">
        <v>15500</v>
      </c>
      <c r="O98" s="910">
        <v>0.7</v>
      </c>
      <c r="P98" s="909">
        <f t="shared" si="19"/>
        <v>4650.0000000000009</v>
      </c>
      <c r="Q98" s="909">
        <f t="shared" si="16"/>
        <v>13950.000000000004</v>
      </c>
      <c r="R98" s="911">
        <f>Q98/Q104</f>
        <v>5.9680063521833936E-2</v>
      </c>
      <c r="S98" s="900">
        <f t="shared" si="17"/>
        <v>55800.000000000015</v>
      </c>
      <c r="T98" s="901">
        <f>S98</f>
        <v>55800.000000000015</v>
      </c>
      <c r="U98" s="7"/>
      <c r="V98" s="7"/>
      <c r="W98" s="7"/>
      <c r="X98" s="890"/>
      <c r="Y98" s="150">
        <f>S98</f>
        <v>55800.000000000015</v>
      </c>
      <c r="Z98" s="890"/>
      <c r="AA98" s="889"/>
      <c r="AB98" s="503"/>
      <c r="AC98" s="503">
        <f>S98</f>
        <v>55800.000000000015</v>
      </c>
      <c r="AD98" s="503"/>
      <c r="AE98" s="890"/>
    </row>
    <row r="99" spans="1:31" x14ac:dyDescent="0.3">
      <c r="A99" s="891"/>
      <c r="B99" s="902"/>
      <c r="C99" s="902"/>
      <c r="D99" s="902"/>
      <c r="E99" s="902"/>
      <c r="F99" s="903"/>
      <c r="G99" s="902"/>
      <c r="H99" s="902"/>
      <c r="I99" s="13"/>
      <c r="J99" s="912"/>
      <c r="K99" s="912"/>
      <c r="L99" s="11"/>
      <c r="M99" s="896"/>
      <c r="N99" s="909"/>
      <c r="O99" s="910"/>
      <c r="P99" s="909"/>
      <c r="Q99" s="909"/>
      <c r="R99" s="913"/>
      <c r="S99" s="900"/>
      <c r="T99" s="901"/>
      <c r="U99" s="7"/>
      <c r="V99" s="7"/>
      <c r="W99" s="7"/>
      <c r="X99" s="890"/>
      <c r="Y99" s="150"/>
      <c r="Z99" s="890"/>
      <c r="AA99" s="889"/>
      <c r="AB99" s="503"/>
      <c r="AC99" s="503"/>
      <c r="AD99" s="503"/>
      <c r="AE99" s="890"/>
    </row>
    <row r="100" spans="1:31" x14ac:dyDescent="0.3">
      <c r="A100" s="891"/>
      <c r="B100" s="902"/>
      <c r="C100" s="902"/>
      <c r="D100" s="902"/>
      <c r="E100" s="902"/>
      <c r="F100" s="903"/>
      <c r="G100" s="902"/>
      <c r="H100" s="902"/>
      <c r="I100" s="914"/>
      <c r="J100" s="914"/>
      <c r="K100" s="912"/>
      <c r="L100" s="912"/>
      <c r="M100" s="896"/>
      <c r="N100" s="909"/>
      <c r="O100" s="910"/>
      <c r="P100" s="909"/>
      <c r="Q100" s="909"/>
      <c r="R100" s="913"/>
      <c r="S100" s="900"/>
      <c r="T100" s="901"/>
      <c r="U100" s="7"/>
      <c r="V100" s="7"/>
      <c r="W100" s="7"/>
      <c r="X100" s="890"/>
      <c r="Y100" s="150"/>
      <c r="Z100" s="890"/>
      <c r="AA100" s="889"/>
      <c r="AB100" s="503"/>
      <c r="AC100" s="503"/>
      <c r="AD100" s="503"/>
      <c r="AE100" s="890"/>
    </row>
    <row r="101" spans="1:31" x14ac:dyDescent="0.3">
      <c r="A101" s="915" t="s">
        <v>869</v>
      </c>
      <c r="B101" s="916" t="s">
        <v>528</v>
      </c>
      <c r="C101" s="916"/>
      <c r="D101" s="916"/>
      <c r="E101" s="916"/>
      <c r="F101" s="917"/>
      <c r="G101" s="916"/>
      <c r="H101" s="916"/>
      <c r="I101" s="918"/>
      <c r="J101" s="918"/>
      <c r="K101" s="919"/>
      <c r="L101" s="919"/>
      <c r="M101" s="920"/>
      <c r="N101" s="921"/>
      <c r="O101" s="922"/>
      <c r="P101" s="921"/>
      <c r="Q101" s="921">
        <v>25000</v>
      </c>
      <c r="R101" s="923">
        <f>Q101/Q104</f>
        <v>0.1069535188563332</v>
      </c>
      <c r="S101" s="900">
        <f>Q101*4</f>
        <v>100000</v>
      </c>
      <c r="T101" s="901"/>
      <c r="U101" s="7"/>
      <c r="V101" s="7"/>
      <c r="W101" s="7">
        <f>S101</f>
        <v>100000</v>
      </c>
      <c r="X101" s="890"/>
      <c r="Y101" s="150"/>
      <c r="Z101" s="890"/>
      <c r="AA101" s="889"/>
      <c r="AB101" s="503"/>
      <c r="AC101" s="503"/>
      <c r="AD101" s="503"/>
      <c r="AE101" s="890"/>
    </row>
    <row r="102" spans="1:31" x14ac:dyDescent="0.3">
      <c r="A102" s="915" t="s">
        <v>869</v>
      </c>
      <c r="B102" s="916" t="s">
        <v>529</v>
      </c>
      <c r="C102" s="916"/>
      <c r="D102" s="916"/>
      <c r="E102" s="916"/>
      <c r="F102" s="917"/>
      <c r="G102" s="916"/>
      <c r="H102" s="916"/>
      <c r="I102" s="924"/>
      <c r="J102" s="924"/>
      <c r="K102" s="924"/>
      <c r="L102" s="924"/>
      <c r="M102" s="916"/>
      <c r="N102" s="925"/>
      <c r="O102" s="916"/>
      <c r="P102" s="925"/>
      <c r="Q102" s="926">
        <v>15000</v>
      </c>
      <c r="R102" s="927">
        <f>Q102/Q104</f>
        <v>6.4172111313799921E-2</v>
      </c>
      <c r="S102" s="900">
        <f>Q102*4</f>
        <v>60000</v>
      </c>
      <c r="T102" s="928"/>
      <c r="U102" s="7"/>
      <c r="V102" s="7"/>
      <c r="W102" s="7"/>
      <c r="X102" s="890">
        <f>S102</f>
        <v>60000</v>
      </c>
      <c r="Y102" s="150"/>
      <c r="Z102" s="890"/>
      <c r="AA102" s="889"/>
      <c r="AB102" s="503"/>
      <c r="AC102" s="503"/>
      <c r="AD102" s="503"/>
      <c r="AE102" s="890"/>
    </row>
    <row r="103" spans="1:31" x14ac:dyDescent="0.3">
      <c r="A103" s="929"/>
      <c r="B103" s="10"/>
      <c r="C103" s="10"/>
      <c r="D103" s="10"/>
      <c r="E103" s="10"/>
      <c r="F103" s="930"/>
      <c r="G103" s="10"/>
      <c r="H103" s="10"/>
      <c r="I103" s="1684">
        <f>I104/$M$104</f>
        <v>0.73770491803278693</v>
      </c>
      <c r="J103" s="1684">
        <f t="shared" ref="J103:L103" si="20">J104/$M$104</f>
        <v>0.24590163934426229</v>
      </c>
      <c r="K103" s="1684">
        <f t="shared" si="20"/>
        <v>1.6393442622950821E-2</v>
      </c>
      <c r="L103" s="10">
        <f t="shared" si="20"/>
        <v>0</v>
      </c>
      <c r="M103" s="10"/>
      <c r="N103" s="931"/>
      <c r="O103" s="10"/>
      <c r="P103" s="931"/>
      <c r="Q103" s="932"/>
      <c r="R103" s="933"/>
      <c r="S103" s="934"/>
      <c r="T103" s="935"/>
      <c r="U103" s="650"/>
      <c r="V103" s="650"/>
      <c r="W103" s="650"/>
      <c r="X103" s="937"/>
      <c r="Y103" s="578"/>
      <c r="Z103" s="937"/>
      <c r="AA103" s="936"/>
      <c r="AB103" s="983"/>
      <c r="AC103" s="983"/>
      <c r="AD103" s="983"/>
      <c r="AE103" s="937"/>
    </row>
    <row r="104" spans="1:31" x14ac:dyDescent="0.3">
      <c r="A104" s="984" t="s">
        <v>531</v>
      </c>
      <c r="B104" s="985"/>
      <c r="C104" s="985"/>
      <c r="D104" s="985"/>
      <c r="E104" s="985"/>
      <c r="F104" s="986"/>
      <c r="G104" s="985"/>
      <c r="H104" s="985"/>
      <c r="I104" s="987">
        <f>I98+I97+I96+I94+I93</f>
        <v>45</v>
      </c>
      <c r="J104" s="988">
        <f>+J94</f>
        <v>15</v>
      </c>
      <c r="K104" s="987">
        <f>K95</f>
        <v>1</v>
      </c>
      <c r="L104" s="987"/>
      <c r="M104" s="987">
        <f>SUM(I104:L104)</f>
        <v>61</v>
      </c>
      <c r="N104" s="989"/>
      <c r="O104" s="985"/>
      <c r="P104" s="989"/>
      <c r="Q104" s="990">
        <f>SUM(Q92:Q103)</f>
        <v>233746.4</v>
      </c>
      <c r="R104" s="991">
        <f>SUM(R92:R103)</f>
        <v>1</v>
      </c>
      <c r="S104" s="992">
        <f>SUM(S91:S102)</f>
        <v>934985.6</v>
      </c>
      <c r="T104" s="993">
        <f t="shared" ref="T104:AD104" si="21">SUM(T92:T103)</f>
        <v>382981.6</v>
      </c>
      <c r="U104" s="589">
        <f t="shared" si="21"/>
        <v>392004</v>
      </c>
      <c r="V104" s="589">
        <f t="shared" si="21"/>
        <v>0</v>
      </c>
      <c r="W104" s="589">
        <f t="shared" si="21"/>
        <v>100000</v>
      </c>
      <c r="X104" s="647">
        <f t="shared" si="21"/>
        <v>60000</v>
      </c>
      <c r="Y104" s="648">
        <f t="shared" si="21"/>
        <v>223800</v>
      </c>
      <c r="Z104" s="647">
        <f t="shared" si="21"/>
        <v>551185.6</v>
      </c>
      <c r="AA104" s="588">
        <f t="shared" si="21"/>
        <v>376785.6</v>
      </c>
      <c r="AB104" s="589">
        <f t="shared" si="21"/>
        <v>174400</v>
      </c>
      <c r="AC104" s="589">
        <f t="shared" si="21"/>
        <v>223800</v>
      </c>
      <c r="AD104" s="589">
        <f t="shared" si="21"/>
        <v>0</v>
      </c>
      <c r="AE104" s="647">
        <f>SUM(AE91:AE103)</f>
        <v>0</v>
      </c>
    </row>
    <row r="105" spans="1:31" x14ac:dyDescent="0.3">
      <c r="A105" s="994" t="s">
        <v>532</v>
      </c>
      <c r="B105" s="995"/>
      <c r="C105" s="995"/>
      <c r="D105" s="995"/>
      <c r="E105" s="995"/>
      <c r="F105" s="996"/>
      <c r="G105" s="995"/>
      <c r="H105" s="995"/>
      <c r="I105" s="997">
        <f>I98+I97+I96+I94+I93</f>
        <v>45</v>
      </c>
      <c r="J105" s="997">
        <f>I98+I97+J94</f>
        <v>28</v>
      </c>
      <c r="K105" s="997">
        <f>I98+I97+K95</f>
        <v>14</v>
      </c>
      <c r="L105" s="997"/>
      <c r="M105" s="998">
        <f>I105+J105+K105+L105</f>
        <v>87</v>
      </c>
      <c r="N105" s="999"/>
      <c r="O105" s="995"/>
      <c r="P105" s="999"/>
      <c r="Q105" s="1000"/>
      <c r="R105" s="1001"/>
      <c r="S105" s="1002"/>
      <c r="T105" s="1003"/>
      <c r="U105" s="1004"/>
      <c r="V105" s="1004"/>
      <c r="W105" s="1004"/>
      <c r="X105" s="1005"/>
      <c r="Y105" s="351">
        <f>Y104/S104</f>
        <v>0.23936197520047367</v>
      </c>
      <c r="Z105" s="352">
        <f>Z104/S104</f>
        <v>0.5895123946293932</v>
      </c>
      <c r="AA105" s="746"/>
      <c r="AB105" s="1004"/>
      <c r="AC105" s="1004"/>
      <c r="AD105" s="1004"/>
      <c r="AE105" s="1005"/>
    </row>
    <row r="106" spans="1:31" x14ac:dyDescent="0.3">
      <c r="A106" s="251" t="s">
        <v>533</v>
      </c>
      <c r="B106" s="252"/>
      <c r="C106" s="252"/>
      <c r="D106" s="252"/>
      <c r="E106" s="252"/>
      <c r="F106" s="253"/>
      <c r="G106" s="252"/>
      <c r="H106" s="252"/>
      <c r="I106" s="2188">
        <f>I105/$M$105</f>
        <v>0.51724137931034486</v>
      </c>
      <c r="J106" s="2188">
        <f t="shared" ref="J106:L106" si="22">J105/$M$105</f>
        <v>0.32183908045977011</v>
      </c>
      <c r="K106" s="2188">
        <f t="shared" si="22"/>
        <v>0.16091954022988506</v>
      </c>
      <c r="L106" s="254">
        <f t="shared" si="22"/>
        <v>0</v>
      </c>
      <c r="M106" s="252"/>
      <c r="N106" s="255"/>
      <c r="O106" s="255"/>
      <c r="P106" s="256"/>
      <c r="Q106" s="255"/>
      <c r="R106" s="257">
        <f>T104</f>
        <v>382981.6</v>
      </c>
      <c r="Y106" s="971">
        <f>I97+I98</f>
        <v>13</v>
      </c>
      <c r="Z106" s="972">
        <f>I93+I94+J94+K95+I96</f>
        <v>48</v>
      </c>
      <c r="AB106" s="962"/>
      <c r="AC106" s="7"/>
      <c r="AD106" s="7"/>
      <c r="AE106" s="7"/>
    </row>
    <row r="107" spans="1:31" x14ac:dyDescent="0.3">
      <c r="A107" s="251" t="s">
        <v>11</v>
      </c>
      <c r="B107" s="252"/>
      <c r="C107" s="252"/>
      <c r="D107" s="252"/>
      <c r="E107" s="252"/>
      <c r="F107" s="253"/>
      <c r="G107" s="252"/>
      <c r="H107" s="252"/>
      <c r="I107" s="254"/>
      <c r="J107" s="254"/>
      <c r="K107" s="254"/>
      <c r="L107" s="254"/>
      <c r="M107" s="252"/>
      <c r="N107" s="255"/>
      <c r="O107" s="255"/>
      <c r="P107" s="256"/>
      <c r="Q107" s="255"/>
      <c r="R107" s="257">
        <f>U104</f>
        <v>392004</v>
      </c>
      <c r="S107" s="525">
        <f>Q104/M104</f>
        <v>3831.9081967213115</v>
      </c>
      <c r="T107" s="796" t="s">
        <v>535</v>
      </c>
      <c r="Y107" s="964">
        <f>Y106/M104</f>
        <v>0.21311475409836064</v>
      </c>
      <c r="Z107" s="323">
        <f>Z106/M104</f>
        <v>0.78688524590163933</v>
      </c>
      <c r="AC107" s="7"/>
      <c r="AD107" s="7"/>
      <c r="AE107" s="7"/>
    </row>
    <row r="108" spans="1:31" x14ac:dyDescent="0.3">
      <c r="A108" s="251" t="s">
        <v>536</v>
      </c>
      <c r="B108" s="252"/>
      <c r="C108" s="252"/>
      <c r="D108" s="252"/>
      <c r="E108" s="252"/>
      <c r="F108" s="253"/>
      <c r="G108" s="252"/>
      <c r="H108" s="252"/>
      <c r="I108" s="254"/>
      <c r="J108" s="254"/>
      <c r="K108" s="254"/>
      <c r="L108" s="254"/>
      <c r="M108" s="252"/>
      <c r="N108" s="255"/>
      <c r="O108" s="255"/>
      <c r="P108" s="256"/>
      <c r="Q108" s="255"/>
      <c r="R108" s="257"/>
      <c r="Y108" s="2481" t="s">
        <v>537</v>
      </c>
      <c r="Z108" s="2482"/>
      <c r="AC108" s="7"/>
      <c r="AD108" s="7"/>
      <c r="AE108" s="7"/>
    </row>
    <row r="109" spans="1:31" x14ac:dyDescent="0.3">
      <c r="A109" s="251" t="s">
        <v>529</v>
      </c>
      <c r="B109" s="252"/>
      <c r="C109" s="252"/>
      <c r="D109" s="252"/>
      <c r="E109" s="252"/>
      <c r="F109" s="253"/>
      <c r="G109" s="252"/>
      <c r="H109" s="252"/>
      <c r="I109" s="254"/>
      <c r="J109" s="254"/>
      <c r="K109" s="254"/>
      <c r="L109" s="254"/>
      <c r="M109" s="252"/>
      <c r="N109" s="255"/>
      <c r="O109" s="255"/>
      <c r="P109" s="256"/>
      <c r="Q109" s="255"/>
      <c r="R109" s="257">
        <f>X104</f>
        <v>60000</v>
      </c>
      <c r="AC109" s="7"/>
      <c r="AD109" s="7"/>
      <c r="AE109" s="7"/>
    </row>
    <row r="110" spans="1:31" x14ac:dyDescent="0.3">
      <c r="A110" s="251" t="s">
        <v>528</v>
      </c>
      <c r="B110" s="252"/>
      <c r="C110" s="252"/>
      <c r="D110" s="252"/>
      <c r="E110" s="252"/>
      <c r="F110" s="253"/>
      <c r="G110" s="252"/>
      <c r="H110" s="252"/>
      <c r="I110" s="254"/>
      <c r="J110" s="254"/>
      <c r="K110" s="254"/>
      <c r="L110" s="254"/>
      <c r="M110" s="252"/>
      <c r="N110" s="255"/>
      <c r="O110" s="255"/>
      <c r="P110" s="256"/>
      <c r="Q110" s="255"/>
      <c r="R110" s="257">
        <f>W104</f>
        <v>100000</v>
      </c>
      <c r="AC110" s="7"/>
      <c r="AD110" s="7"/>
      <c r="AE110" s="7"/>
    </row>
    <row r="111" spans="1:31" x14ac:dyDescent="0.3">
      <c r="A111" s="251"/>
      <c r="B111" s="252"/>
      <c r="C111" s="252"/>
      <c r="D111" s="252"/>
      <c r="E111" s="252"/>
      <c r="F111" s="253"/>
      <c r="G111" s="252"/>
      <c r="H111" s="252"/>
      <c r="I111" s="254"/>
      <c r="J111" s="254"/>
      <c r="K111" s="254"/>
      <c r="L111" s="254"/>
      <c r="M111" s="252"/>
      <c r="N111" s="255"/>
      <c r="O111" s="255"/>
      <c r="P111" s="256"/>
      <c r="Q111" s="255"/>
      <c r="R111" s="264">
        <f>SUM(R106:R110)</f>
        <v>934985.6</v>
      </c>
      <c r="AC111" s="7"/>
      <c r="AD111" s="7"/>
      <c r="AE111" s="7"/>
    </row>
    <row r="113" spans="1:31" ht="18" x14ac:dyDescent="0.35">
      <c r="A113" s="118" t="s">
        <v>554</v>
      </c>
      <c r="B113" s="1"/>
      <c r="C113" s="1"/>
      <c r="D113" s="1"/>
      <c r="E113" s="1"/>
      <c r="F113" s="2"/>
      <c r="G113" s="1"/>
      <c r="H113" s="1"/>
      <c r="M113" s="1"/>
      <c r="O113" s="3"/>
      <c r="R113" s="3"/>
    </row>
    <row r="114" spans="1:31" x14ac:dyDescent="0.3">
      <c r="B114" s="1"/>
      <c r="C114" s="1"/>
      <c r="D114" s="1"/>
      <c r="E114" s="1"/>
      <c r="F114" s="2"/>
      <c r="G114" s="1"/>
      <c r="H114" s="1"/>
      <c r="M114" s="1"/>
      <c r="O114" s="3"/>
      <c r="R114" s="3"/>
    </row>
    <row r="115" spans="1:31" x14ac:dyDescent="0.3">
      <c r="A115" s="2335" t="s">
        <v>480</v>
      </c>
      <c r="B115" s="2336"/>
      <c r="C115" s="2336"/>
      <c r="D115" s="2336"/>
      <c r="E115" s="2336"/>
      <c r="F115" s="2336"/>
      <c r="G115" s="2336"/>
      <c r="H115" s="2336"/>
      <c r="I115" s="2336"/>
      <c r="J115" s="2336"/>
      <c r="K115" s="2336"/>
      <c r="L115" s="2336"/>
      <c r="M115" s="2336"/>
      <c r="N115" s="2336"/>
      <c r="O115" s="2336"/>
      <c r="P115" s="2336"/>
      <c r="Q115" s="2336"/>
      <c r="R115" s="2337"/>
      <c r="S115" s="2498" t="s">
        <v>584</v>
      </c>
      <c r="T115" s="2499"/>
      <c r="U115" s="2499"/>
      <c r="V115" s="2499"/>
      <c r="W115" s="2499"/>
      <c r="X115" s="2499"/>
      <c r="Y115" s="2499"/>
      <c r="Z115" s="2499"/>
      <c r="AA115" s="2499"/>
      <c r="AB115" s="2499"/>
      <c r="AC115" s="2499"/>
      <c r="AD115" s="2499"/>
      <c r="AE115" s="2500"/>
    </row>
    <row r="116" spans="1:31" ht="69" x14ac:dyDescent="0.35">
      <c r="A116" s="2520" t="s">
        <v>482</v>
      </c>
      <c r="B116" s="975" t="s">
        <v>483</v>
      </c>
      <c r="C116" s="975" t="s">
        <v>484</v>
      </c>
      <c r="D116" s="975" t="s">
        <v>485</v>
      </c>
      <c r="E116" s="975" t="s">
        <v>486</v>
      </c>
      <c r="F116" s="2511" t="s">
        <v>487</v>
      </c>
      <c r="G116" s="2505" t="s">
        <v>488</v>
      </c>
      <c r="H116" s="2513" t="s">
        <v>489</v>
      </c>
      <c r="I116" s="2515" t="s">
        <v>490</v>
      </c>
      <c r="J116" s="2516"/>
      <c r="K116" s="2516"/>
      <c r="L116" s="2517"/>
      <c r="M116" s="2518" t="s">
        <v>863</v>
      </c>
      <c r="N116" s="2507" t="s">
        <v>864</v>
      </c>
      <c r="O116" s="2505" t="s">
        <v>865</v>
      </c>
      <c r="P116" s="2507" t="s">
        <v>866</v>
      </c>
      <c r="Q116" s="2507" t="s">
        <v>867</v>
      </c>
      <c r="R116" s="2509" t="s">
        <v>495</v>
      </c>
      <c r="S116" s="976" t="s">
        <v>496</v>
      </c>
      <c r="T116" s="2410" t="s">
        <v>497</v>
      </c>
      <c r="U116" s="2410"/>
      <c r="V116" s="2410"/>
      <c r="W116" s="2410"/>
      <c r="X116" s="2410"/>
      <c r="Y116" s="2409" t="s">
        <v>498</v>
      </c>
      <c r="Z116" s="2411"/>
      <c r="AA116" s="2409" t="s">
        <v>499</v>
      </c>
      <c r="AB116" s="2410"/>
      <c r="AC116" s="2410"/>
      <c r="AD116" s="2410"/>
      <c r="AE116" s="2411"/>
    </row>
    <row r="117" spans="1:31" ht="18" x14ac:dyDescent="0.35">
      <c r="A117" s="2521"/>
      <c r="B117" s="977"/>
      <c r="C117" s="977"/>
      <c r="D117" s="977"/>
      <c r="E117" s="977"/>
      <c r="F117" s="2512"/>
      <c r="G117" s="2506"/>
      <c r="H117" s="2514"/>
      <c r="I117" s="978" t="s">
        <v>500</v>
      </c>
      <c r="J117" s="978" t="s">
        <v>501</v>
      </c>
      <c r="K117" s="979" t="s">
        <v>502</v>
      </c>
      <c r="L117" s="979" t="s">
        <v>503</v>
      </c>
      <c r="M117" s="2519"/>
      <c r="N117" s="2508"/>
      <c r="O117" s="2506"/>
      <c r="P117" s="2508"/>
      <c r="Q117" s="2508"/>
      <c r="R117" s="2510"/>
      <c r="S117" s="980" t="s">
        <v>508</v>
      </c>
      <c r="T117" s="2413"/>
      <c r="U117" s="2413"/>
      <c r="V117" s="2413"/>
      <c r="W117" s="2413"/>
      <c r="X117" s="2413"/>
      <c r="Y117" s="2412"/>
      <c r="Z117" s="2414"/>
      <c r="AA117" s="2412"/>
      <c r="AB117" s="2413"/>
      <c r="AC117" s="2413"/>
      <c r="AD117" s="2413"/>
      <c r="AE117" s="2414"/>
    </row>
    <row r="118" spans="1:31" ht="15.6" x14ac:dyDescent="0.3">
      <c r="A118" s="2478" t="s">
        <v>679</v>
      </c>
      <c r="B118" s="2479"/>
      <c r="C118" s="2479"/>
      <c r="D118" s="2479"/>
      <c r="E118" s="2479"/>
      <c r="F118" s="2479"/>
      <c r="G118" s="2479"/>
      <c r="H118" s="2479"/>
      <c r="I118" s="2479"/>
      <c r="J118" s="2479"/>
      <c r="K118" s="2479"/>
      <c r="L118" s="2479"/>
      <c r="M118" s="2479"/>
      <c r="N118" s="2479"/>
      <c r="O118" s="2479"/>
      <c r="P118" s="2479"/>
      <c r="Q118" s="2479"/>
      <c r="R118" s="2479"/>
      <c r="S118" s="870"/>
      <c r="T118" s="716" t="s">
        <v>510</v>
      </c>
      <c r="U118" s="871" t="s">
        <v>11</v>
      </c>
      <c r="V118" s="871" t="s">
        <v>511</v>
      </c>
      <c r="W118" s="871" t="s">
        <v>512</v>
      </c>
      <c r="X118" s="873" t="s">
        <v>513</v>
      </c>
      <c r="Y118" s="872" t="s">
        <v>514</v>
      </c>
      <c r="Z118" s="873" t="s">
        <v>515</v>
      </c>
      <c r="AA118" s="716" t="s">
        <v>868</v>
      </c>
      <c r="AB118" s="871" t="s">
        <v>159</v>
      </c>
      <c r="AC118" s="871" t="s">
        <v>160</v>
      </c>
      <c r="AD118" s="871" t="s">
        <v>3</v>
      </c>
      <c r="AE118" s="873" t="s">
        <v>0</v>
      </c>
    </row>
    <row r="119" spans="1:31" ht="15.6" x14ac:dyDescent="0.3">
      <c r="A119" s="874"/>
      <c r="B119" s="875"/>
      <c r="C119" s="875"/>
      <c r="D119" s="876"/>
      <c r="E119" s="876"/>
      <c r="F119" s="877"/>
      <c r="G119" s="876"/>
      <c r="H119" s="876"/>
      <c r="I119" s="878"/>
      <c r="J119" s="878"/>
      <c r="K119" s="879"/>
      <c r="L119" s="880"/>
      <c r="M119" s="881"/>
      <c r="N119" s="882"/>
      <c r="O119" s="881"/>
      <c r="P119" s="883"/>
      <c r="Q119" s="884"/>
      <c r="R119" s="885"/>
      <c r="S119" s="886"/>
      <c r="T119" s="887"/>
      <c r="U119" s="7"/>
      <c r="V119" s="7"/>
      <c r="W119" s="7"/>
      <c r="X119" s="890"/>
      <c r="Y119" s="150"/>
      <c r="Z119" s="890"/>
      <c r="AA119" s="150"/>
      <c r="AB119" s="7"/>
      <c r="AC119" s="7"/>
      <c r="AD119" s="7"/>
      <c r="AE119" s="890"/>
    </row>
    <row r="120" spans="1:31" x14ac:dyDescent="0.3">
      <c r="A120" s="891" t="s">
        <v>869</v>
      </c>
      <c r="B120" s="902" t="s">
        <v>23</v>
      </c>
      <c r="C120" s="902" t="s">
        <v>870</v>
      </c>
      <c r="D120" s="902" t="s">
        <v>402</v>
      </c>
      <c r="E120" s="902" t="s">
        <v>518</v>
      </c>
      <c r="F120" s="903" t="s">
        <v>43</v>
      </c>
      <c r="G120" s="902">
        <v>1</v>
      </c>
      <c r="H120" s="902" t="s">
        <v>22</v>
      </c>
      <c r="I120" s="906">
        <v>1</v>
      </c>
      <c r="J120" s="11"/>
      <c r="K120" s="11"/>
      <c r="L120" s="11"/>
      <c r="M120" s="896">
        <v>1</v>
      </c>
      <c r="N120" s="897">
        <v>35211</v>
      </c>
      <c r="O120" s="898">
        <v>0.3</v>
      </c>
      <c r="P120" s="897">
        <f t="shared" ref="P120:P121" si="23">N120*(1-O120)</f>
        <v>24647.699999999997</v>
      </c>
      <c r="Q120" s="897">
        <f t="shared" ref="Q120:Q126" si="24">P120*G120*M120</f>
        <v>24647.699999999997</v>
      </c>
      <c r="R120" s="899">
        <f>Q120/Q131</f>
        <v>0.10508765512001575</v>
      </c>
      <c r="S120" s="900">
        <f>Q120</f>
        <v>24647.699999999997</v>
      </c>
      <c r="T120" s="901">
        <f>S120</f>
        <v>24647.699999999997</v>
      </c>
      <c r="U120" s="7"/>
      <c r="V120" s="7"/>
      <c r="W120" s="7"/>
      <c r="X120" s="890"/>
      <c r="Y120" s="150"/>
      <c r="Z120" s="890">
        <f>S120</f>
        <v>24647.699999999997</v>
      </c>
      <c r="AA120" s="150">
        <f>S120</f>
        <v>24647.699999999997</v>
      </c>
      <c r="AB120" s="7"/>
      <c r="AC120" s="7"/>
      <c r="AD120" s="7"/>
      <c r="AE120" s="890"/>
    </row>
    <row r="121" spans="1:31" x14ac:dyDescent="0.3">
      <c r="A121" s="891" t="s">
        <v>869</v>
      </c>
      <c r="B121" s="902" t="s">
        <v>23</v>
      </c>
      <c r="C121" s="902" t="s">
        <v>871</v>
      </c>
      <c r="D121" s="902" t="s">
        <v>398</v>
      </c>
      <c r="E121" s="902" t="s">
        <v>518</v>
      </c>
      <c r="F121" s="903" t="s">
        <v>698</v>
      </c>
      <c r="G121" s="902">
        <v>15</v>
      </c>
      <c r="H121" s="902" t="s">
        <v>22</v>
      </c>
      <c r="I121" s="13"/>
      <c r="J121" s="904">
        <v>15</v>
      </c>
      <c r="K121" s="11"/>
      <c r="L121" s="11"/>
      <c r="M121" s="896">
        <v>1</v>
      </c>
      <c r="N121" s="897">
        <v>3326</v>
      </c>
      <c r="O121" s="898">
        <v>0.55000000000000004</v>
      </c>
      <c r="P121" s="897">
        <f t="shared" si="23"/>
        <v>1496.6999999999998</v>
      </c>
      <c r="Q121" s="897">
        <f t="shared" si="24"/>
        <v>22450.499999999996</v>
      </c>
      <c r="R121" s="899">
        <f>Q121/Q131</f>
        <v>9.5719698035594131E-2</v>
      </c>
      <c r="S121" s="900">
        <f t="shared" ref="S121:S126" si="25">Q121</f>
        <v>22450.499999999996</v>
      </c>
      <c r="T121" s="901"/>
      <c r="U121" s="7">
        <f>S121</f>
        <v>22450.499999999996</v>
      </c>
      <c r="V121" s="7"/>
      <c r="W121" s="7"/>
      <c r="X121" s="890"/>
      <c r="Y121" s="150"/>
      <c r="Z121" s="890">
        <f t="shared" ref="Z121:Z122" si="26">S121</f>
        <v>22450.499999999996</v>
      </c>
      <c r="AA121" s="150">
        <f>S121</f>
        <v>22450.499999999996</v>
      </c>
      <c r="AB121" s="7"/>
      <c r="AC121" s="7"/>
      <c r="AD121" s="7"/>
      <c r="AE121" s="890"/>
    </row>
    <row r="122" spans="1:31" x14ac:dyDescent="0.3">
      <c r="A122" s="891" t="s">
        <v>869</v>
      </c>
      <c r="B122" s="902" t="s">
        <v>399</v>
      </c>
      <c r="C122" s="902" t="s">
        <v>873</v>
      </c>
      <c r="D122" s="902" t="s">
        <v>161</v>
      </c>
      <c r="E122" s="902" t="s">
        <v>518</v>
      </c>
      <c r="F122" s="903" t="s">
        <v>876</v>
      </c>
      <c r="G122" s="902">
        <v>20</v>
      </c>
      <c r="H122" s="902" t="s">
        <v>22</v>
      </c>
      <c r="I122" s="908">
        <v>20</v>
      </c>
      <c r="J122" s="13"/>
      <c r="K122" s="907"/>
      <c r="L122" s="907"/>
      <c r="M122" s="896">
        <v>1</v>
      </c>
      <c r="N122" s="909">
        <v>1480</v>
      </c>
      <c r="O122" s="910">
        <v>0.5</v>
      </c>
      <c r="P122" s="909">
        <f>N122*(1-O122)</f>
        <v>740</v>
      </c>
      <c r="Q122" s="897">
        <f t="shared" si="24"/>
        <v>14800</v>
      </c>
      <c r="R122" s="899">
        <f>Q122/Q131</f>
        <v>6.3101112711378068E-2</v>
      </c>
      <c r="S122" s="900">
        <f t="shared" si="25"/>
        <v>14800</v>
      </c>
      <c r="T122" s="901"/>
      <c r="U122" s="7">
        <f>S122</f>
        <v>14800</v>
      </c>
      <c r="V122" s="7"/>
      <c r="W122" s="7"/>
      <c r="X122" s="890"/>
      <c r="Y122" s="150"/>
      <c r="Z122" s="890">
        <f t="shared" si="26"/>
        <v>14800</v>
      </c>
      <c r="AA122" s="150"/>
      <c r="AB122" s="7">
        <f>S122</f>
        <v>14800</v>
      </c>
      <c r="AC122" s="7"/>
      <c r="AD122" s="7"/>
      <c r="AE122" s="890"/>
    </row>
    <row r="123" spans="1:31" x14ac:dyDescent="0.3">
      <c r="A123" s="891" t="s">
        <v>869</v>
      </c>
      <c r="B123" s="902" t="s">
        <v>401</v>
      </c>
      <c r="C123" s="902" t="s">
        <v>871</v>
      </c>
      <c r="D123" s="902" t="s">
        <v>403</v>
      </c>
      <c r="E123" s="902" t="s">
        <v>520</v>
      </c>
      <c r="F123" s="903" t="s">
        <v>698</v>
      </c>
      <c r="G123" s="902">
        <v>15</v>
      </c>
      <c r="H123" s="902" t="s">
        <v>22</v>
      </c>
      <c r="I123" s="13"/>
      <c r="J123" s="13"/>
      <c r="K123" s="905">
        <v>15</v>
      </c>
      <c r="L123" s="907"/>
      <c r="M123" s="896">
        <v>1</v>
      </c>
      <c r="N123" s="909">
        <v>5000</v>
      </c>
      <c r="O123" s="910">
        <v>0.32</v>
      </c>
      <c r="P123" s="909">
        <f>N123*(1-O123)</f>
        <v>3399.9999999999995</v>
      </c>
      <c r="Q123" s="897">
        <f t="shared" si="24"/>
        <v>50999.999999999993</v>
      </c>
      <c r="R123" s="967">
        <f>Q123/Q131</f>
        <v>0.21744302353245143</v>
      </c>
      <c r="S123" s="900">
        <f t="shared" si="25"/>
        <v>50999.999999999993</v>
      </c>
      <c r="T123" s="901"/>
      <c r="U123" s="7">
        <f>S123</f>
        <v>50999.999999999993</v>
      </c>
      <c r="V123" s="7"/>
      <c r="W123" s="7"/>
      <c r="X123" s="890"/>
      <c r="Y123" s="150">
        <f>S123</f>
        <v>50999.999999999993</v>
      </c>
      <c r="Z123" s="890"/>
      <c r="AA123" s="150"/>
      <c r="AB123" s="7"/>
      <c r="AC123" s="7">
        <f>S123</f>
        <v>50999.999999999993</v>
      </c>
      <c r="AD123" s="7"/>
      <c r="AE123" s="890"/>
    </row>
    <row r="124" spans="1:31" x14ac:dyDescent="0.3">
      <c r="A124" s="891" t="s">
        <v>869</v>
      </c>
      <c r="B124" s="902" t="s">
        <v>401</v>
      </c>
      <c r="C124" s="902" t="s">
        <v>873</v>
      </c>
      <c r="D124" s="902" t="s">
        <v>161</v>
      </c>
      <c r="E124" s="902" t="s">
        <v>697</v>
      </c>
      <c r="F124" s="903" t="s">
        <v>876</v>
      </c>
      <c r="G124" s="902">
        <v>14</v>
      </c>
      <c r="H124" s="902" t="s">
        <v>24</v>
      </c>
      <c r="I124" s="908">
        <v>14</v>
      </c>
      <c r="J124" s="895"/>
      <c r="K124" s="895"/>
      <c r="L124" s="2480"/>
      <c r="M124" s="896">
        <v>1</v>
      </c>
      <c r="N124" s="909">
        <v>6000</v>
      </c>
      <c r="O124" s="910">
        <v>0.43</v>
      </c>
      <c r="P124" s="909">
        <f t="shared" ref="P124:P126" si="27">N124*(1-O124)</f>
        <v>3420.0000000000005</v>
      </c>
      <c r="Q124" s="909">
        <f t="shared" si="24"/>
        <v>47880.000000000007</v>
      </c>
      <c r="R124" s="911">
        <f>Q124/Q131</f>
        <v>0.20414062679870154</v>
      </c>
      <c r="S124" s="900">
        <f t="shared" si="25"/>
        <v>47880.000000000007</v>
      </c>
      <c r="T124" s="901"/>
      <c r="U124" s="7">
        <f>S124</f>
        <v>47880.000000000007</v>
      </c>
      <c r="V124" s="7"/>
      <c r="W124" s="7"/>
      <c r="X124" s="890"/>
      <c r="Y124" s="150">
        <f t="shared" ref="Y124:Y126" si="28">S124</f>
        <v>47880.000000000007</v>
      </c>
      <c r="Z124" s="890"/>
      <c r="AA124" s="150"/>
      <c r="AB124" s="7"/>
      <c r="AC124" s="7">
        <f>S124</f>
        <v>47880.000000000007</v>
      </c>
      <c r="AD124" s="7"/>
      <c r="AE124" s="890"/>
    </row>
    <row r="125" spans="1:31" x14ac:dyDescent="0.3">
      <c r="A125" s="891" t="s">
        <v>869</v>
      </c>
      <c r="B125" s="902" t="s">
        <v>401</v>
      </c>
      <c r="C125" s="902" t="s">
        <v>870</v>
      </c>
      <c r="D125" s="902" t="s">
        <v>26</v>
      </c>
      <c r="E125" s="902" t="s">
        <v>697</v>
      </c>
      <c r="F125" s="903" t="s">
        <v>523</v>
      </c>
      <c r="G125" s="902">
        <v>3</v>
      </c>
      <c r="H125" s="902" t="s">
        <v>24</v>
      </c>
      <c r="I125" s="908">
        <v>3</v>
      </c>
      <c r="J125" s="895"/>
      <c r="K125" s="895"/>
      <c r="L125" s="2480"/>
      <c r="M125" s="896">
        <v>1</v>
      </c>
      <c r="N125" s="909">
        <v>15500</v>
      </c>
      <c r="O125" s="910">
        <v>0.7</v>
      </c>
      <c r="P125" s="909">
        <f t="shared" si="27"/>
        <v>4650.0000000000009</v>
      </c>
      <c r="Q125" s="909">
        <f t="shared" si="24"/>
        <v>13950.000000000004</v>
      </c>
      <c r="R125" s="911">
        <f>Q125/Q131</f>
        <v>5.9477062319170562E-2</v>
      </c>
      <c r="S125" s="900">
        <f t="shared" si="25"/>
        <v>13950.000000000004</v>
      </c>
      <c r="T125" s="901">
        <f>S125</f>
        <v>13950.000000000004</v>
      </c>
      <c r="U125" s="7"/>
      <c r="V125" s="7"/>
      <c r="W125" s="7"/>
      <c r="X125" s="890"/>
      <c r="Y125" s="150">
        <f t="shared" si="28"/>
        <v>13950.000000000004</v>
      </c>
      <c r="Z125" s="890"/>
      <c r="AA125" s="150"/>
      <c r="AB125" s="7"/>
      <c r="AC125" s="7">
        <f>S125</f>
        <v>13950.000000000004</v>
      </c>
      <c r="AD125" s="7"/>
      <c r="AE125" s="890"/>
    </row>
    <row r="126" spans="1:31" x14ac:dyDescent="0.3">
      <c r="A126" s="891" t="s">
        <v>869</v>
      </c>
      <c r="B126" s="902" t="s">
        <v>157</v>
      </c>
      <c r="C126" s="902" t="s">
        <v>873</v>
      </c>
      <c r="D126" s="902" t="s">
        <v>161</v>
      </c>
      <c r="E126" s="902" t="s">
        <v>520</v>
      </c>
      <c r="F126" s="903" t="s">
        <v>876</v>
      </c>
      <c r="G126" s="902">
        <v>15</v>
      </c>
      <c r="H126" s="902" t="s">
        <v>22</v>
      </c>
      <c r="I126" s="13"/>
      <c r="J126" s="905">
        <v>15</v>
      </c>
      <c r="K126" s="895">
        <v>15</v>
      </c>
      <c r="L126" s="11"/>
      <c r="M126" s="896">
        <v>2</v>
      </c>
      <c r="N126" s="909">
        <v>1960</v>
      </c>
      <c r="O126" s="910">
        <v>0.68</v>
      </c>
      <c r="P126" s="909">
        <f t="shared" si="27"/>
        <v>627.19999999999993</v>
      </c>
      <c r="Q126" s="909">
        <f t="shared" si="24"/>
        <v>18815.999999999996</v>
      </c>
      <c r="R126" s="911">
        <f>Q126/Q131</f>
        <v>8.0223684917384436E-2</v>
      </c>
      <c r="S126" s="900">
        <f t="shared" si="25"/>
        <v>18815.999999999996</v>
      </c>
      <c r="T126" s="901"/>
      <c r="U126" s="7"/>
      <c r="V126" s="7">
        <f>S126</f>
        <v>18815.999999999996</v>
      </c>
      <c r="W126" s="7"/>
      <c r="X126" s="890"/>
      <c r="Y126" s="150">
        <f t="shared" si="28"/>
        <v>18815.999999999996</v>
      </c>
      <c r="Z126" s="890"/>
      <c r="AA126" s="150"/>
      <c r="AB126" s="7"/>
      <c r="AC126" s="7"/>
      <c r="AD126" s="7"/>
      <c r="AE126" s="890">
        <f>S126</f>
        <v>18815.999999999996</v>
      </c>
    </row>
    <row r="127" spans="1:31" x14ac:dyDescent="0.3">
      <c r="A127" s="891"/>
      <c r="B127" s="902"/>
      <c r="C127" s="902"/>
      <c r="D127" s="902"/>
      <c r="E127" s="902"/>
      <c r="F127" s="903"/>
      <c r="G127" s="902"/>
      <c r="H127" s="902"/>
      <c r="I127" s="914"/>
      <c r="J127" s="914"/>
      <c r="K127" s="912"/>
      <c r="L127" s="912"/>
      <c r="M127" s="896"/>
      <c r="N127" s="909"/>
      <c r="O127" s="910"/>
      <c r="P127" s="909"/>
      <c r="Q127" s="909"/>
      <c r="R127" s="913"/>
      <c r="S127" s="900"/>
      <c r="T127" s="901"/>
      <c r="U127" s="7"/>
      <c r="V127" s="7"/>
      <c r="W127" s="7"/>
      <c r="X127" s="890"/>
      <c r="Y127" s="150"/>
      <c r="Z127" s="890"/>
      <c r="AA127" s="150"/>
      <c r="AB127" s="7"/>
      <c r="AC127" s="7"/>
      <c r="AD127" s="7"/>
      <c r="AE127" s="890"/>
    </row>
    <row r="128" spans="1:31" x14ac:dyDescent="0.3">
      <c r="A128" s="915" t="s">
        <v>869</v>
      </c>
      <c r="B128" s="916" t="s">
        <v>528</v>
      </c>
      <c r="C128" s="916"/>
      <c r="D128" s="916"/>
      <c r="E128" s="916"/>
      <c r="F128" s="917"/>
      <c r="G128" s="916"/>
      <c r="H128" s="916"/>
      <c r="I128" s="918"/>
      <c r="J128" s="918"/>
      <c r="K128" s="919"/>
      <c r="L128" s="919"/>
      <c r="M128" s="920"/>
      <c r="N128" s="921"/>
      <c r="O128" s="922"/>
      <c r="P128" s="921"/>
      <c r="Q128" s="921">
        <v>21000</v>
      </c>
      <c r="R128" s="923">
        <f>Q128/Q131</f>
        <v>8.9535362631009432E-2</v>
      </c>
      <c r="S128" s="900">
        <f>Q128</f>
        <v>21000</v>
      </c>
      <c r="T128" s="901"/>
      <c r="U128" s="7"/>
      <c r="V128" s="7"/>
      <c r="W128" s="7">
        <f>S128</f>
        <v>21000</v>
      </c>
      <c r="X128" s="890"/>
      <c r="Y128" s="150"/>
      <c r="Z128" s="890"/>
      <c r="AA128" s="150"/>
      <c r="AB128" s="7"/>
      <c r="AC128" s="7"/>
      <c r="AD128" s="7"/>
      <c r="AE128" s="890"/>
    </row>
    <row r="129" spans="1:31" x14ac:dyDescent="0.3">
      <c r="A129" s="915" t="s">
        <v>869</v>
      </c>
      <c r="B129" s="916" t="s">
        <v>529</v>
      </c>
      <c r="C129" s="916"/>
      <c r="D129" s="916"/>
      <c r="E129" s="916"/>
      <c r="F129" s="917"/>
      <c r="G129" s="916"/>
      <c r="H129" s="916"/>
      <c r="I129" s="924"/>
      <c r="J129" s="924"/>
      <c r="K129" s="924"/>
      <c r="L129" s="924"/>
      <c r="M129" s="916"/>
      <c r="N129" s="925"/>
      <c r="O129" s="916"/>
      <c r="P129" s="925"/>
      <c r="Q129" s="926">
        <v>20000</v>
      </c>
      <c r="R129" s="927">
        <f>Q129/Q131</f>
        <v>8.5271773934294692E-2</v>
      </c>
      <c r="S129" s="900">
        <f>Q129</f>
        <v>20000</v>
      </c>
      <c r="T129" s="928"/>
      <c r="U129" s="7"/>
      <c r="V129" s="7"/>
      <c r="W129" s="7"/>
      <c r="X129" s="890">
        <f>S129</f>
        <v>20000</v>
      </c>
      <c r="Y129" s="150"/>
      <c r="Z129" s="890"/>
      <c r="AA129" s="150"/>
      <c r="AB129" s="7"/>
      <c r="AC129" s="7"/>
      <c r="AD129" s="7"/>
      <c r="AE129" s="890"/>
    </row>
    <row r="130" spans="1:31" x14ac:dyDescent="0.3">
      <c r="A130" s="929"/>
      <c r="B130" s="10"/>
      <c r="C130" s="10"/>
      <c r="D130" s="10"/>
      <c r="E130" s="10"/>
      <c r="F130" s="930"/>
      <c r="G130" s="10"/>
      <c r="H130" s="10"/>
      <c r="I130" s="1684">
        <f>I131/$M$131</f>
        <v>0.38775510204081631</v>
      </c>
      <c r="J130" s="1684">
        <f t="shared" ref="J130:K130" si="29">J131/$M$131</f>
        <v>0.30612244897959184</v>
      </c>
      <c r="K130" s="1684">
        <f t="shared" si="29"/>
        <v>0.30612244897959184</v>
      </c>
      <c r="L130" s="10"/>
      <c r="M130" s="10"/>
      <c r="N130" s="931"/>
      <c r="O130" s="10"/>
      <c r="P130" s="931"/>
      <c r="Q130" s="932"/>
      <c r="R130" s="933"/>
      <c r="S130" s="934"/>
      <c r="T130" s="935"/>
      <c r="U130" s="650"/>
      <c r="V130" s="650"/>
      <c r="W130" s="650"/>
      <c r="X130" s="937"/>
      <c r="Y130" s="578"/>
      <c r="Z130" s="937"/>
      <c r="AA130" s="578"/>
      <c r="AB130" s="650"/>
      <c r="AC130" s="650"/>
      <c r="AD130" s="650"/>
      <c r="AE130" s="937"/>
    </row>
    <row r="131" spans="1:31" x14ac:dyDescent="0.3">
      <c r="A131" s="984" t="s">
        <v>531</v>
      </c>
      <c r="B131" s="985"/>
      <c r="C131" s="985"/>
      <c r="D131" s="985"/>
      <c r="E131" s="985"/>
      <c r="F131" s="986"/>
      <c r="G131" s="985"/>
      <c r="H131" s="985"/>
      <c r="I131" s="987">
        <f>I125+I124+I122+I121+I120</f>
        <v>38</v>
      </c>
      <c r="J131" s="988">
        <f>J126+J121</f>
        <v>30</v>
      </c>
      <c r="K131" s="987">
        <f>K126+K123</f>
        <v>30</v>
      </c>
      <c r="L131" s="987"/>
      <c r="M131" s="987">
        <f>SUM(I131:L131)</f>
        <v>98</v>
      </c>
      <c r="N131" s="989"/>
      <c r="O131" s="985"/>
      <c r="P131" s="989"/>
      <c r="Q131" s="990">
        <f>SUM(Q119:Q130)</f>
        <v>234544.19999999998</v>
      </c>
      <c r="R131" s="991">
        <f>SUM(R119:R130)</f>
        <v>1</v>
      </c>
      <c r="S131" s="992">
        <f>SUM(S120:S129)</f>
        <v>234544.19999999998</v>
      </c>
      <c r="T131" s="993">
        <f>SUM(T119:T130)</f>
        <v>38597.699999999997</v>
      </c>
      <c r="U131" s="589">
        <f>SUM(U119:U130)</f>
        <v>136130.5</v>
      </c>
      <c r="V131" s="589">
        <f t="shared" ref="V131:AE131" si="30">SUM(V119:V130)</f>
        <v>18815.999999999996</v>
      </c>
      <c r="W131" s="589">
        <f t="shared" si="30"/>
        <v>21000</v>
      </c>
      <c r="X131" s="647">
        <f t="shared" si="30"/>
        <v>20000</v>
      </c>
      <c r="Y131" s="588">
        <f t="shared" si="30"/>
        <v>131646</v>
      </c>
      <c r="Z131" s="647">
        <f t="shared" si="30"/>
        <v>61898.2</v>
      </c>
      <c r="AA131" s="588">
        <f t="shared" si="30"/>
        <v>47098.2</v>
      </c>
      <c r="AB131" s="589">
        <f t="shared" si="30"/>
        <v>14800</v>
      </c>
      <c r="AC131" s="589">
        <f t="shared" si="30"/>
        <v>112830</v>
      </c>
      <c r="AD131" s="589">
        <f t="shared" si="30"/>
        <v>0</v>
      </c>
      <c r="AE131" s="647">
        <f t="shared" si="30"/>
        <v>18815.999999999996</v>
      </c>
    </row>
    <row r="132" spans="1:31" x14ac:dyDescent="0.3">
      <c r="A132" s="994" t="s">
        <v>532</v>
      </c>
      <c r="B132" s="995"/>
      <c r="C132" s="995"/>
      <c r="D132" s="995"/>
      <c r="E132" s="995"/>
      <c r="F132" s="996"/>
      <c r="G132" s="995"/>
      <c r="H132" s="995"/>
      <c r="I132" s="997">
        <f>I125+I124+I122+I120</f>
        <v>38</v>
      </c>
      <c r="J132" s="997">
        <f>J126+I125+I124+J121</f>
        <v>47</v>
      </c>
      <c r="K132" s="997">
        <f>K126+I125+I124+K123</f>
        <v>47</v>
      </c>
      <c r="L132" s="997"/>
      <c r="M132" s="998">
        <f>I132+J132+K132+L136+L132</f>
        <v>132</v>
      </c>
      <c r="N132" s="999"/>
      <c r="O132" s="995"/>
      <c r="P132" s="999"/>
      <c r="Q132" s="1000"/>
      <c r="R132" s="1001"/>
      <c r="S132" s="1002"/>
      <c r="T132" s="1003"/>
      <c r="U132" s="1004"/>
      <c r="V132" s="1004"/>
      <c r="W132" s="1004"/>
      <c r="X132" s="1005"/>
      <c r="Y132" s="746"/>
      <c r="Z132" s="1005"/>
      <c r="AA132" s="746"/>
      <c r="AB132" s="1004"/>
      <c r="AC132" s="1004"/>
      <c r="AD132" s="1004"/>
      <c r="AE132" s="1005"/>
    </row>
    <row r="133" spans="1:31" x14ac:dyDescent="0.3">
      <c r="A133" s="251" t="s">
        <v>533</v>
      </c>
      <c r="B133" s="252"/>
      <c r="C133" s="252"/>
      <c r="D133" s="252"/>
      <c r="E133" s="252"/>
      <c r="F133" s="253"/>
      <c r="G133" s="252"/>
      <c r="H133" s="252"/>
      <c r="I133" s="2188">
        <f>I132/$M$132</f>
        <v>0.2878787878787879</v>
      </c>
      <c r="J133" s="2188">
        <f t="shared" ref="J133:L133" si="31">J132/$M$132</f>
        <v>0.35606060606060608</v>
      </c>
      <c r="K133" s="2188">
        <f t="shared" si="31"/>
        <v>0.35606060606060608</v>
      </c>
      <c r="L133" s="254">
        <f t="shared" si="31"/>
        <v>0</v>
      </c>
      <c r="M133" s="252"/>
      <c r="N133" s="255"/>
      <c r="O133" s="255"/>
      <c r="P133" s="256"/>
      <c r="Q133" s="255"/>
      <c r="R133" s="257">
        <f>T131</f>
        <v>38597.699999999997</v>
      </c>
      <c r="Y133" s="971">
        <f>+I124+I125</f>
        <v>17</v>
      </c>
      <c r="Z133" s="972">
        <f>I120+I121+J121+K122+I123</f>
        <v>16</v>
      </c>
      <c r="AB133" s="962"/>
      <c r="AC133" s="7"/>
      <c r="AD133" s="7"/>
      <c r="AE133" s="7"/>
    </row>
    <row r="134" spans="1:31" x14ac:dyDescent="0.3">
      <c r="A134" s="251" t="s">
        <v>11</v>
      </c>
      <c r="B134" s="252"/>
      <c r="C134" s="252"/>
      <c r="D134" s="252"/>
      <c r="E134" s="252"/>
      <c r="F134" s="253"/>
      <c r="G134" s="252"/>
      <c r="H134" s="252"/>
      <c r="I134" s="254"/>
      <c r="J134" s="254"/>
      <c r="K134" s="254"/>
      <c r="L134" s="254"/>
      <c r="M134" s="252"/>
      <c r="N134" s="255"/>
      <c r="O134" s="255"/>
      <c r="P134" s="256"/>
      <c r="Q134" s="255"/>
      <c r="R134" s="257">
        <f>U131</f>
        <v>136130.5</v>
      </c>
      <c r="S134" s="525">
        <f>Q131/M131</f>
        <v>2393.3081632653061</v>
      </c>
      <c r="T134" s="796" t="s">
        <v>535</v>
      </c>
      <c r="Y134" s="964">
        <f>Y133/M131</f>
        <v>0.17346938775510204</v>
      </c>
      <c r="Z134" s="323">
        <f>Z133/M131</f>
        <v>0.16326530612244897</v>
      </c>
      <c r="AC134" s="7"/>
      <c r="AD134" s="7"/>
      <c r="AE134" s="7"/>
    </row>
    <row r="135" spans="1:31" x14ac:dyDescent="0.3">
      <c r="A135" s="251" t="s">
        <v>536</v>
      </c>
      <c r="B135" s="252"/>
      <c r="C135" s="252"/>
      <c r="D135" s="252"/>
      <c r="E135" s="252"/>
      <c r="F135" s="253"/>
      <c r="G135" s="252"/>
      <c r="H135" s="252"/>
      <c r="I135" s="254"/>
      <c r="J135" s="254"/>
      <c r="K135" s="254"/>
      <c r="L135" s="254"/>
      <c r="M135" s="252"/>
      <c r="N135" s="255"/>
      <c r="O135" s="255"/>
      <c r="P135" s="256"/>
      <c r="Q135" s="255"/>
      <c r="R135" s="257">
        <f>V131</f>
        <v>18815.999999999996</v>
      </c>
      <c r="Y135" s="2481" t="s">
        <v>537</v>
      </c>
      <c r="Z135" s="2482"/>
      <c r="AC135" s="7"/>
      <c r="AD135" s="7"/>
      <c r="AE135" s="7"/>
    </row>
    <row r="136" spans="1:31" x14ac:dyDescent="0.3">
      <c r="A136" s="251" t="s">
        <v>529</v>
      </c>
      <c r="B136" s="252"/>
      <c r="C136" s="252"/>
      <c r="D136" s="252"/>
      <c r="E136" s="252"/>
      <c r="F136" s="253"/>
      <c r="G136" s="252"/>
      <c r="H136" s="252"/>
      <c r="I136" s="254"/>
      <c r="J136" s="254"/>
      <c r="K136" s="254"/>
      <c r="L136" s="254"/>
      <c r="M136" s="252"/>
      <c r="N136" s="255"/>
      <c r="O136" s="255"/>
      <c r="P136" s="256"/>
      <c r="Q136" s="255"/>
      <c r="R136" s="257">
        <f>X131</f>
        <v>20000</v>
      </c>
      <c r="AC136" s="7"/>
      <c r="AD136" s="7"/>
      <c r="AE136" s="7"/>
    </row>
    <row r="137" spans="1:31" x14ac:dyDescent="0.3">
      <c r="A137" s="251" t="s">
        <v>528</v>
      </c>
      <c r="B137" s="252"/>
      <c r="C137" s="252"/>
      <c r="D137" s="252"/>
      <c r="E137" s="252"/>
      <c r="F137" s="253"/>
      <c r="G137" s="252"/>
      <c r="H137" s="252"/>
      <c r="I137" s="254"/>
      <c r="J137" s="254"/>
      <c r="K137" s="254"/>
      <c r="L137" s="254"/>
      <c r="M137" s="252"/>
      <c r="N137" s="255"/>
      <c r="O137" s="255"/>
      <c r="P137" s="256"/>
      <c r="Q137" s="255"/>
      <c r="R137" s="257">
        <f>W131</f>
        <v>21000</v>
      </c>
      <c r="AC137" s="7"/>
      <c r="AD137" s="7"/>
      <c r="AE137" s="7"/>
    </row>
    <row r="138" spans="1:31" x14ac:dyDescent="0.3">
      <c r="A138" s="251"/>
      <c r="B138" s="252"/>
      <c r="C138" s="252"/>
      <c r="D138" s="252"/>
      <c r="E138" s="252"/>
      <c r="F138" s="253"/>
      <c r="G138" s="252"/>
      <c r="H138" s="252"/>
      <c r="I138" s="254"/>
      <c r="J138" s="254"/>
      <c r="K138" s="254"/>
      <c r="L138" s="254"/>
      <c r="M138" s="252"/>
      <c r="N138" s="255"/>
      <c r="O138" s="255"/>
      <c r="P138" s="256"/>
      <c r="Q138" s="255"/>
      <c r="R138" s="264">
        <f>SUM(R133:R137)</f>
        <v>234544.2</v>
      </c>
      <c r="AC138" s="7"/>
      <c r="AD138" s="7"/>
      <c r="AE138" s="7"/>
    </row>
    <row r="141" spans="1:31" x14ac:dyDescent="0.3">
      <c r="D141" s="10" t="s">
        <v>562</v>
      </c>
      <c r="E141" s="859">
        <v>0.23</v>
      </c>
      <c r="F141" s="861"/>
      <c r="G141" s="10"/>
      <c r="H141" s="859"/>
      <c r="I141" s="10"/>
      <c r="J141" s="862"/>
      <c r="K141" s="862"/>
    </row>
    <row r="142" spans="1:31" x14ac:dyDescent="0.3">
      <c r="D142" s="10" t="s">
        <v>861</v>
      </c>
      <c r="E142" s="10">
        <v>17</v>
      </c>
      <c r="F142" s="861"/>
      <c r="G142" s="10"/>
      <c r="H142" s="10"/>
      <c r="I142" s="10"/>
      <c r="J142" s="863"/>
      <c r="K142" s="863"/>
    </row>
    <row r="143" spans="1:31" x14ac:dyDescent="0.3">
      <c r="D143" s="10" t="s">
        <v>475</v>
      </c>
      <c r="E143" s="864">
        <v>398</v>
      </c>
      <c r="F143" s="861"/>
      <c r="G143" s="10"/>
      <c r="H143" s="864"/>
      <c r="I143" s="10"/>
      <c r="J143" s="10"/>
      <c r="K143" s="10"/>
    </row>
    <row r="144" spans="1:31" x14ac:dyDescent="0.3">
      <c r="D144" s="10" t="s">
        <v>862</v>
      </c>
      <c r="E144" s="864">
        <v>11210640</v>
      </c>
      <c r="F144" s="861"/>
      <c r="G144" s="10"/>
      <c r="H144" s="864"/>
      <c r="I144" s="10"/>
      <c r="J144" s="864"/>
      <c r="K144" s="864"/>
    </row>
    <row r="146" spans="1:31" ht="18" x14ac:dyDescent="0.35">
      <c r="A146" s="118" t="s">
        <v>567</v>
      </c>
      <c r="B146" s="1"/>
      <c r="C146" s="1"/>
      <c r="D146" s="1"/>
      <c r="E146" s="1"/>
      <c r="F146" s="2"/>
      <c r="G146" s="1"/>
      <c r="H146" s="1"/>
      <c r="M146" s="1"/>
      <c r="O146" s="3"/>
      <c r="R146" s="3"/>
    </row>
    <row r="147" spans="1:31" x14ac:dyDescent="0.3">
      <c r="B147" s="1"/>
      <c r="C147" s="1"/>
      <c r="D147" s="1"/>
      <c r="E147" s="1"/>
      <c r="F147" s="2"/>
      <c r="G147" s="1"/>
      <c r="H147" s="1"/>
      <c r="M147" s="1"/>
      <c r="O147" s="3"/>
      <c r="R147" s="3"/>
    </row>
    <row r="148" spans="1:31" x14ac:dyDescent="0.3">
      <c r="A148" s="2335" t="s">
        <v>480</v>
      </c>
      <c r="B148" s="2336"/>
      <c r="C148" s="2336"/>
      <c r="D148" s="2336"/>
      <c r="E148" s="2336"/>
      <c r="F148" s="2336"/>
      <c r="G148" s="2336"/>
      <c r="H148" s="2336"/>
      <c r="I148" s="2336"/>
      <c r="J148" s="2336"/>
      <c r="K148" s="2336"/>
      <c r="L148" s="2336"/>
      <c r="M148" s="2336"/>
      <c r="N148" s="2336"/>
      <c r="O148" s="2336"/>
      <c r="P148" s="2336"/>
      <c r="Q148" s="2336"/>
      <c r="R148" s="2337"/>
      <c r="S148" s="2498" t="s">
        <v>584</v>
      </c>
      <c r="T148" s="2499"/>
      <c r="U148" s="2499"/>
      <c r="V148" s="2499"/>
      <c r="W148" s="2499"/>
      <c r="X148" s="2499"/>
      <c r="Y148" s="2499"/>
      <c r="Z148" s="2499"/>
      <c r="AA148" s="2499"/>
      <c r="AB148" s="2499"/>
      <c r="AC148" s="2499"/>
      <c r="AD148" s="2499"/>
      <c r="AE148" s="2500"/>
    </row>
    <row r="149" spans="1:31" ht="69" x14ac:dyDescent="0.35">
      <c r="A149" s="2501" t="s">
        <v>482</v>
      </c>
      <c r="B149" s="2503" t="s">
        <v>483</v>
      </c>
      <c r="C149" s="2503" t="s">
        <v>484</v>
      </c>
      <c r="D149" s="2503" t="s">
        <v>485</v>
      </c>
      <c r="E149" s="2503" t="s">
        <v>486</v>
      </c>
      <c r="F149" s="2489" t="s">
        <v>487</v>
      </c>
      <c r="G149" s="2483" t="s">
        <v>488</v>
      </c>
      <c r="H149" s="2491" t="s">
        <v>489</v>
      </c>
      <c r="I149" s="2493" t="s">
        <v>490</v>
      </c>
      <c r="J149" s="2494"/>
      <c r="K149" s="2494"/>
      <c r="L149" s="2495"/>
      <c r="M149" s="2496" t="s">
        <v>863</v>
      </c>
      <c r="N149" s="2485" t="s">
        <v>864</v>
      </c>
      <c r="O149" s="2483" t="s">
        <v>865</v>
      </c>
      <c r="P149" s="2485" t="s">
        <v>866</v>
      </c>
      <c r="Q149" s="2485" t="s">
        <v>867</v>
      </c>
      <c r="R149" s="2487" t="s">
        <v>495</v>
      </c>
      <c r="S149" s="1006" t="s">
        <v>496</v>
      </c>
      <c r="T149" s="2389" t="s">
        <v>497</v>
      </c>
      <c r="U149" s="2389"/>
      <c r="V149" s="2389"/>
      <c r="W149" s="2389"/>
      <c r="X149" s="2389"/>
      <c r="Y149" s="2388" t="s">
        <v>498</v>
      </c>
      <c r="Z149" s="2390"/>
      <c r="AA149" s="2388" t="s">
        <v>499</v>
      </c>
      <c r="AB149" s="2389"/>
      <c r="AC149" s="2389"/>
      <c r="AD149" s="2389"/>
      <c r="AE149" s="2390"/>
    </row>
    <row r="150" spans="1:31" ht="18" x14ac:dyDescent="0.35">
      <c r="A150" s="2502"/>
      <c r="B150" s="2504"/>
      <c r="C150" s="2504"/>
      <c r="D150" s="2504"/>
      <c r="E150" s="2504"/>
      <c r="F150" s="2490"/>
      <c r="G150" s="2484"/>
      <c r="H150" s="2492"/>
      <c r="I150" s="1007" t="s">
        <v>500</v>
      </c>
      <c r="J150" s="1007" t="s">
        <v>501</v>
      </c>
      <c r="K150" s="1008" t="s">
        <v>502</v>
      </c>
      <c r="L150" s="1008" t="s">
        <v>503</v>
      </c>
      <c r="M150" s="2497"/>
      <c r="N150" s="2486"/>
      <c r="O150" s="2484"/>
      <c r="P150" s="2486"/>
      <c r="Q150" s="2486"/>
      <c r="R150" s="2488"/>
      <c r="S150" s="1009" t="s">
        <v>508</v>
      </c>
      <c r="T150" s="2392"/>
      <c r="U150" s="2392"/>
      <c r="V150" s="2392"/>
      <c r="W150" s="2392"/>
      <c r="X150" s="2392"/>
      <c r="Y150" s="2391"/>
      <c r="Z150" s="2393"/>
      <c r="AA150" s="2391"/>
      <c r="AB150" s="2392"/>
      <c r="AC150" s="2392"/>
      <c r="AD150" s="2392"/>
      <c r="AE150" s="2393"/>
    </row>
    <row r="151" spans="1:31" ht="15.6" x14ac:dyDescent="0.3">
      <c r="A151" s="2478" t="s">
        <v>568</v>
      </c>
      <c r="B151" s="2479"/>
      <c r="C151" s="2479"/>
      <c r="D151" s="2479"/>
      <c r="E151" s="2479"/>
      <c r="F151" s="2479"/>
      <c r="G151" s="2479"/>
      <c r="H151" s="2479"/>
      <c r="I151" s="2479"/>
      <c r="J151" s="2479"/>
      <c r="K151" s="2479"/>
      <c r="L151" s="2479"/>
      <c r="M151" s="2479"/>
      <c r="N151" s="2479"/>
      <c r="O151" s="2479"/>
      <c r="P151" s="2479"/>
      <c r="Q151" s="2479"/>
      <c r="R151" s="2479"/>
      <c r="S151" s="870"/>
      <c r="T151" s="716" t="s">
        <v>510</v>
      </c>
      <c r="U151" s="871" t="s">
        <v>11</v>
      </c>
      <c r="V151" s="871" t="s">
        <v>511</v>
      </c>
      <c r="W151" s="871" t="s">
        <v>512</v>
      </c>
      <c r="X151" s="873" t="s">
        <v>513</v>
      </c>
      <c r="Y151" s="872" t="s">
        <v>514</v>
      </c>
      <c r="Z151" s="873" t="s">
        <v>515</v>
      </c>
      <c r="AA151" s="716" t="s">
        <v>868</v>
      </c>
      <c r="AB151" s="871" t="s">
        <v>159</v>
      </c>
      <c r="AC151" s="871" t="s">
        <v>160</v>
      </c>
      <c r="AD151" s="871" t="s">
        <v>3</v>
      </c>
      <c r="AE151" s="873" t="s">
        <v>0</v>
      </c>
    </row>
    <row r="152" spans="1:31" ht="15.6" x14ac:dyDescent="0.3">
      <c r="A152" s="874"/>
      <c r="B152" s="875"/>
      <c r="C152" s="875"/>
      <c r="D152" s="876"/>
      <c r="E152" s="876"/>
      <c r="F152" s="877"/>
      <c r="G152" s="876"/>
      <c r="H152" s="876"/>
      <c r="I152" s="878"/>
      <c r="J152" s="1010"/>
      <c r="K152" s="879"/>
      <c r="L152" s="880"/>
      <c r="M152" s="881"/>
      <c r="N152" s="882"/>
      <c r="O152" s="881"/>
      <c r="P152" s="883"/>
      <c r="Q152" s="884"/>
      <c r="R152" s="885"/>
      <c r="S152" s="886"/>
      <c r="T152" s="887"/>
      <c r="U152" s="7"/>
      <c r="V152" s="7"/>
      <c r="W152" s="7"/>
      <c r="X152" s="890"/>
      <c r="Y152" s="150"/>
      <c r="Z152" s="890"/>
      <c r="AA152" s="150"/>
      <c r="AB152" s="7"/>
      <c r="AC152" s="7"/>
      <c r="AD152" s="7"/>
      <c r="AE152" s="890"/>
    </row>
    <row r="153" spans="1:31" x14ac:dyDescent="0.3">
      <c r="A153" s="891" t="s">
        <v>869</v>
      </c>
      <c r="B153" s="902" t="s">
        <v>399</v>
      </c>
      <c r="C153" s="902" t="s">
        <v>873</v>
      </c>
      <c r="D153" s="902" t="s">
        <v>161</v>
      </c>
      <c r="E153" s="902" t="s">
        <v>518</v>
      </c>
      <c r="F153" s="903" t="s">
        <v>877</v>
      </c>
      <c r="G153" s="902">
        <v>13</v>
      </c>
      <c r="H153" s="902" t="s">
        <v>22</v>
      </c>
      <c r="I153" s="1011">
        <v>13</v>
      </c>
      <c r="J153" s="904">
        <v>13</v>
      </c>
      <c r="K153" s="907"/>
      <c r="L153" s="907"/>
      <c r="M153" s="896">
        <v>2</v>
      </c>
      <c r="N153" s="909">
        <v>1480</v>
      </c>
      <c r="O153" s="910">
        <v>0.5</v>
      </c>
      <c r="P153" s="909">
        <f>N153*(1-O153)</f>
        <v>740</v>
      </c>
      <c r="Q153" s="897">
        <f>P153*G153*M153</f>
        <v>19240</v>
      </c>
      <c r="R153" s="899">
        <f>Q153/Q161</f>
        <v>0.1856512073118014</v>
      </c>
      <c r="S153" s="900">
        <f>Q153*3</f>
        <v>57720</v>
      </c>
      <c r="T153" s="901"/>
      <c r="U153" s="7">
        <f>S153</f>
        <v>57720</v>
      </c>
      <c r="V153" s="7"/>
      <c r="W153" s="7"/>
      <c r="X153" s="890"/>
      <c r="Y153" s="150"/>
      <c r="Z153" s="890">
        <f>S153</f>
        <v>57720</v>
      </c>
      <c r="AA153" s="150"/>
      <c r="AB153" s="7">
        <f>S153</f>
        <v>57720</v>
      </c>
      <c r="AC153" s="7"/>
      <c r="AD153" s="7"/>
      <c r="AE153" s="890"/>
    </row>
    <row r="154" spans="1:31" x14ac:dyDescent="0.3">
      <c r="A154" s="891" t="s">
        <v>869</v>
      </c>
      <c r="B154" s="902" t="s">
        <v>401</v>
      </c>
      <c r="C154" s="902" t="s">
        <v>871</v>
      </c>
      <c r="D154" s="902" t="s">
        <v>403</v>
      </c>
      <c r="E154" s="902" t="s">
        <v>520</v>
      </c>
      <c r="F154" s="903" t="s">
        <v>638</v>
      </c>
      <c r="G154" s="902">
        <v>10</v>
      </c>
      <c r="H154" s="902" t="s">
        <v>22</v>
      </c>
      <c r="I154" s="13"/>
      <c r="J154" s="13"/>
      <c r="K154" s="905">
        <v>10</v>
      </c>
      <c r="L154" s="907"/>
      <c r="M154" s="896">
        <v>1</v>
      </c>
      <c r="N154" s="909">
        <v>5000</v>
      </c>
      <c r="O154" s="910">
        <v>0.32</v>
      </c>
      <c r="P154" s="909">
        <f>N154*(1-O154)</f>
        <v>3399.9999999999995</v>
      </c>
      <c r="Q154" s="897">
        <f>P154*G154*M154</f>
        <v>33999.999999999993</v>
      </c>
      <c r="R154" s="967">
        <f>Q154/Q161</f>
        <v>0.32807385907490882</v>
      </c>
      <c r="S154" s="900">
        <f t="shared" ref="S154:S159" si="32">Q154*3</f>
        <v>101999.99999999997</v>
      </c>
      <c r="T154" s="901"/>
      <c r="U154" s="7">
        <f>S154</f>
        <v>101999.99999999997</v>
      </c>
      <c r="V154" s="7"/>
      <c r="W154" s="7"/>
      <c r="X154" s="890"/>
      <c r="Y154" s="150">
        <f>S154</f>
        <v>101999.99999999997</v>
      </c>
      <c r="Z154" s="890"/>
      <c r="AA154" s="150"/>
      <c r="AB154" s="7"/>
      <c r="AC154" s="7">
        <f>S154</f>
        <v>101999.99999999997</v>
      </c>
      <c r="AD154" s="7"/>
      <c r="AE154" s="890"/>
    </row>
    <row r="155" spans="1:31" x14ac:dyDescent="0.3">
      <c r="A155" s="891" t="s">
        <v>869</v>
      </c>
      <c r="B155" s="902" t="s">
        <v>401</v>
      </c>
      <c r="C155" s="902" t="s">
        <v>873</v>
      </c>
      <c r="D155" s="902" t="s">
        <v>161</v>
      </c>
      <c r="E155" s="902" t="s">
        <v>697</v>
      </c>
      <c r="F155" s="903" t="s">
        <v>877</v>
      </c>
      <c r="G155" s="902">
        <v>8</v>
      </c>
      <c r="H155" s="902" t="s">
        <v>24</v>
      </c>
      <c r="I155" s="908">
        <v>8</v>
      </c>
      <c r="J155" s="895"/>
      <c r="K155" s="895"/>
      <c r="L155" s="2480"/>
      <c r="M155" s="896">
        <v>1</v>
      </c>
      <c r="N155" s="909">
        <v>6000</v>
      </c>
      <c r="O155" s="910">
        <v>0.43</v>
      </c>
      <c r="P155" s="909">
        <f t="shared" ref="P155:P156" si="33">N155*(1-O155)</f>
        <v>3420.0000000000005</v>
      </c>
      <c r="Q155" s="909">
        <f>P155*G155*M155</f>
        <v>27360.000000000004</v>
      </c>
      <c r="R155" s="911">
        <f>Q155/Q161</f>
        <v>0.26400296424380909</v>
      </c>
      <c r="S155" s="900">
        <f t="shared" si="32"/>
        <v>82080.000000000015</v>
      </c>
      <c r="T155" s="901"/>
      <c r="U155" s="7">
        <f>S155</f>
        <v>82080.000000000015</v>
      </c>
      <c r="V155" s="7"/>
      <c r="W155" s="7"/>
      <c r="X155" s="890"/>
      <c r="Y155" s="150">
        <f t="shared" ref="Y155:Y156" si="34">S155</f>
        <v>82080.000000000015</v>
      </c>
      <c r="Z155" s="890"/>
      <c r="AA155" s="150"/>
      <c r="AB155" s="7"/>
      <c r="AC155" s="7">
        <f>S155</f>
        <v>82080.000000000015</v>
      </c>
      <c r="AD155" s="7"/>
      <c r="AE155" s="890"/>
    </row>
    <row r="156" spans="1:31" x14ac:dyDescent="0.3">
      <c r="A156" s="891" t="s">
        <v>869</v>
      </c>
      <c r="B156" s="902" t="s">
        <v>157</v>
      </c>
      <c r="C156" s="902" t="s">
        <v>873</v>
      </c>
      <c r="D156" s="902" t="s">
        <v>161</v>
      </c>
      <c r="E156" s="902" t="s">
        <v>520</v>
      </c>
      <c r="F156" s="903" t="s">
        <v>877</v>
      </c>
      <c r="G156" s="902">
        <v>8</v>
      </c>
      <c r="H156" s="902" t="s">
        <v>22</v>
      </c>
      <c r="I156" s="13"/>
      <c r="J156" s="905">
        <v>8</v>
      </c>
      <c r="K156" s="895">
        <v>8</v>
      </c>
      <c r="L156" s="11"/>
      <c r="M156" s="896">
        <v>2</v>
      </c>
      <c r="N156" s="909">
        <v>1960</v>
      </c>
      <c r="O156" s="910">
        <v>0.68</v>
      </c>
      <c r="P156" s="909">
        <f t="shared" si="33"/>
        <v>627.19999999999993</v>
      </c>
      <c r="Q156" s="909">
        <f>P156*G156*M156</f>
        <v>10035.199999999999</v>
      </c>
      <c r="R156" s="911">
        <f>Q156/Q161</f>
        <v>9.6831964429074283E-2</v>
      </c>
      <c r="S156" s="900">
        <f t="shared" si="32"/>
        <v>30105.599999999999</v>
      </c>
      <c r="T156" s="901"/>
      <c r="U156" s="7">
        <f>S156</f>
        <v>30105.599999999999</v>
      </c>
      <c r="V156" s="7"/>
      <c r="W156" s="7"/>
      <c r="X156" s="890"/>
      <c r="Y156" s="150">
        <f t="shared" si="34"/>
        <v>30105.599999999999</v>
      </c>
      <c r="Z156" s="890"/>
      <c r="AA156" s="150"/>
      <c r="AB156" s="7"/>
      <c r="AC156" s="7"/>
      <c r="AD156" s="7"/>
      <c r="AE156" s="890">
        <f>S156</f>
        <v>30105.599999999999</v>
      </c>
    </row>
    <row r="157" spans="1:31" x14ac:dyDescent="0.3">
      <c r="A157" s="891"/>
      <c r="B157" s="902"/>
      <c r="C157" s="902"/>
      <c r="D157" s="902"/>
      <c r="E157" s="902"/>
      <c r="F157" s="903"/>
      <c r="G157" s="902"/>
      <c r="H157" s="902"/>
      <c r="I157" s="914"/>
      <c r="J157" s="914"/>
      <c r="K157" s="912"/>
      <c r="L157" s="912"/>
      <c r="M157" s="896"/>
      <c r="N157" s="909"/>
      <c r="O157" s="910"/>
      <c r="P157" s="909"/>
      <c r="Q157" s="909"/>
      <c r="R157" s="913"/>
      <c r="S157" s="900">
        <f t="shared" si="32"/>
        <v>0</v>
      </c>
      <c r="T157" s="901"/>
      <c r="U157" s="7"/>
      <c r="V157" s="7">
        <f>S157</f>
        <v>0</v>
      </c>
      <c r="W157" s="7"/>
      <c r="X157" s="890"/>
      <c r="Y157" s="150"/>
      <c r="Z157" s="890"/>
      <c r="AA157" s="150"/>
      <c r="AB157" s="7"/>
      <c r="AC157" s="7"/>
      <c r="AD157" s="7"/>
      <c r="AE157" s="890"/>
    </row>
    <row r="158" spans="1:31" x14ac:dyDescent="0.3">
      <c r="A158" s="915" t="s">
        <v>869</v>
      </c>
      <c r="B158" s="916" t="s">
        <v>528</v>
      </c>
      <c r="C158" s="916"/>
      <c r="D158" s="916"/>
      <c r="E158" s="916"/>
      <c r="F158" s="917"/>
      <c r="G158" s="916"/>
      <c r="H158" s="916"/>
      <c r="I158" s="918"/>
      <c r="J158" s="918"/>
      <c r="K158" s="919"/>
      <c r="L158" s="919"/>
      <c r="M158" s="920"/>
      <c r="N158" s="921"/>
      <c r="O158" s="922"/>
      <c r="P158" s="921"/>
      <c r="Q158" s="921">
        <v>0</v>
      </c>
      <c r="R158" s="923">
        <f>Q158/Q161</f>
        <v>0</v>
      </c>
      <c r="S158" s="900">
        <f t="shared" si="32"/>
        <v>0</v>
      </c>
      <c r="T158" s="901"/>
      <c r="U158" s="7"/>
      <c r="V158" s="7"/>
      <c r="W158" s="7"/>
      <c r="X158" s="890"/>
      <c r="Y158" s="150"/>
      <c r="Z158" s="890"/>
      <c r="AA158" s="150"/>
      <c r="AB158" s="7"/>
      <c r="AC158" s="7"/>
      <c r="AD158" s="7"/>
      <c r="AE158" s="890"/>
    </row>
    <row r="159" spans="1:31" x14ac:dyDescent="0.3">
      <c r="A159" s="915" t="s">
        <v>869</v>
      </c>
      <c r="B159" s="916" t="s">
        <v>529</v>
      </c>
      <c r="C159" s="916"/>
      <c r="D159" s="916"/>
      <c r="E159" s="916"/>
      <c r="F159" s="917"/>
      <c r="G159" s="916"/>
      <c r="H159" s="916"/>
      <c r="I159" s="924"/>
      <c r="J159" s="924"/>
      <c r="K159" s="924"/>
      <c r="L159" s="924"/>
      <c r="M159" s="916"/>
      <c r="N159" s="925"/>
      <c r="O159" s="916"/>
      <c r="P159" s="925"/>
      <c r="Q159" s="926">
        <v>13000</v>
      </c>
      <c r="R159" s="927">
        <f>Q159/Q161</f>
        <v>0.12544000494040636</v>
      </c>
      <c r="S159" s="900">
        <f t="shared" si="32"/>
        <v>39000</v>
      </c>
      <c r="T159" s="928"/>
      <c r="U159" s="7"/>
      <c r="V159" s="7"/>
      <c r="W159" s="7"/>
      <c r="X159" s="890">
        <f>S159</f>
        <v>39000</v>
      </c>
      <c r="Y159" s="150"/>
      <c r="Z159" s="890"/>
      <c r="AA159" s="150"/>
      <c r="AB159" s="7"/>
      <c r="AC159" s="7"/>
      <c r="AD159" s="7"/>
      <c r="AE159" s="890"/>
    </row>
    <row r="160" spans="1:31" x14ac:dyDescent="0.3">
      <c r="A160" s="929"/>
      <c r="B160" s="10"/>
      <c r="C160" s="10"/>
      <c r="D160" s="10"/>
      <c r="E160" s="10"/>
      <c r="F160" s="930"/>
      <c r="G160" s="10"/>
      <c r="H160" s="10"/>
      <c r="I160" s="1684">
        <f>I161/$M$161</f>
        <v>0.35</v>
      </c>
      <c r="J160" s="1684">
        <f t="shared" ref="J160:L160" si="35">J161/$M$161</f>
        <v>0.35</v>
      </c>
      <c r="K160" s="1684">
        <f t="shared" si="35"/>
        <v>0.3</v>
      </c>
      <c r="L160" s="10">
        <f t="shared" si="35"/>
        <v>0</v>
      </c>
      <c r="M160" s="10"/>
      <c r="N160" s="931"/>
      <c r="O160" s="10"/>
      <c r="P160" s="931"/>
      <c r="Q160" s="932"/>
      <c r="R160" s="933"/>
      <c r="S160" s="934"/>
      <c r="T160" s="935"/>
      <c r="U160" s="650"/>
      <c r="V160" s="650"/>
      <c r="W160" s="650"/>
      <c r="X160" s="937"/>
      <c r="Y160" s="578"/>
      <c r="Z160" s="937"/>
      <c r="AA160" s="578"/>
      <c r="AB160" s="650"/>
      <c r="AC160" s="650"/>
      <c r="AD160" s="650"/>
      <c r="AE160" s="937"/>
    </row>
    <row r="161" spans="1:31" x14ac:dyDescent="0.3">
      <c r="A161" s="1012" t="s">
        <v>531</v>
      </c>
      <c r="B161" s="1013"/>
      <c r="C161" s="1013"/>
      <c r="D161" s="1013"/>
      <c r="E161" s="1013"/>
      <c r="F161" s="1014"/>
      <c r="G161" s="1013"/>
      <c r="H161" s="1013"/>
      <c r="I161" s="1015">
        <f>I155+I153</f>
        <v>21</v>
      </c>
      <c r="J161" s="1016">
        <f>J156+J153</f>
        <v>21</v>
      </c>
      <c r="K161" s="1015">
        <f>K156+K154</f>
        <v>18</v>
      </c>
      <c r="L161" s="1015"/>
      <c r="M161" s="1015">
        <f>SUM(I161:L161)</f>
        <v>60</v>
      </c>
      <c r="N161" s="1017"/>
      <c r="O161" s="1013"/>
      <c r="P161" s="1017"/>
      <c r="Q161" s="1018">
        <f>SUM(Q152:Q160)</f>
        <v>103635.2</v>
      </c>
      <c r="R161" s="1019">
        <f>SUM(R152:R160)</f>
        <v>1</v>
      </c>
      <c r="S161" s="1020">
        <f>SUM(S153:S159)</f>
        <v>310905.59999999998</v>
      </c>
      <c r="T161" s="1021"/>
      <c r="U161" s="652">
        <f>SUM(U152:U160)</f>
        <v>271905.59999999998</v>
      </c>
      <c r="V161" s="652"/>
      <c r="W161" s="652"/>
      <c r="X161" s="654">
        <f t="shared" ref="X161:AE161" si="36">SUM(X152:X160)</f>
        <v>39000</v>
      </c>
      <c r="Y161" s="754">
        <f t="shared" si="36"/>
        <v>214185.60000000001</v>
      </c>
      <c r="Z161" s="654">
        <f t="shared" si="36"/>
        <v>57720</v>
      </c>
      <c r="AA161" s="754">
        <f t="shared" si="36"/>
        <v>0</v>
      </c>
      <c r="AB161" s="652">
        <f t="shared" si="36"/>
        <v>57720</v>
      </c>
      <c r="AC161" s="652">
        <f t="shared" si="36"/>
        <v>184080</v>
      </c>
      <c r="AD161" s="652">
        <f t="shared" si="36"/>
        <v>0</v>
      </c>
      <c r="AE161" s="654">
        <f t="shared" si="36"/>
        <v>30105.599999999999</v>
      </c>
    </row>
    <row r="162" spans="1:31" x14ac:dyDescent="0.3">
      <c r="A162" s="1022" t="s">
        <v>532</v>
      </c>
      <c r="B162" s="1023"/>
      <c r="C162" s="1023"/>
      <c r="D162" s="1023"/>
      <c r="E162" s="1023"/>
      <c r="F162" s="1024"/>
      <c r="G162" s="1023"/>
      <c r="H162" s="1023"/>
      <c r="I162" s="1025">
        <f>I155+I153</f>
        <v>21</v>
      </c>
      <c r="J162" s="1025">
        <f>J156+I155+J153</f>
        <v>29</v>
      </c>
      <c r="K162" s="1025">
        <f>K156+I155+K154</f>
        <v>26</v>
      </c>
      <c r="L162" s="1025"/>
      <c r="M162" s="1026">
        <f>I162+J162+K162+L165+L162</f>
        <v>76</v>
      </c>
      <c r="N162" s="1027"/>
      <c r="O162" s="1023"/>
      <c r="P162" s="1027"/>
      <c r="Q162" s="1028"/>
      <c r="R162" s="1029"/>
      <c r="S162" s="1030"/>
      <c r="T162" s="1031"/>
      <c r="U162" s="1032"/>
      <c r="V162" s="1032"/>
      <c r="W162" s="1032"/>
      <c r="X162" s="1033"/>
      <c r="Y162" s="1034"/>
      <c r="Z162" s="1033"/>
      <c r="AA162" s="1034"/>
      <c r="AB162" s="1032"/>
      <c r="AC162" s="1032"/>
      <c r="AD162" s="1032"/>
      <c r="AE162" s="1033"/>
    </row>
    <row r="163" spans="1:31" x14ac:dyDescent="0.3">
      <c r="A163" s="251" t="s">
        <v>533</v>
      </c>
      <c r="B163" s="252"/>
      <c r="C163" s="252"/>
      <c r="D163" s="252"/>
      <c r="E163" s="252"/>
      <c r="F163" s="253"/>
      <c r="G163" s="252"/>
      <c r="H163" s="252"/>
      <c r="I163" s="2188">
        <f>I162/$M$162</f>
        <v>0.27631578947368424</v>
      </c>
      <c r="J163" s="2188">
        <f t="shared" ref="J163:L163" si="37">J162/$M$162</f>
        <v>0.38157894736842107</v>
      </c>
      <c r="K163" s="2188">
        <f t="shared" si="37"/>
        <v>0.34210526315789475</v>
      </c>
      <c r="L163" s="254">
        <f t="shared" si="37"/>
        <v>0</v>
      </c>
      <c r="M163" s="252"/>
      <c r="N163" s="255"/>
      <c r="O163" s="255"/>
      <c r="P163" s="256"/>
      <c r="Q163" s="255"/>
      <c r="R163" s="257">
        <f>T161/3</f>
        <v>0</v>
      </c>
      <c r="Y163" s="971">
        <f>K154+I155+J156+K156</f>
        <v>34</v>
      </c>
      <c r="Z163" s="972">
        <f>I153+J153</f>
        <v>26</v>
      </c>
      <c r="AB163" s="962"/>
      <c r="AC163" s="7"/>
      <c r="AD163" s="7"/>
      <c r="AE163" s="7"/>
    </row>
    <row r="164" spans="1:31" x14ac:dyDescent="0.3">
      <c r="A164" s="251" t="s">
        <v>11</v>
      </c>
      <c r="B164" s="252"/>
      <c r="C164" s="252"/>
      <c r="D164" s="252"/>
      <c r="E164" s="252"/>
      <c r="F164" s="253"/>
      <c r="G164" s="252"/>
      <c r="H164" s="252"/>
      <c r="I164" s="254"/>
      <c r="J164" s="254"/>
      <c r="K164" s="254"/>
      <c r="L164" s="254"/>
      <c r="M164" s="252"/>
      <c r="N164" s="255"/>
      <c r="O164" s="255"/>
      <c r="P164" s="256"/>
      <c r="Q164" s="255"/>
      <c r="R164" s="257">
        <f>U161/3</f>
        <v>90635.199999999997</v>
      </c>
      <c r="S164" s="551">
        <f>Q161/M161</f>
        <v>1727.2533333333333</v>
      </c>
      <c r="T164" s="803" t="s">
        <v>535</v>
      </c>
      <c r="Y164" s="964">
        <f>Y163/M161</f>
        <v>0.56666666666666665</v>
      </c>
      <c r="Z164" s="323">
        <f>Z163/M161</f>
        <v>0.43333333333333335</v>
      </c>
      <c r="AC164" s="7"/>
      <c r="AD164" s="7"/>
      <c r="AE164" s="7"/>
    </row>
    <row r="165" spans="1:31" x14ac:dyDescent="0.3">
      <c r="A165" s="251" t="s">
        <v>536</v>
      </c>
      <c r="B165" s="252"/>
      <c r="C165" s="252"/>
      <c r="D165" s="252"/>
      <c r="E165" s="252"/>
      <c r="F165" s="253"/>
      <c r="G165" s="252"/>
      <c r="H165" s="252"/>
      <c r="I165" s="254"/>
      <c r="J165" s="254"/>
      <c r="K165" s="254"/>
      <c r="L165" s="254"/>
      <c r="M165" s="252"/>
      <c r="N165" s="255"/>
      <c r="O165" s="255"/>
      <c r="P165" s="256"/>
      <c r="Q165" s="255"/>
      <c r="R165" s="257"/>
      <c r="Y165" s="2481" t="s">
        <v>537</v>
      </c>
      <c r="Z165" s="2482"/>
      <c r="AC165" s="7"/>
      <c r="AD165" s="7"/>
      <c r="AE165" s="7"/>
    </row>
    <row r="166" spans="1:31" x14ac:dyDescent="0.3">
      <c r="A166" s="251" t="s">
        <v>529</v>
      </c>
      <c r="B166" s="252"/>
      <c r="C166" s="252"/>
      <c r="D166" s="252"/>
      <c r="E166" s="252"/>
      <c r="F166" s="253"/>
      <c r="G166" s="252"/>
      <c r="H166" s="252"/>
      <c r="I166" s="254"/>
      <c r="J166" s="254"/>
      <c r="K166" s="254"/>
      <c r="L166" s="254"/>
      <c r="M166" s="252"/>
      <c r="N166" s="255"/>
      <c r="O166" s="255"/>
      <c r="P166" s="256"/>
      <c r="Q166" s="255"/>
      <c r="R166" s="257">
        <f>X161/3</f>
        <v>13000</v>
      </c>
      <c r="AC166" s="7"/>
      <c r="AD166" s="7"/>
      <c r="AE166" s="7"/>
    </row>
    <row r="167" spans="1:31" x14ac:dyDescent="0.3">
      <c r="A167" s="251" t="s">
        <v>528</v>
      </c>
      <c r="B167" s="252"/>
      <c r="C167" s="252"/>
      <c r="D167" s="252"/>
      <c r="E167" s="252"/>
      <c r="F167" s="253"/>
      <c r="G167" s="252"/>
      <c r="H167" s="252"/>
      <c r="I167" s="254"/>
      <c r="J167" s="254"/>
      <c r="K167" s="254"/>
      <c r="L167" s="254"/>
      <c r="M167" s="252"/>
      <c r="N167" s="255"/>
      <c r="O167" s="255"/>
      <c r="P167" s="256"/>
      <c r="Q167" s="255"/>
      <c r="R167" s="257">
        <f>W161/3</f>
        <v>0</v>
      </c>
      <c r="AC167" s="7"/>
      <c r="AD167" s="7"/>
      <c r="AE167" s="7"/>
    </row>
    <row r="168" spans="1:31" x14ac:dyDescent="0.3">
      <c r="A168" s="251"/>
      <c r="B168" s="252"/>
      <c r="C168" s="252"/>
      <c r="D168" s="252"/>
      <c r="E168" s="252"/>
      <c r="F168" s="253"/>
      <c r="G168" s="252"/>
      <c r="H168" s="252"/>
      <c r="I168" s="254"/>
      <c r="J168" s="254"/>
      <c r="K168" s="254"/>
      <c r="L168" s="254"/>
      <c r="M168" s="252"/>
      <c r="N168" s="255"/>
      <c r="O168" s="255"/>
      <c r="P168" s="256"/>
      <c r="Q168" s="255"/>
      <c r="R168" s="264">
        <f>SUM(R163:R167)</f>
        <v>103635.2</v>
      </c>
      <c r="AC168" s="7"/>
      <c r="AD168" s="7"/>
      <c r="AE168" s="7"/>
    </row>
    <row r="169" spans="1:31" x14ac:dyDescent="0.3">
      <c r="P169" s="965"/>
      <c r="Q169" s="965"/>
    </row>
    <row r="170" spans="1:31" ht="15.6" x14ac:dyDescent="0.3">
      <c r="Z170" s="111">
        <f>SUM(AA171:AE171)</f>
        <v>2204615.3000000003</v>
      </c>
      <c r="AA170" s="716" t="s">
        <v>868</v>
      </c>
      <c r="AB170" s="871" t="s">
        <v>159</v>
      </c>
      <c r="AC170" s="871" t="s">
        <v>160</v>
      </c>
      <c r="AD170" s="871" t="s">
        <v>3</v>
      </c>
      <c r="AE170" s="873" t="s">
        <v>0</v>
      </c>
    </row>
    <row r="171" spans="1:31" ht="18" x14ac:dyDescent="0.35">
      <c r="A171" s="430" t="s">
        <v>569</v>
      </c>
      <c r="B171" s="431"/>
      <c r="C171" s="431"/>
      <c r="D171" s="432"/>
      <c r="E171" s="432"/>
      <c r="F171" s="433"/>
      <c r="G171" s="432"/>
      <c r="H171" s="432"/>
      <c r="I171" s="434"/>
      <c r="J171" s="434"/>
      <c r="K171" s="434"/>
      <c r="L171" s="434"/>
      <c r="M171" s="431"/>
      <c r="N171" s="435"/>
      <c r="O171" s="436"/>
      <c r="P171" s="435"/>
      <c r="Q171" s="435"/>
      <c r="R171" s="436" t="s">
        <v>878</v>
      </c>
      <c r="S171" s="763">
        <f>S161+S131+S104+S71+S41</f>
        <v>2601565.2999999998</v>
      </c>
      <c r="Z171" s="137" t="s">
        <v>601</v>
      </c>
      <c r="AA171" s="1035">
        <f>AA161+AA131+AA104+AA71+AA41</f>
        <v>736007.7</v>
      </c>
      <c r="AB171" s="1035">
        <f t="shared" ref="AB171:AE171" si="38">AB161+AB131+AB104+AB71+AB41</f>
        <v>518820</v>
      </c>
      <c r="AC171" s="1035">
        <f t="shared" si="38"/>
        <v>787010</v>
      </c>
      <c r="AD171" s="1035">
        <f t="shared" si="38"/>
        <v>95040.000000000015</v>
      </c>
      <c r="AE171" s="1035">
        <f t="shared" si="38"/>
        <v>67737.599999999991</v>
      </c>
    </row>
    <row r="172" spans="1:31" x14ac:dyDescent="0.3">
      <c r="B172" s="1"/>
      <c r="C172" s="1"/>
      <c r="D172" s="1"/>
      <c r="E172" s="1"/>
      <c r="F172" s="2"/>
      <c r="G172" s="1"/>
      <c r="H172" s="1"/>
      <c r="M172" s="1"/>
      <c r="N172" s="99"/>
      <c r="O172" s="3"/>
      <c r="P172" s="99"/>
      <c r="Q172" s="99"/>
      <c r="R172" s="3" t="s">
        <v>571</v>
      </c>
      <c r="S172" s="98">
        <f>D12-S171</f>
        <v>-2442.2999999998137</v>
      </c>
    </row>
    <row r="173" spans="1:31" x14ac:dyDescent="0.3">
      <c r="B173" s="1"/>
      <c r="C173" s="1"/>
      <c r="D173" s="1"/>
      <c r="E173" s="1"/>
      <c r="F173" s="2"/>
      <c r="G173" s="1"/>
      <c r="H173" s="1"/>
      <c r="M173" s="1"/>
      <c r="N173" s="99"/>
      <c r="O173" s="3"/>
      <c r="P173" s="99"/>
      <c r="Q173" s="99"/>
      <c r="R173" s="3"/>
      <c r="S173" s="99"/>
    </row>
    <row r="174" spans="1:31" x14ac:dyDescent="0.3">
      <c r="B174" s="1"/>
      <c r="C174" s="1"/>
      <c r="D174" s="1"/>
      <c r="E174" s="1"/>
      <c r="F174" s="2"/>
      <c r="G174" s="1"/>
      <c r="H174" s="1"/>
      <c r="M174" s="1"/>
      <c r="N174" s="99"/>
      <c r="O174" s="3"/>
      <c r="P174" s="99"/>
      <c r="Q174" s="99"/>
      <c r="R174" s="3"/>
      <c r="S174" s="99"/>
    </row>
    <row r="175" spans="1:31" x14ac:dyDescent="0.3">
      <c r="B175" s="12"/>
    </row>
    <row r="176" spans="1:31" x14ac:dyDescent="0.3">
      <c r="B176" s="14"/>
      <c r="C176" s="1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64"/>
  <sheetViews>
    <sheetView topLeftCell="A14" workbookViewId="0">
      <selection activeCell="H35" sqref="H35:H38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394</v>
      </c>
      <c r="C2" t="s">
        <v>395</v>
      </c>
      <c r="D2" t="s">
        <v>396</v>
      </c>
      <c r="E2" s="32" t="s">
        <v>23</v>
      </c>
      <c r="F2" s="32" t="s">
        <v>397</v>
      </c>
      <c r="G2" s="2191">
        <v>2</v>
      </c>
      <c r="H2" s="2186">
        <f>VLOOKUP(G2,Pesos!A:B,2,0)</f>
        <v>0.8</v>
      </c>
      <c r="I2" s="1"/>
      <c r="J2" s="1" t="s">
        <v>305</v>
      </c>
      <c r="K2" s="1">
        <v>1</v>
      </c>
      <c r="L2" s="1">
        <v>1</v>
      </c>
      <c r="M2" s="32">
        <v>1</v>
      </c>
      <c r="N2" s="34" t="s">
        <v>22</v>
      </c>
      <c r="O2" s="33"/>
      <c r="P2" s="74">
        <v>1</v>
      </c>
      <c r="Q2" s="1"/>
      <c r="R2" s="1"/>
      <c r="S2" s="1">
        <v>1</v>
      </c>
      <c r="T2" s="75">
        <v>113400</v>
      </c>
      <c r="U2" s="41">
        <v>0.3</v>
      </c>
      <c r="V2" s="25">
        <f>T2*(1-U2)</f>
        <v>79380</v>
      </c>
      <c r="W2" s="25">
        <f>V2*S2*M2</f>
        <v>79380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394</v>
      </c>
      <c r="C3" t="s">
        <v>395</v>
      </c>
      <c r="D3" t="s">
        <v>396</v>
      </c>
      <c r="E3" s="13" t="s">
        <v>23</v>
      </c>
      <c r="F3" s="13" t="s">
        <v>398</v>
      </c>
      <c r="G3" s="2192">
        <v>6</v>
      </c>
      <c r="H3" s="2186">
        <f>VLOOKUP(G3,Pesos!A:B,2,0)</f>
        <v>0.4</v>
      </c>
      <c r="J3" s="1" t="s">
        <v>305</v>
      </c>
      <c r="K3" s="1">
        <v>10</v>
      </c>
      <c r="L3" s="1">
        <v>25</v>
      </c>
      <c r="M3" s="13">
        <v>15</v>
      </c>
      <c r="N3" s="13" t="s">
        <v>22</v>
      </c>
      <c r="O3" s="13">
        <v>15</v>
      </c>
      <c r="P3" s="13">
        <v>15</v>
      </c>
      <c r="S3" s="1">
        <v>2</v>
      </c>
      <c r="T3" s="75">
        <v>3326</v>
      </c>
      <c r="U3" s="41">
        <v>0.55000000000000004</v>
      </c>
      <c r="V3" s="26">
        <f>T3*(1-U3)</f>
        <v>1496.6999999999998</v>
      </c>
      <c r="W3" s="26">
        <f>V3*S3*M3</f>
        <v>44900.999999999993</v>
      </c>
      <c r="X3" s="6"/>
      <c r="Y3" s="22"/>
      <c r="Z3" s="1"/>
    </row>
    <row r="4" spans="1:32" x14ac:dyDescent="0.3">
      <c r="A4" t="s">
        <v>327</v>
      </c>
      <c r="B4" t="s">
        <v>394</v>
      </c>
      <c r="C4" t="s">
        <v>395</v>
      </c>
      <c r="D4" t="s">
        <v>396</v>
      </c>
      <c r="E4" s="13" t="s">
        <v>399</v>
      </c>
      <c r="F4" s="13" t="s">
        <v>400</v>
      </c>
      <c r="G4" s="2192">
        <v>3</v>
      </c>
      <c r="H4" s="2186">
        <f>VLOOKUP(G4,Pesos!A:B,2,0)</f>
        <v>0.7</v>
      </c>
      <c r="J4" s="1" t="s">
        <v>305</v>
      </c>
      <c r="K4" s="1">
        <v>1</v>
      </c>
      <c r="L4" s="1">
        <v>1</v>
      </c>
      <c r="M4" s="13">
        <v>1</v>
      </c>
      <c r="N4" s="13" t="s">
        <v>22</v>
      </c>
      <c r="O4" s="13"/>
      <c r="P4" s="13"/>
      <c r="Q4" s="1">
        <v>1</v>
      </c>
      <c r="S4" s="1">
        <v>1</v>
      </c>
      <c r="T4" s="75">
        <v>65000</v>
      </c>
      <c r="U4" s="41">
        <v>0.5</v>
      </c>
      <c r="V4" s="26">
        <f t="shared" ref="V4" si="0">T4*(1-U4)</f>
        <v>32500</v>
      </c>
      <c r="W4" s="26">
        <f>V4*S4*M4</f>
        <v>32500</v>
      </c>
      <c r="X4" s="6"/>
      <c r="Y4" s="22"/>
      <c r="Z4" s="1"/>
    </row>
    <row r="5" spans="1:32" x14ac:dyDescent="0.3">
      <c r="A5" t="s">
        <v>327</v>
      </c>
      <c r="B5" t="s">
        <v>394</v>
      </c>
      <c r="C5" t="s">
        <v>395</v>
      </c>
      <c r="D5" t="s">
        <v>396</v>
      </c>
      <c r="E5" s="13" t="s">
        <v>399</v>
      </c>
      <c r="F5" s="13" t="s">
        <v>29</v>
      </c>
      <c r="G5" s="2192">
        <v>5</v>
      </c>
      <c r="H5" s="2186">
        <f>VLOOKUP(G5,Pesos!A:B,2,0)</f>
        <v>0.5</v>
      </c>
      <c r="J5" s="1" t="s">
        <v>305</v>
      </c>
      <c r="K5" s="1">
        <v>1</v>
      </c>
      <c r="L5" s="1">
        <v>3</v>
      </c>
      <c r="M5" s="13">
        <v>1</v>
      </c>
      <c r="N5" s="13" t="s">
        <v>22</v>
      </c>
      <c r="O5" s="13">
        <v>1</v>
      </c>
      <c r="P5" s="13"/>
      <c r="R5" s="1">
        <v>1</v>
      </c>
      <c r="S5" s="1">
        <v>2</v>
      </c>
      <c r="T5" s="75">
        <v>65000</v>
      </c>
      <c r="U5" s="41">
        <v>0.5</v>
      </c>
      <c r="V5" s="26">
        <f>T5*(1-U5)</f>
        <v>32500</v>
      </c>
      <c r="W5" s="26">
        <f>V5*S5*M5</f>
        <v>65000</v>
      </c>
      <c r="X5" s="18"/>
      <c r="Y5" s="22"/>
      <c r="Z5" s="1"/>
    </row>
    <row r="6" spans="1:32" x14ac:dyDescent="0.3">
      <c r="A6" t="s">
        <v>327</v>
      </c>
      <c r="B6" t="s">
        <v>394</v>
      </c>
      <c r="C6" t="s">
        <v>395</v>
      </c>
      <c r="D6" t="s">
        <v>396</v>
      </c>
      <c r="E6" s="13" t="s">
        <v>399</v>
      </c>
      <c r="F6" s="13" t="s">
        <v>161</v>
      </c>
      <c r="G6" s="2192">
        <v>1</v>
      </c>
      <c r="H6" s="2186">
        <f>VLOOKUP(G6,Pesos!A:B,2,0)</f>
        <v>0.9</v>
      </c>
      <c r="J6" s="1" t="s">
        <v>305</v>
      </c>
      <c r="K6" s="1">
        <v>10</v>
      </c>
      <c r="L6" s="1">
        <v>30</v>
      </c>
      <c r="M6" s="13">
        <v>25</v>
      </c>
      <c r="N6" s="13" t="s">
        <v>22</v>
      </c>
      <c r="O6" s="13">
        <v>25</v>
      </c>
      <c r="P6" s="13"/>
      <c r="S6" s="1">
        <v>1</v>
      </c>
      <c r="T6" s="76">
        <v>1480</v>
      </c>
      <c r="U6" s="42">
        <v>0.5</v>
      </c>
      <c r="V6" s="26">
        <f>T6*(1-U6)</f>
        <v>740</v>
      </c>
      <c r="W6" s="26">
        <f>V6*S6*M6</f>
        <v>18500</v>
      </c>
      <c r="X6" s="6"/>
      <c r="Y6" s="22"/>
      <c r="Z6" s="1"/>
    </row>
    <row r="7" spans="1:32" x14ac:dyDescent="0.3">
      <c r="A7" t="s">
        <v>327</v>
      </c>
      <c r="B7" t="s">
        <v>394</v>
      </c>
      <c r="C7" t="s">
        <v>395</v>
      </c>
      <c r="D7" t="s">
        <v>396</v>
      </c>
      <c r="E7" s="13" t="s">
        <v>401</v>
      </c>
      <c r="F7" s="13" t="s">
        <v>161</v>
      </c>
      <c r="G7" s="2192">
        <v>1</v>
      </c>
      <c r="H7" s="2186">
        <f>VLOOKUP(G7,Pesos!A:B,2,0)</f>
        <v>0.9</v>
      </c>
      <c r="I7" s="1" t="s">
        <v>305</v>
      </c>
      <c r="K7" s="1">
        <v>10</v>
      </c>
      <c r="L7" s="1">
        <v>30</v>
      </c>
      <c r="M7" s="13">
        <v>14</v>
      </c>
      <c r="N7" s="13" t="s">
        <v>24</v>
      </c>
      <c r="O7" s="13">
        <v>14</v>
      </c>
      <c r="P7" s="13"/>
      <c r="S7" s="1">
        <v>1</v>
      </c>
      <c r="T7" s="76">
        <v>6000</v>
      </c>
      <c r="U7" s="42">
        <v>0.3</v>
      </c>
      <c r="V7" s="26">
        <f t="shared" ref="V7:V17" si="1">T7*(1-U7)</f>
        <v>4200</v>
      </c>
      <c r="W7" s="26">
        <f t="shared" ref="W7:W38" si="2">V7*S7*M7</f>
        <v>58800</v>
      </c>
      <c r="X7" s="6"/>
      <c r="Y7" s="22"/>
      <c r="Z7" s="1"/>
    </row>
    <row r="8" spans="1:32" x14ac:dyDescent="0.3">
      <c r="A8" t="s">
        <v>327</v>
      </c>
      <c r="B8" t="s">
        <v>394</v>
      </c>
      <c r="C8" t="s">
        <v>395</v>
      </c>
      <c r="D8" t="s">
        <v>396</v>
      </c>
      <c r="E8" s="13" t="s">
        <v>401</v>
      </c>
      <c r="F8" s="13" t="s">
        <v>26</v>
      </c>
      <c r="G8" s="2192">
        <v>4</v>
      </c>
      <c r="H8" s="2186">
        <f>VLOOKUP(G8,Pesos!A:B,2,0)</f>
        <v>0.6</v>
      </c>
      <c r="I8" s="1" t="s">
        <v>305</v>
      </c>
      <c r="K8" s="1">
        <v>3</v>
      </c>
      <c r="L8" s="1">
        <v>7</v>
      </c>
      <c r="M8" s="13">
        <v>5</v>
      </c>
      <c r="N8" s="13" t="s">
        <v>24</v>
      </c>
      <c r="O8" s="13">
        <v>5</v>
      </c>
      <c r="P8" s="13"/>
      <c r="S8" s="1">
        <v>1</v>
      </c>
      <c r="T8" s="76">
        <v>15500</v>
      </c>
      <c r="U8" s="42">
        <v>0.7</v>
      </c>
      <c r="V8" s="26">
        <f t="shared" si="1"/>
        <v>4650.0000000000009</v>
      </c>
      <c r="W8" s="26">
        <f t="shared" si="2"/>
        <v>23250.000000000004</v>
      </c>
      <c r="X8" s="6"/>
      <c r="Y8" s="22"/>
      <c r="Z8" s="1"/>
    </row>
    <row r="9" spans="1:32" x14ac:dyDescent="0.3">
      <c r="G9" s="2186"/>
      <c r="H9" s="2186"/>
      <c r="M9" s="13"/>
      <c r="N9" s="77"/>
      <c r="O9" s="13"/>
      <c r="P9" s="13"/>
      <c r="T9" s="78"/>
      <c r="U9" s="24"/>
      <c r="V9" s="26"/>
      <c r="W9" s="26"/>
      <c r="X9" s="6"/>
      <c r="Y9" s="22"/>
      <c r="Z9" s="1"/>
    </row>
    <row r="10" spans="1:32" x14ac:dyDescent="0.3">
      <c r="A10" t="s">
        <v>340</v>
      </c>
      <c r="B10" t="s">
        <v>394</v>
      </c>
      <c r="C10" t="s">
        <v>395</v>
      </c>
      <c r="D10" t="s">
        <v>396</v>
      </c>
      <c r="E10" s="13" t="s">
        <v>23</v>
      </c>
      <c r="F10" s="13" t="s">
        <v>402</v>
      </c>
      <c r="G10" s="2192">
        <v>4</v>
      </c>
      <c r="H10" s="2186">
        <f>VLOOKUP(G10,Pesos!A:B,2,0)</f>
        <v>0.6</v>
      </c>
      <c r="J10" s="1" t="s">
        <v>305</v>
      </c>
      <c r="K10" s="1">
        <v>1</v>
      </c>
      <c r="L10" s="1">
        <v>4</v>
      </c>
      <c r="M10" s="13">
        <v>1</v>
      </c>
      <c r="N10" s="13" t="s">
        <v>22</v>
      </c>
      <c r="O10" s="13">
        <v>1</v>
      </c>
      <c r="S10" s="1">
        <v>1</v>
      </c>
      <c r="T10" s="75">
        <v>35211</v>
      </c>
      <c r="U10" s="41">
        <v>0.3</v>
      </c>
      <c r="V10" s="26">
        <f t="shared" si="1"/>
        <v>24647.699999999997</v>
      </c>
      <c r="W10" s="26">
        <f t="shared" si="2"/>
        <v>24647.699999999997</v>
      </c>
      <c r="X10" s="6"/>
      <c r="Y10" s="22"/>
      <c r="Z10" s="1"/>
    </row>
    <row r="11" spans="1:32" x14ac:dyDescent="0.3">
      <c r="A11" t="s">
        <v>340</v>
      </c>
      <c r="B11" t="s">
        <v>394</v>
      </c>
      <c r="C11" t="s">
        <v>395</v>
      </c>
      <c r="D11" t="s">
        <v>396</v>
      </c>
      <c r="E11" s="13" t="s">
        <v>23</v>
      </c>
      <c r="F11" s="13" t="s">
        <v>398</v>
      </c>
      <c r="G11" s="2192">
        <v>2</v>
      </c>
      <c r="H11" s="2186">
        <f>VLOOKUP(G11,Pesos!A:B,2,0)</f>
        <v>0.8</v>
      </c>
      <c r="J11" s="1" t="s">
        <v>305</v>
      </c>
      <c r="K11" s="1">
        <v>10</v>
      </c>
      <c r="L11" s="1">
        <v>25</v>
      </c>
      <c r="M11" s="13">
        <v>13</v>
      </c>
      <c r="N11" s="13" t="s">
        <v>22</v>
      </c>
      <c r="O11" s="13">
        <v>13</v>
      </c>
      <c r="P11" s="13">
        <v>13</v>
      </c>
      <c r="S11" s="1">
        <v>2</v>
      </c>
      <c r="T11" s="75">
        <v>3326</v>
      </c>
      <c r="U11" s="41">
        <v>0.55000000000000004</v>
      </c>
      <c r="V11" s="26">
        <f t="shared" si="1"/>
        <v>1496.6999999999998</v>
      </c>
      <c r="W11" s="26">
        <f t="shared" si="2"/>
        <v>38914.199999999997</v>
      </c>
      <c r="X11" s="6"/>
      <c r="Y11" s="22"/>
      <c r="Z11" s="1"/>
    </row>
    <row r="12" spans="1:32" x14ac:dyDescent="0.3">
      <c r="A12" t="s">
        <v>340</v>
      </c>
      <c r="B12" t="s">
        <v>394</v>
      </c>
      <c r="C12" t="s">
        <v>395</v>
      </c>
      <c r="D12" t="s">
        <v>396</v>
      </c>
      <c r="E12" s="13" t="s">
        <v>399</v>
      </c>
      <c r="F12" s="13" t="s">
        <v>400</v>
      </c>
      <c r="G12" s="2192">
        <v>6</v>
      </c>
      <c r="H12" s="2186">
        <f>VLOOKUP(G12,Pesos!A:B,2,0)</f>
        <v>0.4</v>
      </c>
      <c r="J12" s="1" t="s">
        <v>305</v>
      </c>
      <c r="K12" s="1">
        <v>1</v>
      </c>
      <c r="L12" s="1">
        <v>4</v>
      </c>
      <c r="M12" s="13">
        <v>1</v>
      </c>
      <c r="N12" s="13" t="s">
        <v>22</v>
      </c>
      <c r="Q12" s="1">
        <v>1</v>
      </c>
      <c r="S12" s="1">
        <v>1</v>
      </c>
      <c r="T12" s="75">
        <v>65000</v>
      </c>
      <c r="U12" s="41">
        <v>0.5</v>
      </c>
      <c r="V12" s="26">
        <f t="shared" si="1"/>
        <v>32500</v>
      </c>
      <c r="W12" s="26">
        <f t="shared" si="2"/>
        <v>32500</v>
      </c>
      <c r="X12" s="6"/>
      <c r="Y12" s="22"/>
      <c r="Z12" s="1"/>
    </row>
    <row r="13" spans="1:32" x14ac:dyDescent="0.3">
      <c r="A13" t="s">
        <v>340</v>
      </c>
      <c r="B13" t="s">
        <v>394</v>
      </c>
      <c r="C13" t="s">
        <v>395</v>
      </c>
      <c r="D13" t="s">
        <v>396</v>
      </c>
      <c r="E13" s="13" t="s">
        <v>399</v>
      </c>
      <c r="F13" s="13" t="s">
        <v>161</v>
      </c>
      <c r="G13" s="2192">
        <v>1</v>
      </c>
      <c r="H13" s="2186">
        <f>VLOOKUP(G13,Pesos!A:B,2,0)</f>
        <v>0.9</v>
      </c>
      <c r="J13" s="1" t="s">
        <v>305</v>
      </c>
      <c r="K13" s="1">
        <v>10</v>
      </c>
      <c r="L13" s="1">
        <v>30</v>
      </c>
      <c r="M13" s="13">
        <v>10</v>
      </c>
      <c r="N13" s="13" t="s">
        <v>22</v>
      </c>
      <c r="O13" s="13">
        <v>10</v>
      </c>
      <c r="S13" s="1">
        <v>1</v>
      </c>
      <c r="T13" s="76">
        <v>1480</v>
      </c>
      <c r="U13" s="42">
        <v>0.5</v>
      </c>
      <c r="V13" s="26">
        <f t="shared" si="1"/>
        <v>740</v>
      </c>
      <c r="W13" s="26">
        <f t="shared" si="2"/>
        <v>7400</v>
      </c>
      <c r="X13" s="6"/>
      <c r="Y13" s="22"/>
      <c r="Z13" s="1"/>
    </row>
    <row r="14" spans="1:32" x14ac:dyDescent="0.3">
      <c r="A14" t="s">
        <v>340</v>
      </c>
      <c r="B14" t="s">
        <v>394</v>
      </c>
      <c r="C14" t="s">
        <v>395</v>
      </c>
      <c r="D14" t="s">
        <v>396</v>
      </c>
      <c r="E14" s="13" t="s">
        <v>401</v>
      </c>
      <c r="F14" s="13" t="s">
        <v>403</v>
      </c>
      <c r="G14" s="2192">
        <v>2</v>
      </c>
      <c r="H14" s="2186">
        <f>VLOOKUP(G14,Pesos!A:B,2,0)</f>
        <v>0.8</v>
      </c>
      <c r="I14" s="1" t="s">
        <v>305</v>
      </c>
      <c r="K14" s="1">
        <v>10</v>
      </c>
      <c r="L14" s="1">
        <v>25</v>
      </c>
      <c r="M14" s="13">
        <v>10</v>
      </c>
      <c r="N14" s="13" t="s">
        <v>22</v>
      </c>
      <c r="Q14" s="1">
        <v>10</v>
      </c>
      <c r="R14" s="1">
        <v>10</v>
      </c>
      <c r="S14" s="1">
        <v>2</v>
      </c>
      <c r="T14" s="76">
        <v>5000</v>
      </c>
      <c r="U14" s="42">
        <v>0.32</v>
      </c>
      <c r="V14" s="26">
        <f t="shared" si="1"/>
        <v>3399.9999999999995</v>
      </c>
      <c r="W14" s="26">
        <f t="shared" si="2"/>
        <v>67999.999999999985</v>
      </c>
      <c r="X14" s="6"/>
      <c r="Y14" s="22"/>
      <c r="Z14" s="1"/>
    </row>
    <row r="15" spans="1:32" x14ac:dyDescent="0.3">
      <c r="A15" t="s">
        <v>340</v>
      </c>
      <c r="B15" t="s">
        <v>394</v>
      </c>
      <c r="C15" t="s">
        <v>395</v>
      </c>
      <c r="D15" t="s">
        <v>396</v>
      </c>
      <c r="E15" s="13" t="s">
        <v>122</v>
      </c>
      <c r="F15" s="13" t="s">
        <v>404</v>
      </c>
      <c r="G15" s="2192">
        <v>5</v>
      </c>
      <c r="H15" s="2186">
        <f>VLOOKUP(G15,Pesos!A:B,2,0)</f>
        <v>0.5</v>
      </c>
      <c r="J15" s="1" t="s">
        <v>305</v>
      </c>
      <c r="K15" s="1">
        <v>1</v>
      </c>
      <c r="L15" s="1">
        <v>1</v>
      </c>
      <c r="M15" s="13">
        <v>1</v>
      </c>
      <c r="N15" s="13" t="s">
        <v>22</v>
      </c>
      <c r="Q15" s="1">
        <v>1</v>
      </c>
      <c r="S15" s="1">
        <v>1</v>
      </c>
      <c r="T15" s="76">
        <v>172800</v>
      </c>
      <c r="U15" s="42">
        <v>0.45</v>
      </c>
      <c r="V15" s="26">
        <f t="shared" si="1"/>
        <v>95040.000000000015</v>
      </c>
      <c r="W15" s="26">
        <f t="shared" si="2"/>
        <v>95040.000000000015</v>
      </c>
      <c r="X15" s="6"/>
      <c r="Y15" s="22"/>
      <c r="Z15" s="1"/>
    </row>
    <row r="16" spans="1:32" x14ac:dyDescent="0.3">
      <c r="A16" t="s">
        <v>340</v>
      </c>
      <c r="B16" t="s">
        <v>394</v>
      </c>
      <c r="C16" t="s">
        <v>395</v>
      </c>
      <c r="D16" t="s">
        <v>396</v>
      </c>
      <c r="E16" s="13" t="s">
        <v>401</v>
      </c>
      <c r="F16" s="13" t="s">
        <v>161</v>
      </c>
      <c r="G16" s="2192">
        <v>1</v>
      </c>
      <c r="H16" s="2186">
        <f>VLOOKUP(G16,Pesos!A:B,2,0)</f>
        <v>0.9</v>
      </c>
      <c r="I16" s="1" t="s">
        <v>305</v>
      </c>
      <c r="K16" s="1">
        <v>10</v>
      </c>
      <c r="L16" s="1">
        <v>30</v>
      </c>
      <c r="M16" s="13">
        <v>10</v>
      </c>
      <c r="N16" s="13" t="s">
        <v>24</v>
      </c>
      <c r="O16" s="1">
        <v>10</v>
      </c>
      <c r="S16" s="1">
        <v>1</v>
      </c>
      <c r="T16" s="76">
        <v>6000</v>
      </c>
      <c r="U16" s="42">
        <v>0.43</v>
      </c>
      <c r="V16" s="26">
        <f t="shared" si="1"/>
        <v>3420.0000000000005</v>
      </c>
      <c r="W16" s="26">
        <f t="shared" si="2"/>
        <v>34200.000000000007</v>
      </c>
      <c r="X16" s="6"/>
      <c r="Y16" s="22"/>
      <c r="Z16" s="1"/>
    </row>
    <row r="17" spans="1:30" x14ac:dyDescent="0.3">
      <c r="A17" t="s">
        <v>340</v>
      </c>
      <c r="B17" t="s">
        <v>394</v>
      </c>
      <c r="C17" t="s">
        <v>395</v>
      </c>
      <c r="D17" t="s">
        <v>396</v>
      </c>
      <c r="E17" s="13" t="s">
        <v>401</v>
      </c>
      <c r="F17" s="13" t="s">
        <v>26</v>
      </c>
      <c r="G17" s="2192">
        <v>3</v>
      </c>
      <c r="H17" s="2186">
        <f>VLOOKUP(G17,Pesos!A:B,2,0)</f>
        <v>0.7</v>
      </c>
      <c r="I17" s="1" t="s">
        <v>305</v>
      </c>
      <c r="K17" s="1">
        <v>3</v>
      </c>
      <c r="L17" s="1">
        <v>7</v>
      </c>
      <c r="M17" s="13">
        <v>3</v>
      </c>
      <c r="N17" s="13" t="s">
        <v>24</v>
      </c>
      <c r="O17" s="1">
        <v>3</v>
      </c>
      <c r="S17" s="1">
        <v>1</v>
      </c>
      <c r="T17" s="76">
        <v>15500</v>
      </c>
      <c r="U17" s="42">
        <v>0.7</v>
      </c>
      <c r="V17" s="26">
        <f t="shared" si="1"/>
        <v>4650.0000000000009</v>
      </c>
      <c r="W17" s="26">
        <f t="shared" si="2"/>
        <v>13950.000000000004</v>
      </c>
      <c r="X17" s="6"/>
      <c r="Y17" s="22"/>
      <c r="Z17" s="1"/>
    </row>
    <row r="18" spans="1:30" x14ac:dyDescent="0.3">
      <c r="A18" t="s">
        <v>340</v>
      </c>
      <c r="B18" t="s">
        <v>394</v>
      </c>
      <c r="C18" t="s">
        <v>395</v>
      </c>
      <c r="D18" t="s">
        <v>396</v>
      </c>
      <c r="E18" s="13" t="s">
        <v>157</v>
      </c>
      <c r="F18" s="13" t="s">
        <v>161</v>
      </c>
      <c r="G18" s="2192">
        <v>1</v>
      </c>
      <c r="H18" s="2186">
        <f>VLOOKUP(G18,Pesos!A:B,2,0)</f>
        <v>0.9</v>
      </c>
      <c r="I18" s="1" t="s">
        <v>305</v>
      </c>
      <c r="K18" s="1">
        <v>10</v>
      </c>
      <c r="L18" s="2" t="s">
        <v>185</v>
      </c>
      <c r="M18" s="13">
        <v>15</v>
      </c>
      <c r="N18" s="13" t="s">
        <v>22</v>
      </c>
      <c r="P18">
        <v>15</v>
      </c>
      <c r="S18" s="1">
        <v>1</v>
      </c>
      <c r="T18" s="76">
        <v>1960</v>
      </c>
      <c r="U18" s="42">
        <v>0.68</v>
      </c>
      <c r="V18" s="25">
        <f>T18*(1-U18)</f>
        <v>627.19999999999993</v>
      </c>
      <c r="W18" s="26">
        <f t="shared" si="2"/>
        <v>9407.9999999999982</v>
      </c>
      <c r="X18" s="18"/>
    </row>
    <row r="19" spans="1:30" x14ac:dyDescent="0.3">
      <c r="E19" s="1"/>
      <c r="F19" s="1"/>
      <c r="G19" s="2186"/>
      <c r="H19" s="2186"/>
      <c r="I19" s="1"/>
      <c r="J19" s="1"/>
      <c r="K19" s="1"/>
      <c r="L19" s="2"/>
      <c r="M19" s="13"/>
      <c r="N19" s="77"/>
      <c r="O19" s="13"/>
      <c r="P19" s="13"/>
      <c r="Q19" s="1"/>
      <c r="R19" s="1"/>
      <c r="S19" s="1"/>
      <c r="T19" s="7"/>
      <c r="U19" s="24"/>
      <c r="V19" s="26"/>
      <c r="W19" s="26"/>
      <c r="X19" s="6"/>
      <c r="AB19" s="1"/>
      <c r="AD19" s="1"/>
    </row>
    <row r="20" spans="1:30" x14ac:dyDescent="0.3">
      <c r="A20" t="s">
        <v>342</v>
      </c>
      <c r="B20" t="s">
        <v>394</v>
      </c>
      <c r="C20" t="s">
        <v>395</v>
      </c>
      <c r="D20" t="s">
        <v>396</v>
      </c>
      <c r="E20" s="13" t="s">
        <v>23</v>
      </c>
      <c r="F20" s="13" t="s">
        <v>402</v>
      </c>
      <c r="G20" s="2192">
        <v>5</v>
      </c>
      <c r="H20" s="2186">
        <f>VLOOKUP(G20,Pesos!A:B,2,0)</f>
        <v>0.5</v>
      </c>
      <c r="I20" s="1"/>
      <c r="J20" s="1" t="s">
        <v>305</v>
      </c>
      <c r="K20" s="1">
        <v>1</v>
      </c>
      <c r="L20" s="2" t="s">
        <v>333</v>
      </c>
      <c r="M20" s="13">
        <v>2</v>
      </c>
      <c r="N20" s="13" t="s">
        <v>22</v>
      </c>
      <c r="O20" s="79">
        <v>2</v>
      </c>
      <c r="P20" s="79"/>
      <c r="Q20" s="79"/>
      <c r="R20" s="79"/>
      <c r="S20" s="1">
        <v>1</v>
      </c>
      <c r="T20" s="75">
        <v>35211</v>
      </c>
      <c r="U20" s="41">
        <v>0.3</v>
      </c>
      <c r="V20" s="26">
        <f t="shared" ref="V20:V33" si="3">T20*(1-U20)</f>
        <v>24647.699999999997</v>
      </c>
      <c r="W20" s="26">
        <f t="shared" si="2"/>
        <v>49295.399999999994</v>
      </c>
      <c r="X20" s="6"/>
      <c r="AB20" s="1"/>
      <c r="AD20" s="1"/>
    </row>
    <row r="21" spans="1:30" x14ac:dyDescent="0.3">
      <c r="A21" t="s">
        <v>342</v>
      </c>
      <c r="B21" t="s">
        <v>394</v>
      </c>
      <c r="C21" t="s">
        <v>395</v>
      </c>
      <c r="D21" t="s">
        <v>396</v>
      </c>
      <c r="E21" s="13" t="s">
        <v>23</v>
      </c>
      <c r="F21" s="13" t="s">
        <v>398</v>
      </c>
      <c r="G21" s="2192">
        <v>4</v>
      </c>
      <c r="H21" s="2186">
        <f>VLOOKUP(G21,Pesos!A:B,2,0)</f>
        <v>0.6</v>
      </c>
      <c r="I21" s="1"/>
      <c r="J21" s="1" t="s">
        <v>305</v>
      </c>
      <c r="K21" s="1">
        <v>8</v>
      </c>
      <c r="L21" s="2" t="s">
        <v>52</v>
      </c>
      <c r="M21" s="13">
        <v>15</v>
      </c>
      <c r="N21" s="13" t="s">
        <v>22</v>
      </c>
      <c r="O21" s="79">
        <v>15</v>
      </c>
      <c r="P21" s="79">
        <v>15</v>
      </c>
      <c r="Q21" s="79"/>
      <c r="R21" s="80"/>
      <c r="S21" s="1">
        <v>2</v>
      </c>
      <c r="T21" s="75">
        <v>3326</v>
      </c>
      <c r="U21" s="41">
        <v>0.55000000000000004</v>
      </c>
      <c r="V21" s="26">
        <f t="shared" si="3"/>
        <v>1496.6999999999998</v>
      </c>
      <c r="W21" s="26">
        <f t="shared" si="2"/>
        <v>44900.999999999993</v>
      </c>
      <c r="X21" s="6"/>
      <c r="AB21" s="1"/>
      <c r="AD21" s="1"/>
    </row>
    <row r="22" spans="1:30" x14ac:dyDescent="0.3">
      <c r="A22" t="s">
        <v>342</v>
      </c>
      <c r="B22" t="s">
        <v>394</v>
      </c>
      <c r="C22" t="s">
        <v>395</v>
      </c>
      <c r="D22" t="s">
        <v>396</v>
      </c>
      <c r="E22" s="13" t="s">
        <v>399</v>
      </c>
      <c r="F22" s="13" t="s">
        <v>400</v>
      </c>
      <c r="G22" s="2192">
        <v>2</v>
      </c>
      <c r="H22" s="2186">
        <f>VLOOKUP(G22,Pesos!A:B,2,0)</f>
        <v>0.8</v>
      </c>
      <c r="I22" s="1"/>
      <c r="J22" s="1" t="s">
        <v>305</v>
      </c>
      <c r="K22" s="1">
        <v>1</v>
      </c>
      <c r="L22" s="2" t="s">
        <v>333</v>
      </c>
      <c r="M22" s="13">
        <v>1</v>
      </c>
      <c r="N22" s="13" t="s">
        <v>22</v>
      </c>
      <c r="O22" s="79"/>
      <c r="P22" s="79"/>
      <c r="Q22" s="79">
        <v>1</v>
      </c>
      <c r="R22" s="81"/>
      <c r="S22" s="1">
        <v>1</v>
      </c>
      <c r="T22" s="75">
        <v>65000</v>
      </c>
      <c r="U22" s="41">
        <v>0.5</v>
      </c>
      <c r="V22" s="26">
        <f t="shared" si="3"/>
        <v>32500</v>
      </c>
      <c r="W22" s="26">
        <f t="shared" si="2"/>
        <v>32500</v>
      </c>
      <c r="X22" s="6"/>
      <c r="AB22" s="1"/>
      <c r="AD22" s="1"/>
    </row>
    <row r="23" spans="1:30" x14ac:dyDescent="0.3">
      <c r="A23" t="s">
        <v>342</v>
      </c>
      <c r="B23" t="s">
        <v>394</v>
      </c>
      <c r="C23" t="s">
        <v>395</v>
      </c>
      <c r="D23" t="s">
        <v>396</v>
      </c>
      <c r="E23" s="13" t="s">
        <v>399</v>
      </c>
      <c r="F23" s="13" t="s">
        <v>161</v>
      </c>
      <c r="G23" s="2192">
        <v>1</v>
      </c>
      <c r="H23" s="2186">
        <f>VLOOKUP(G23,Pesos!A:B,2,0)</f>
        <v>0.9</v>
      </c>
      <c r="I23" s="1"/>
      <c r="J23" s="1" t="s">
        <v>305</v>
      </c>
      <c r="K23" s="1">
        <v>8</v>
      </c>
      <c r="L23" s="1">
        <v>20</v>
      </c>
      <c r="M23" s="13">
        <v>15</v>
      </c>
      <c r="N23" s="13" t="s">
        <v>22</v>
      </c>
      <c r="O23" s="79">
        <v>15</v>
      </c>
      <c r="P23" s="79"/>
      <c r="Q23" s="79"/>
      <c r="R23" s="81"/>
      <c r="S23" s="1">
        <v>1</v>
      </c>
      <c r="T23" s="76">
        <v>1480</v>
      </c>
      <c r="U23" s="42">
        <v>0.5</v>
      </c>
      <c r="V23" s="26">
        <f t="shared" si="3"/>
        <v>740</v>
      </c>
      <c r="W23" s="26">
        <f t="shared" si="2"/>
        <v>11100</v>
      </c>
      <c r="X23" s="6"/>
      <c r="AB23" s="1"/>
      <c r="AD23" s="1"/>
    </row>
    <row r="24" spans="1:30" x14ac:dyDescent="0.3">
      <c r="A24" t="s">
        <v>342</v>
      </c>
      <c r="B24" t="s">
        <v>394</v>
      </c>
      <c r="C24" t="s">
        <v>395</v>
      </c>
      <c r="D24" t="s">
        <v>396</v>
      </c>
      <c r="E24" s="13" t="s">
        <v>401</v>
      </c>
      <c r="F24" s="13" t="s">
        <v>161</v>
      </c>
      <c r="G24" s="2192">
        <v>1</v>
      </c>
      <c r="H24" s="2186">
        <f>VLOOKUP(G24,Pesos!A:B,2,0)</f>
        <v>0.9</v>
      </c>
      <c r="I24" s="1" t="s">
        <v>305</v>
      </c>
      <c r="J24" s="1"/>
      <c r="K24" s="1">
        <v>8</v>
      </c>
      <c r="L24" s="2" t="s">
        <v>51</v>
      </c>
      <c r="M24" s="13">
        <v>10</v>
      </c>
      <c r="N24" s="13" t="s">
        <v>24</v>
      </c>
      <c r="O24" s="79">
        <v>10</v>
      </c>
      <c r="P24" s="79"/>
      <c r="Q24" s="79"/>
      <c r="R24" s="80"/>
      <c r="S24" s="1">
        <v>1</v>
      </c>
      <c r="T24" s="76">
        <v>6000</v>
      </c>
      <c r="U24" s="42">
        <v>0.3</v>
      </c>
      <c r="V24" s="26">
        <f t="shared" si="3"/>
        <v>4200</v>
      </c>
      <c r="W24" s="26">
        <f t="shared" si="2"/>
        <v>42000</v>
      </c>
      <c r="X24" s="6"/>
      <c r="AB24" s="1"/>
      <c r="AD24" s="1"/>
    </row>
    <row r="25" spans="1:30" x14ac:dyDescent="0.3">
      <c r="A25" t="s">
        <v>342</v>
      </c>
      <c r="B25" t="s">
        <v>394</v>
      </c>
      <c r="C25" t="s">
        <v>395</v>
      </c>
      <c r="D25" t="s">
        <v>396</v>
      </c>
      <c r="E25" s="13" t="s">
        <v>401</v>
      </c>
      <c r="F25" s="13" t="s">
        <v>26</v>
      </c>
      <c r="G25" s="2192">
        <v>3</v>
      </c>
      <c r="H25" s="2186">
        <f>VLOOKUP(G25,Pesos!A:B,2,0)</f>
        <v>0.7</v>
      </c>
      <c r="I25" s="1" t="s">
        <v>305</v>
      </c>
      <c r="J25" s="1"/>
      <c r="K25" s="1">
        <v>2</v>
      </c>
      <c r="L25" s="2" t="s">
        <v>229</v>
      </c>
      <c r="M25" s="13">
        <v>3</v>
      </c>
      <c r="N25" s="13" t="s">
        <v>24</v>
      </c>
      <c r="O25" s="79">
        <v>3</v>
      </c>
      <c r="P25" s="79"/>
      <c r="Q25" s="79"/>
      <c r="R25" s="80"/>
      <c r="S25" s="1">
        <v>1</v>
      </c>
      <c r="T25" s="76">
        <v>15500</v>
      </c>
      <c r="U25" s="42">
        <v>0.7</v>
      </c>
      <c r="V25" s="26">
        <f t="shared" si="3"/>
        <v>4650.0000000000009</v>
      </c>
      <c r="W25" s="26">
        <f t="shared" si="2"/>
        <v>13950.000000000004</v>
      </c>
      <c r="X25" s="6"/>
      <c r="AB25" s="1"/>
      <c r="AD25" s="1"/>
    </row>
    <row r="26" spans="1:30" x14ac:dyDescent="0.3">
      <c r="E26" s="1"/>
      <c r="F26" s="1"/>
      <c r="G26" s="2186"/>
      <c r="H26" s="2186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5"/>
      <c r="U26" s="24"/>
      <c r="V26" s="26"/>
      <c r="W26" s="26"/>
      <c r="AB26" s="1"/>
      <c r="AD26" s="1"/>
    </row>
    <row r="27" spans="1:30" x14ac:dyDescent="0.3">
      <c r="A27" t="s">
        <v>343</v>
      </c>
      <c r="B27" t="s">
        <v>394</v>
      </c>
      <c r="C27" t="s">
        <v>395</v>
      </c>
      <c r="D27" t="s">
        <v>396</v>
      </c>
      <c r="E27" s="13" t="s">
        <v>23</v>
      </c>
      <c r="F27" s="13" t="s">
        <v>402</v>
      </c>
      <c r="G27" s="2192">
        <v>4</v>
      </c>
      <c r="H27" s="2186">
        <f>VLOOKUP(G27,Pesos!A:B,2,0)</f>
        <v>0.6</v>
      </c>
      <c r="I27" s="13"/>
      <c r="J27" s="77" t="s">
        <v>305</v>
      </c>
      <c r="K27" s="79">
        <v>1</v>
      </c>
      <c r="L27" s="79">
        <v>3</v>
      </c>
      <c r="M27" s="13">
        <v>1</v>
      </c>
      <c r="N27" s="13" t="s">
        <v>22</v>
      </c>
      <c r="O27" s="1">
        <v>1</v>
      </c>
      <c r="P27" s="1"/>
      <c r="Q27" s="1"/>
      <c r="R27" s="1"/>
      <c r="S27" s="1">
        <v>1</v>
      </c>
      <c r="T27" s="75">
        <v>35211</v>
      </c>
      <c r="U27" s="41">
        <v>0.3</v>
      </c>
      <c r="V27" s="26">
        <f t="shared" si="3"/>
        <v>24647.699999999997</v>
      </c>
      <c r="W27" s="26">
        <f t="shared" si="2"/>
        <v>24647.699999999997</v>
      </c>
      <c r="AB27" s="1"/>
      <c r="AD27" s="1"/>
    </row>
    <row r="28" spans="1:30" x14ac:dyDescent="0.3">
      <c r="A28" t="s">
        <v>343</v>
      </c>
      <c r="B28" t="s">
        <v>394</v>
      </c>
      <c r="C28" t="s">
        <v>395</v>
      </c>
      <c r="D28" t="s">
        <v>396</v>
      </c>
      <c r="E28" s="13" t="s">
        <v>23</v>
      </c>
      <c r="F28" s="13" t="s">
        <v>398</v>
      </c>
      <c r="G28" s="2192">
        <v>2</v>
      </c>
      <c r="H28" s="2186">
        <f>VLOOKUP(G28,Pesos!A:B,2,0)</f>
        <v>0.8</v>
      </c>
      <c r="I28" s="13"/>
      <c r="J28" s="77" t="s">
        <v>305</v>
      </c>
      <c r="K28" s="79">
        <v>8</v>
      </c>
      <c r="L28" s="79">
        <v>18</v>
      </c>
      <c r="M28" s="13">
        <v>15</v>
      </c>
      <c r="N28" s="13" t="s">
        <v>22</v>
      </c>
      <c r="O28" s="1"/>
      <c r="P28" s="1">
        <v>15</v>
      </c>
      <c r="Q28" s="1"/>
      <c r="R28" s="1"/>
      <c r="S28" s="1">
        <v>1</v>
      </c>
      <c r="T28" s="75">
        <v>3326</v>
      </c>
      <c r="U28" s="41">
        <v>0.55000000000000004</v>
      </c>
      <c r="V28" s="26">
        <f t="shared" si="3"/>
        <v>1496.6999999999998</v>
      </c>
      <c r="W28" s="26">
        <f t="shared" si="2"/>
        <v>22450.499999999996</v>
      </c>
      <c r="AB28" s="1"/>
      <c r="AD28" s="1"/>
    </row>
    <row r="29" spans="1:30" x14ac:dyDescent="0.3">
      <c r="A29" t="s">
        <v>343</v>
      </c>
      <c r="B29" t="s">
        <v>394</v>
      </c>
      <c r="C29" t="s">
        <v>395</v>
      </c>
      <c r="D29" t="s">
        <v>396</v>
      </c>
      <c r="E29" s="13" t="s">
        <v>399</v>
      </c>
      <c r="F29" s="13" t="s">
        <v>161</v>
      </c>
      <c r="G29" s="2192">
        <v>1</v>
      </c>
      <c r="H29" s="2186">
        <f>VLOOKUP(G29,Pesos!A:B,2,0)</f>
        <v>0.9</v>
      </c>
      <c r="I29" s="13"/>
      <c r="J29" s="77" t="s">
        <v>305</v>
      </c>
      <c r="K29" s="79">
        <v>8</v>
      </c>
      <c r="L29" s="79">
        <v>20</v>
      </c>
      <c r="M29" s="13">
        <v>20</v>
      </c>
      <c r="N29" s="13" t="s">
        <v>22</v>
      </c>
      <c r="O29" s="1">
        <v>20</v>
      </c>
      <c r="P29" s="1"/>
      <c r="Q29" s="1"/>
      <c r="R29" s="1"/>
      <c r="S29" s="1">
        <v>1</v>
      </c>
      <c r="T29" s="76">
        <v>1480</v>
      </c>
      <c r="U29" s="42">
        <v>0.5</v>
      </c>
      <c r="V29" s="26">
        <f t="shared" si="3"/>
        <v>740</v>
      </c>
      <c r="W29" s="26">
        <f t="shared" si="2"/>
        <v>14800</v>
      </c>
      <c r="AB29" s="1"/>
      <c r="AD29" s="1"/>
    </row>
    <row r="30" spans="1:30" x14ac:dyDescent="0.3">
      <c r="A30" t="s">
        <v>343</v>
      </c>
      <c r="B30" t="s">
        <v>394</v>
      </c>
      <c r="C30" t="s">
        <v>395</v>
      </c>
      <c r="D30" t="s">
        <v>396</v>
      </c>
      <c r="E30" s="13" t="s">
        <v>401</v>
      </c>
      <c r="F30" s="13" t="s">
        <v>403</v>
      </c>
      <c r="G30" s="2192">
        <v>2</v>
      </c>
      <c r="H30" s="2186">
        <f>VLOOKUP(G30,Pesos!A:B,2,0)</f>
        <v>0.8</v>
      </c>
      <c r="I30" s="13" t="s">
        <v>305</v>
      </c>
      <c r="J30" s="77"/>
      <c r="K30" s="79">
        <v>8</v>
      </c>
      <c r="L30" s="79">
        <v>18</v>
      </c>
      <c r="M30" s="13">
        <v>15</v>
      </c>
      <c r="N30" s="13" t="s">
        <v>22</v>
      </c>
      <c r="O30" s="1"/>
      <c r="P30" s="1"/>
      <c r="Q30" s="1">
        <v>15</v>
      </c>
      <c r="R30" s="1"/>
      <c r="S30" s="1">
        <v>1</v>
      </c>
      <c r="T30" s="76">
        <v>5000</v>
      </c>
      <c r="U30" s="42">
        <v>0.32</v>
      </c>
      <c r="V30" s="26">
        <f t="shared" si="3"/>
        <v>3399.9999999999995</v>
      </c>
      <c r="W30" s="26">
        <f t="shared" si="2"/>
        <v>50999.999999999993</v>
      </c>
      <c r="AB30" s="1"/>
      <c r="AD30" s="1"/>
    </row>
    <row r="31" spans="1:30" x14ac:dyDescent="0.3">
      <c r="A31" t="s">
        <v>343</v>
      </c>
      <c r="B31" t="s">
        <v>394</v>
      </c>
      <c r="C31" t="s">
        <v>395</v>
      </c>
      <c r="D31" t="s">
        <v>396</v>
      </c>
      <c r="E31" s="13" t="s">
        <v>401</v>
      </c>
      <c r="F31" s="13" t="s">
        <v>161</v>
      </c>
      <c r="G31" s="2192">
        <v>1</v>
      </c>
      <c r="H31" s="2186">
        <f>VLOOKUP(G31,Pesos!A:B,2,0)</f>
        <v>0.9</v>
      </c>
      <c r="I31" s="13" t="s">
        <v>305</v>
      </c>
      <c r="J31" s="77"/>
      <c r="K31" s="79">
        <v>8</v>
      </c>
      <c r="L31" s="79">
        <v>20</v>
      </c>
      <c r="M31" s="13">
        <v>14</v>
      </c>
      <c r="N31" s="13" t="s">
        <v>24</v>
      </c>
      <c r="O31" s="1">
        <v>14</v>
      </c>
      <c r="P31" s="1"/>
      <c r="Q31" s="1"/>
      <c r="R31" s="1"/>
      <c r="S31" s="1">
        <v>1</v>
      </c>
      <c r="T31" s="76">
        <v>6000</v>
      </c>
      <c r="U31" s="42">
        <v>0.43</v>
      </c>
      <c r="V31" s="26">
        <f t="shared" si="3"/>
        <v>3420.0000000000005</v>
      </c>
      <c r="W31" s="26">
        <f t="shared" si="2"/>
        <v>47880.000000000007</v>
      </c>
      <c r="AB31" s="1"/>
      <c r="AD31" s="1"/>
    </row>
    <row r="32" spans="1:30" x14ac:dyDescent="0.3">
      <c r="A32" t="s">
        <v>343</v>
      </c>
      <c r="B32" t="s">
        <v>394</v>
      </c>
      <c r="C32" t="s">
        <v>395</v>
      </c>
      <c r="D32" t="s">
        <v>396</v>
      </c>
      <c r="E32" s="13" t="s">
        <v>401</v>
      </c>
      <c r="F32" s="13" t="s">
        <v>26</v>
      </c>
      <c r="G32" s="2192">
        <v>3</v>
      </c>
      <c r="H32" s="2186">
        <f>VLOOKUP(G32,Pesos!A:B,2,0)</f>
        <v>0.7</v>
      </c>
      <c r="I32" s="13" t="s">
        <v>305</v>
      </c>
      <c r="J32" s="77"/>
      <c r="K32" s="79">
        <v>2</v>
      </c>
      <c r="L32" s="79">
        <v>5</v>
      </c>
      <c r="M32" s="13">
        <v>3</v>
      </c>
      <c r="N32" s="13" t="s">
        <v>24</v>
      </c>
      <c r="O32" s="1">
        <v>3</v>
      </c>
      <c r="P32" s="1"/>
      <c r="Q32" s="1"/>
      <c r="R32" s="1"/>
      <c r="S32" s="1">
        <v>1</v>
      </c>
      <c r="T32" s="76">
        <v>15500</v>
      </c>
      <c r="U32" s="42">
        <v>0.7</v>
      </c>
      <c r="V32" s="26">
        <f t="shared" si="3"/>
        <v>4650.0000000000009</v>
      </c>
      <c r="W32" s="26">
        <f t="shared" si="2"/>
        <v>13950.000000000004</v>
      </c>
      <c r="AB32" s="1"/>
      <c r="AD32" s="1"/>
    </row>
    <row r="33" spans="1:30" x14ac:dyDescent="0.3">
      <c r="A33" t="s">
        <v>343</v>
      </c>
      <c r="B33" t="s">
        <v>394</v>
      </c>
      <c r="C33" t="s">
        <v>395</v>
      </c>
      <c r="D33" t="s">
        <v>396</v>
      </c>
      <c r="E33" s="13" t="s">
        <v>157</v>
      </c>
      <c r="F33" s="13" t="s">
        <v>161</v>
      </c>
      <c r="G33" s="2192">
        <v>1</v>
      </c>
      <c r="H33" s="2186">
        <f>VLOOKUP(G33,Pesos!A:B,2,0)</f>
        <v>0.9</v>
      </c>
      <c r="I33" s="13" t="s">
        <v>305</v>
      </c>
      <c r="J33" s="77"/>
      <c r="K33" s="79">
        <v>8</v>
      </c>
      <c r="L33" s="79">
        <v>20</v>
      </c>
      <c r="M33" s="13">
        <v>15</v>
      </c>
      <c r="N33" s="13" t="s">
        <v>22</v>
      </c>
      <c r="O33" s="1"/>
      <c r="P33" s="1">
        <v>15</v>
      </c>
      <c r="Q33" s="1">
        <v>15</v>
      </c>
      <c r="R33" s="1"/>
      <c r="S33" s="1">
        <v>2</v>
      </c>
      <c r="T33" s="76">
        <v>1960</v>
      </c>
      <c r="U33" s="42">
        <v>0.68</v>
      </c>
      <c r="V33" s="26">
        <f t="shared" si="3"/>
        <v>627.19999999999993</v>
      </c>
      <c r="W33" s="26">
        <f t="shared" si="2"/>
        <v>18815.999999999996</v>
      </c>
      <c r="AB33" s="1"/>
      <c r="AD33" s="1"/>
    </row>
    <row r="34" spans="1:30" x14ac:dyDescent="0.3">
      <c r="E34" s="1"/>
      <c r="F34" s="1"/>
      <c r="G34" s="2186"/>
      <c r="H34" s="218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5"/>
      <c r="U34" s="24"/>
      <c r="V34" s="26"/>
      <c r="W34" s="26"/>
      <c r="AB34" s="1"/>
      <c r="AD34" s="1"/>
    </row>
    <row r="35" spans="1:30" x14ac:dyDescent="0.3">
      <c r="A35" t="s">
        <v>326</v>
      </c>
      <c r="B35" t="s">
        <v>394</v>
      </c>
      <c r="C35" t="s">
        <v>395</v>
      </c>
      <c r="D35" t="s">
        <v>396</v>
      </c>
      <c r="E35" s="13" t="s">
        <v>399</v>
      </c>
      <c r="F35" s="13" t="s">
        <v>161</v>
      </c>
      <c r="G35" s="2192">
        <v>1</v>
      </c>
      <c r="H35" s="2186">
        <f>VLOOKUP(G35,Pesos!A:B,2,0)</f>
        <v>0.9</v>
      </c>
      <c r="I35" s="13"/>
      <c r="J35" s="77" t="s">
        <v>305</v>
      </c>
      <c r="K35" s="79">
        <v>6</v>
      </c>
      <c r="L35" s="79">
        <v>18</v>
      </c>
      <c r="M35" s="13">
        <v>13</v>
      </c>
      <c r="N35" s="13" t="s">
        <v>22</v>
      </c>
      <c r="O35" s="1">
        <v>13</v>
      </c>
      <c r="P35" s="1">
        <v>13</v>
      </c>
      <c r="Q35" s="1"/>
      <c r="R35" s="1"/>
      <c r="S35" s="1">
        <v>2</v>
      </c>
      <c r="T35" s="76">
        <v>1480</v>
      </c>
      <c r="U35" s="42">
        <v>0.5</v>
      </c>
      <c r="V35" s="26">
        <f t="shared" ref="V35:V38" si="4">T35*(1-U35)</f>
        <v>740</v>
      </c>
      <c r="W35" s="26">
        <f t="shared" si="2"/>
        <v>19240</v>
      </c>
      <c r="AB35" s="1"/>
      <c r="AD35" s="1"/>
    </row>
    <row r="36" spans="1:30" x14ac:dyDescent="0.3">
      <c r="A36" t="s">
        <v>326</v>
      </c>
      <c r="B36" t="s">
        <v>394</v>
      </c>
      <c r="C36" t="s">
        <v>395</v>
      </c>
      <c r="D36" t="s">
        <v>396</v>
      </c>
      <c r="E36" s="13" t="s">
        <v>401</v>
      </c>
      <c r="F36" s="13" t="s">
        <v>403</v>
      </c>
      <c r="G36" s="2192">
        <v>2</v>
      </c>
      <c r="H36" s="2186">
        <f>VLOOKUP(G36,Pesos!A:B,2,0)</f>
        <v>0.8</v>
      </c>
      <c r="I36" s="13" t="s">
        <v>305</v>
      </c>
      <c r="J36" s="77"/>
      <c r="K36" s="79">
        <v>6</v>
      </c>
      <c r="L36" s="79">
        <v>15</v>
      </c>
      <c r="M36" s="13">
        <v>10</v>
      </c>
      <c r="N36" s="13" t="s">
        <v>22</v>
      </c>
      <c r="O36" s="1"/>
      <c r="P36" s="1"/>
      <c r="Q36" s="1">
        <v>10</v>
      </c>
      <c r="R36" s="1"/>
      <c r="S36" s="1">
        <v>1</v>
      </c>
      <c r="T36" s="76">
        <v>5000</v>
      </c>
      <c r="U36" s="42">
        <v>0.32</v>
      </c>
      <c r="V36" s="26">
        <f t="shared" si="4"/>
        <v>3399.9999999999995</v>
      </c>
      <c r="W36" s="26">
        <f t="shared" si="2"/>
        <v>33999.999999999993</v>
      </c>
      <c r="AB36" s="1"/>
      <c r="AD36" s="1"/>
    </row>
    <row r="37" spans="1:30" x14ac:dyDescent="0.3">
      <c r="A37" t="s">
        <v>326</v>
      </c>
      <c r="B37" t="s">
        <v>394</v>
      </c>
      <c r="C37" t="s">
        <v>395</v>
      </c>
      <c r="D37" t="s">
        <v>396</v>
      </c>
      <c r="E37" s="13" t="s">
        <v>401</v>
      </c>
      <c r="F37" s="13" t="s">
        <v>161</v>
      </c>
      <c r="G37" s="2192">
        <v>1</v>
      </c>
      <c r="H37" s="2186">
        <f>VLOOKUP(G37,Pesos!A:B,2,0)</f>
        <v>0.9</v>
      </c>
      <c r="I37" s="13" t="s">
        <v>305</v>
      </c>
      <c r="J37" s="77"/>
      <c r="K37" s="79">
        <v>6</v>
      </c>
      <c r="L37" s="79">
        <v>18</v>
      </c>
      <c r="M37" s="13">
        <v>8</v>
      </c>
      <c r="N37" s="13" t="s">
        <v>24</v>
      </c>
      <c r="O37" s="1">
        <v>8</v>
      </c>
      <c r="P37" s="1"/>
      <c r="Q37" s="1"/>
      <c r="R37" s="1"/>
      <c r="S37" s="1">
        <v>1</v>
      </c>
      <c r="T37" s="76">
        <v>6000</v>
      </c>
      <c r="U37" s="42">
        <v>0.43</v>
      </c>
      <c r="V37" s="26">
        <f t="shared" si="4"/>
        <v>3420.0000000000005</v>
      </c>
      <c r="W37" s="26">
        <f t="shared" si="2"/>
        <v>27360.000000000004</v>
      </c>
      <c r="AB37" s="1"/>
      <c r="AD37" s="1"/>
    </row>
    <row r="38" spans="1:30" x14ac:dyDescent="0.3">
      <c r="A38" t="s">
        <v>326</v>
      </c>
      <c r="B38" t="s">
        <v>394</v>
      </c>
      <c r="C38" t="s">
        <v>395</v>
      </c>
      <c r="D38" t="s">
        <v>396</v>
      </c>
      <c r="E38" s="13" t="s">
        <v>157</v>
      </c>
      <c r="F38" s="13" t="s">
        <v>161</v>
      </c>
      <c r="G38" s="2192">
        <v>1</v>
      </c>
      <c r="H38" s="2186">
        <f>VLOOKUP(G38,Pesos!A:B,2,0)</f>
        <v>0.9</v>
      </c>
      <c r="I38" s="13" t="s">
        <v>305</v>
      </c>
      <c r="J38" s="77"/>
      <c r="K38" s="79">
        <v>6</v>
      </c>
      <c r="L38" s="79">
        <v>18</v>
      </c>
      <c r="M38" s="13">
        <v>8</v>
      </c>
      <c r="N38" s="13" t="s">
        <v>22</v>
      </c>
      <c r="O38" s="2"/>
      <c r="P38" s="1">
        <v>8</v>
      </c>
      <c r="Q38" s="1">
        <v>8</v>
      </c>
      <c r="R38" s="1"/>
      <c r="S38" s="1">
        <v>2</v>
      </c>
      <c r="T38" s="76">
        <v>1960</v>
      </c>
      <c r="U38" s="42">
        <v>0.68</v>
      </c>
      <c r="V38" s="26">
        <f t="shared" si="4"/>
        <v>627.19999999999993</v>
      </c>
      <c r="W38" s="26">
        <f t="shared" si="2"/>
        <v>10035.199999999999</v>
      </c>
      <c r="AB38" s="1"/>
      <c r="AD38" s="1"/>
    </row>
    <row r="39" spans="1:30" x14ac:dyDescent="0.3"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1"/>
      <c r="R39" s="1"/>
      <c r="S39" s="1"/>
      <c r="T39" s="5"/>
      <c r="U39" s="24"/>
      <c r="V39" s="26"/>
      <c r="W39" s="26"/>
      <c r="AB39" s="1"/>
      <c r="AD39" s="1"/>
    </row>
    <row r="40" spans="1:30" x14ac:dyDescent="0.3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"/>
      <c r="U40" s="29"/>
      <c r="V40" s="26"/>
      <c r="W40" s="26"/>
      <c r="AB40" s="1"/>
      <c r="AD40" s="1"/>
    </row>
    <row r="42" spans="1:30" x14ac:dyDescent="0.3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5"/>
      <c r="U42" s="24"/>
      <c r="V42" s="26"/>
      <c r="W42" s="26"/>
      <c r="AB42" s="1"/>
      <c r="AD42" s="1"/>
    </row>
    <row r="43" spans="1:30" x14ac:dyDescent="0.3">
      <c r="A43" s="47"/>
      <c r="D43" s="43" t="s">
        <v>1158</v>
      </c>
      <c r="E43" s="43" t="s">
        <v>1159</v>
      </c>
      <c r="F43" s="43" t="s">
        <v>1160</v>
      </c>
      <c r="G43" s="4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"/>
      <c r="U43" s="29"/>
      <c r="V43" s="26"/>
      <c r="W43" s="26"/>
      <c r="AB43" s="1"/>
      <c r="AD43" s="1"/>
    </row>
    <row r="44" spans="1:30" x14ac:dyDescent="0.3">
      <c r="A44" s="47" t="s">
        <v>1161</v>
      </c>
      <c r="B44" s="2174"/>
      <c r="C44" s="2174"/>
      <c r="D44" s="2181">
        <f>E44*(1-10%)</f>
        <v>4307.6653846153849</v>
      </c>
      <c r="E44" s="427">
        <f>BRASILIA!S44</f>
        <v>4786.2948717948721</v>
      </c>
      <c r="F44" s="427">
        <f>E44*(1+15%)</f>
        <v>5504.2391025641027</v>
      </c>
      <c r="G44" s="427"/>
    </row>
    <row r="45" spans="1:30" x14ac:dyDescent="0.3">
      <c r="A45" s="47" t="s">
        <v>1162</v>
      </c>
      <c r="B45" s="2174"/>
      <c r="C45" s="2174"/>
      <c r="D45" s="2181">
        <f>E45*(1-25%)</f>
        <v>2753.4404411764704</v>
      </c>
      <c r="E45" s="427">
        <f>BRASILIA!S74</f>
        <v>3671.253921568627</v>
      </c>
      <c r="F45" s="427">
        <f>E45*(1+5%)</f>
        <v>3854.8166176470586</v>
      </c>
      <c r="G45" s="42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5"/>
      <c r="U45" s="24"/>
      <c r="V45" s="26"/>
      <c r="W45" s="26"/>
      <c r="AB45" s="1"/>
      <c r="AD45" s="1"/>
    </row>
    <row r="46" spans="1:30" x14ac:dyDescent="0.3">
      <c r="A46" s="47" t="s">
        <v>550</v>
      </c>
      <c r="B46" s="2174"/>
      <c r="C46" s="2174"/>
      <c r="D46" s="2181">
        <f>E46*(1-15%)</f>
        <v>3257.1219672131147</v>
      </c>
      <c r="E46" s="427">
        <f>BRASILIA!S107</f>
        <v>3831.9081967213115</v>
      </c>
      <c r="F46" s="427">
        <f>E46*(1+15%)</f>
        <v>4406.6944262295083</v>
      </c>
      <c r="G46" s="42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5"/>
      <c r="U46" s="24"/>
      <c r="V46" s="26"/>
      <c r="W46" s="26"/>
      <c r="AB46" s="1"/>
      <c r="AD46" s="1"/>
    </row>
    <row r="47" spans="1:30" x14ac:dyDescent="0.3">
      <c r="A47" s="47" t="s">
        <v>679</v>
      </c>
      <c r="B47" s="2174"/>
      <c r="C47" s="2174"/>
      <c r="D47" s="2181">
        <f>E47*(1-25%)</f>
        <v>1794.9811224489795</v>
      </c>
      <c r="E47" s="427">
        <f>BRASILIA!S134</f>
        <v>2393.3081632653061</v>
      </c>
      <c r="F47" s="427">
        <f>E47*(1+5%)</f>
        <v>2512.9735714285716</v>
      </c>
      <c r="G47" s="42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5"/>
      <c r="U47" s="24"/>
      <c r="V47" s="26"/>
      <c r="W47" s="26"/>
      <c r="AB47" s="1"/>
      <c r="AD47" s="1"/>
    </row>
    <row r="48" spans="1:30" x14ac:dyDescent="0.3">
      <c r="A48" s="47" t="s">
        <v>568</v>
      </c>
      <c r="B48" s="2174"/>
      <c r="C48" s="2174"/>
      <c r="D48" s="2181"/>
      <c r="E48" s="427">
        <f>BRASILIA!S164</f>
        <v>1727.2533333333333</v>
      </c>
      <c r="F48" s="427"/>
      <c r="G48" s="42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5"/>
      <c r="U48" s="24"/>
      <c r="V48" s="26"/>
      <c r="W48" s="26"/>
      <c r="AB48" s="1"/>
      <c r="AD48" s="1"/>
    </row>
    <row r="49" spans="1:30" x14ac:dyDescent="0.3">
      <c r="A49" s="47"/>
      <c r="B49" s="47"/>
      <c r="C49" s="47"/>
      <c r="D49" s="4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5"/>
      <c r="U49" s="24"/>
      <c r="V49" s="26"/>
      <c r="W49" s="26"/>
      <c r="AB49" s="1"/>
      <c r="AD49" s="1"/>
    </row>
    <row r="50" spans="1:30" x14ac:dyDescent="0.3">
      <c r="A50" s="47"/>
      <c r="B50" s="46"/>
      <c r="C50" s="46"/>
      <c r="D50" s="2314" t="s">
        <v>1163</v>
      </c>
      <c r="E50" s="2315"/>
      <c r="F50" s="2315"/>
      <c r="G50" s="231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5"/>
      <c r="U50" s="24"/>
      <c r="V50" s="26"/>
      <c r="W50" s="26"/>
      <c r="AB50" s="1"/>
      <c r="AD50" s="1"/>
    </row>
    <row r="51" spans="1:30" x14ac:dyDescent="0.3">
      <c r="A51" s="47" t="s">
        <v>1161</v>
      </c>
      <c r="B51" s="2175"/>
      <c r="C51" s="2175"/>
      <c r="D51" s="3">
        <v>0.76923076923076927</v>
      </c>
      <c r="E51" s="3">
        <v>0.20512820512820512</v>
      </c>
      <c r="F51" s="3">
        <v>1.282051282051282E-2</v>
      </c>
      <c r="G51" s="3">
        <v>1.282051282051282E-2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"/>
      <c r="U51" s="29"/>
      <c r="V51" s="26"/>
      <c r="W51" s="26"/>
      <c r="AB51" s="1"/>
      <c r="AD51" s="1"/>
    </row>
    <row r="52" spans="1:30" x14ac:dyDescent="0.3">
      <c r="A52" s="47" t="s">
        <v>1162</v>
      </c>
      <c r="B52" s="2175"/>
      <c r="C52" s="2175"/>
      <c r="D52" s="2175">
        <v>0.36274509803921567</v>
      </c>
      <c r="E52" s="304">
        <v>0.27450980392156865</v>
      </c>
      <c r="F52" s="304">
        <v>0.26470588235294118</v>
      </c>
      <c r="G52" s="304">
        <v>9.8039215686274508E-2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"/>
      <c r="U52" s="29"/>
      <c r="V52" s="26"/>
      <c r="W52" s="26"/>
      <c r="AB52" s="1"/>
      <c r="AD52" s="1"/>
    </row>
    <row r="53" spans="1:30" x14ac:dyDescent="0.3">
      <c r="A53" s="47" t="s">
        <v>550</v>
      </c>
      <c r="B53" s="2175"/>
      <c r="C53" s="2175"/>
      <c r="D53" s="2175">
        <v>0.73770491803278693</v>
      </c>
      <c r="E53" s="304">
        <v>0.24590163934426229</v>
      </c>
      <c r="F53" s="304">
        <v>1.6393442622950821E-2</v>
      </c>
      <c r="G53" s="30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"/>
      <c r="U53" s="29"/>
      <c r="V53" s="26"/>
      <c r="W53" s="26"/>
      <c r="AB53" s="1"/>
      <c r="AD53" s="1"/>
    </row>
    <row r="54" spans="1:30" x14ac:dyDescent="0.3">
      <c r="A54" s="47" t="s">
        <v>679</v>
      </c>
      <c r="B54" s="2175"/>
      <c r="C54" s="2175"/>
      <c r="D54" s="2175">
        <v>0.38775510204081631</v>
      </c>
      <c r="E54" s="304">
        <v>0.30612244897959184</v>
      </c>
      <c r="F54" s="304">
        <v>0.30612244897959184</v>
      </c>
      <c r="G54" s="304"/>
    </row>
    <row r="55" spans="1:30" x14ac:dyDescent="0.3">
      <c r="A55" s="47" t="s">
        <v>568</v>
      </c>
      <c r="B55" s="47"/>
      <c r="C55" s="47"/>
      <c r="D55" s="2175">
        <v>0.35</v>
      </c>
      <c r="E55" s="3">
        <v>0.35</v>
      </c>
      <c r="F55" s="304">
        <v>0.3</v>
      </c>
    </row>
    <row r="56" spans="1:30" x14ac:dyDescent="0.3">
      <c r="A56" s="47"/>
      <c r="B56" s="47"/>
      <c r="C56" s="47"/>
      <c r="D56" s="48"/>
    </row>
    <row r="57" spans="1:30" x14ac:dyDescent="0.3">
      <c r="A57" s="47"/>
      <c r="B57" s="47"/>
      <c r="C57" s="47"/>
      <c r="D57" s="48"/>
    </row>
    <row r="58" spans="1:30" x14ac:dyDescent="0.3">
      <c r="A58" s="47"/>
      <c r="B58" s="47"/>
      <c r="C58" s="47"/>
      <c r="D58" s="48"/>
    </row>
    <row r="59" spans="1:30" x14ac:dyDescent="0.3">
      <c r="A59" s="47"/>
      <c r="B59" s="46"/>
      <c r="C59" s="46"/>
      <c r="D59" s="2314" t="s">
        <v>1164</v>
      </c>
      <c r="E59" s="2315"/>
      <c r="F59" s="2315"/>
      <c r="G59" s="2316"/>
    </row>
    <row r="60" spans="1:30" x14ac:dyDescent="0.3">
      <c r="A60" s="47" t="s">
        <v>1161</v>
      </c>
      <c r="B60" s="2175"/>
      <c r="C60" s="2175"/>
      <c r="D60" s="2175">
        <v>0.44444444444444442</v>
      </c>
      <c r="E60" s="2175">
        <v>0.25925925925925924</v>
      </c>
      <c r="F60" s="2175">
        <v>0.14814814814814814</v>
      </c>
      <c r="G60" s="2175">
        <v>0.14814814814814814</v>
      </c>
    </row>
    <row r="61" spans="1:30" x14ac:dyDescent="0.3">
      <c r="A61" s="47" t="s">
        <v>1162</v>
      </c>
      <c r="B61" s="6"/>
      <c r="C61" s="6"/>
      <c r="D61" s="6">
        <v>0.26241134751773049</v>
      </c>
      <c r="E61" s="2175">
        <v>0.29078014184397161</v>
      </c>
      <c r="F61" s="2175">
        <v>0.28368794326241137</v>
      </c>
      <c r="G61" s="2175">
        <v>0.16312056737588654</v>
      </c>
    </row>
    <row r="62" spans="1:30" x14ac:dyDescent="0.3">
      <c r="A62" s="47" t="s">
        <v>550</v>
      </c>
      <c r="B62" s="2175"/>
      <c r="C62" s="2175"/>
      <c r="D62" s="2175">
        <v>0.51724137931034486</v>
      </c>
      <c r="E62" s="2175">
        <v>0.32183908045977011</v>
      </c>
      <c r="F62" s="2175">
        <v>0.16091954022988506</v>
      </c>
      <c r="G62" s="2175"/>
    </row>
    <row r="63" spans="1:30" x14ac:dyDescent="0.3">
      <c r="A63" s="47" t="s">
        <v>679</v>
      </c>
      <c r="B63" s="2175"/>
      <c r="C63" s="2175"/>
      <c r="D63" s="6">
        <v>0.2878787878787879</v>
      </c>
      <c r="E63" s="2175">
        <v>0.35606060606060608</v>
      </c>
      <c r="F63" s="2175">
        <v>0.35606060606060608</v>
      </c>
      <c r="G63" s="2175"/>
    </row>
    <row r="64" spans="1:30" x14ac:dyDescent="0.3">
      <c r="A64" s="47" t="s">
        <v>568</v>
      </c>
      <c r="B64" s="47"/>
      <c r="C64" s="47"/>
      <c r="D64" s="6">
        <v>0.27631578947368424</v>
      </c>
      <c r="E64" s="2175">
        <v>0.38157894736842107</v>
      </c>
      <c r="F64" s="2175">
        <v>0.34210526315789475</v>
      </c>
      <c r="G64" s="217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206"/>
  <sheetViews>
    <sheetView workbookViewId="0"/>
  </sheetViews>
  <sheetFormatPr defaultRowHeight="14.4" x14ac:dyDescent="0.3"/>
  <sheetData>
    <row r="1" spans="1:21" x14ac:dyDescent="0.3">
      <c r="A1" t="s">
        <v>1190</v>
      </c>
    </row>
    <row r="2" spans="1:21" x14ac:dyDescent="0.3">
      <c r="A2" t="s">
        <v>452</v>
      </c>
    </row>
    <row r="4" spans="1:21" x14ac:dyDescent="0.3">
      <c r="B4" s="95"/>
    </row>
    <row r="5" spans="1:21" x14ac:dyDescent="0.3">
      <c r="B5" s="95"/>
    </row>
    <row r="6" spans="1:21" x14ac:dyDescent="0.3">
      <c r="B6" s="96"/>
      <c r="C6" s="603"/>
      <c r="F6" s="98"/>
      <c r="G6" s="98"/>
      <c r="H6" s="98"/>
      <c r="I6" s="99"/>
    </row>
    <row r="7" spans="1:21" x14ac:dyDescent="0.3">
      <c r="A7" s="100" t="s">
        <v>1191</v>
      </c>
      <c r="B7" s="101">
        <v>1179771.79</v>
      </c>
      <c r="C7" s="102"/>
      <c r="F7" s="98"/>
      <c r="G7" s="98"/>
      <c r="H7" s="98"/>
      <c r="I7" s="99"/>
      <c r="U7" s="99"/>
    </row>
    <row r="8" spans="1:21" x14ac:dyDescent="0.3">
      <c r="A8" s="100" t="s">
        <v>1192</v>
      </c>
      <c r="B8" s="101">
        <v>1419273.79</v>
      </c>
      <c r="C8" s="97"/>
      <c r="F8" s="98"/>
      <c r="G8" s="98"/>
      <c r="H8" s="98"/>
      <c r="I8" s="99"/>
    </row>
    <row r="9" spans="1:21" x14ac:dyDescent="0.3">
      <c r="C9" s="97"/>
      <c r="F9" s="98"/>
      <c r="G9" s="98"/>
      <c r="H9" s="98"/>
      <c r="I9" s="99"/>
    </row>
    <row r="10" spans="1:21" x14ac:dyDescent="0.3">
      <c r="A10" s="103" t="s">
        <v>1193</v>
      </c>
      <c r="B10" s="104">
        <v>1894693.125</v>
      </c>
      <c r="C10" s="105"/>
      <c r="F10" s="98"/>
      <c r="G10" s="98"/>
      <c r="H10" s="98"/>
      <c r="I10" s="99"/>
    </row>
    <row r="11" spans="1:21" x14ac:dyDescent="0.3">
      <c r="A11" s="100" t="s">
        <v>1194</v>
      </c>
      <c r="B11" s="101">
        <v>2526257.5</v>
      </c>
      <c r="C11" s="3"/>
      <c r="F11" s="98"/>
      <c r="G11" s="98"/>
      <c r="H11" s="98"/>
      <c r="I11" s="99"/>
    </row>
    <row r="12" spans="1:21" x14ac:dyDescent="0.3">
      <c r="D12" s="449"/>
      <c r="E12" s="450"/>
      <c r="F12" s="98"/>
      <c r="G12" s="98"/>
      <c r="H12" s="98"/>
      <c r="I12" s="99"/>
    </row>
    <row r="13" spans="1:21" x14ac:dyDescent="0.3">
      <c r="F13" s="98"/>
      <c r="G13" s="98"/>
      <c r="H13" s="98"/>
      <c r="I13" s="99"/>
    </row>
    <row r="14" spans="1:21" x14ac:dyDescent="0.3">
      <c r="A14" s="4" t="s">
        <v>457</v>
      </c>
      <c r="F14" s="98"/>
      <c r="G14" s="98"/>
      <c r="H14" s="98"/>
      <c r="I14" s="99"/>
    </row>
    <row r="15" spans="1:21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  <c r="F15" s="98"/>
      <c r="G15" s="98"/>
      <c r="H15" s="98"/>
      <c r="I15" s="99"/>
    </row>
    <row r="16" spans="1:21" x14ac:dyDescent="0.3">
      <c r="A16" s="107" t="s">
        <v>606</v>
      </c>
      <c r="B16" s="108" t="s">
        <v>463</v>
      </c>
      <c r="C16" s="109">
        <v>0.37</v>
      </c>
      <c r="D16" s="110">
        <f>B10*C16</f>
        <v>701036.45625000005</v>
      </c>
      <c r="E16" s="110">
        <f>D16/3</f>
        <v>233678.81875000001</v>
      </c>
      <c r="F16" s="98"/>
      <c r="G16" s="98"/>
      <c r="H16" s="98"/>
      <c r="I16" s="99"/>
    </row>
    <row r="17" spans="1:33" x14ac:dyDescent="0.3">
      <c r="A17" s="107" t="s">
        <v>607</v>
      </c>
      <c r="B17" s="108" t="s">
        <v>465</v>
      </c>
      <c r="C17" s="109">
        <v>0.41</v>
      </c>
      <c r="D17" s="110">
        <f>B10*C17</f>
        <v>776824.18124999991</v>
      </c>
      <c r="E17" s="110">
        <f>D17/4</f>
        <v>194206.04531249998</v>
      </c>
      <c r="F17" s="98"/>
      <c r="G17" s="98"/>
      <c r="H17" s="98"/>
      <c r="I17" s="99"/>
    </row>
    <row r="18" spans="1:33" x14ac:dyDescent="0.3">
      <c r="A18" s="107" t="s">
        <v>608</v>
      </c>
      <c r="B18" s="108">
        <v>3</v>
      </c>
      <c r="C18" s="109">
        <v>0.22</v>
      </c>
      <c r="D18" s="110">
        <f>B10*C18</f>
        <v>416832.48749999999</v>
      </c>
      <c r="E18" s="110">
        <f>D18/4</f>
        <v>104208.121875</v>
      </c>
      <c r="F18" s="98"/>
      <c r="G18" s="98"/>
      <c r="H18" s="98"/>
      <c r="I18" s="99"/>
    </row>
    <row r="19" spans="1:33" x14ac:dyDescent="0.3">
      <c r="B19" s="1" t="s">
        <v>467</v>
      </c>
      <c r="C19" s="3">
        <f>SUM(C16:C18)</f>
        <v>1</v>
      </c>
      <c r="D19" s="112">
        <f>SUM(D16:D18)</f>
        <v>1894693.125</v>
      </c>
      <c r="F19" s="98"/>
      <c r="G19" s="98"/>
      <c r="H19" s="98"/>
      <c r="I19" s="99"/>
    </row>
    <row r="20" spans="1:33" x14ac:dyDescent="0.3">
      <c r="F20" s="98"/>
      <c r="G20" s="98"/>
      <c r="H20" s="98"/>
      <c r="I20" s="99"/>
    </row>
    <row r="21" spans="1:33" x14ac:dyDescent="0.3">
      <c r="A21" s="100" t="s">
        <v>769</v>
      </c>
      <c r="B21" s="769">
        <v>898100</v>
      </c>
      <c r="F21" s="98"/>
      <c r="G21" s="98"/>
      <c r="H21" s="98"/>
      <c r="I21" s="99"/>
    </row>
    <row r="22" spans="1:33" x14ac:dyDescent="0.3">
      <c r="A22" s="714" t="s">
        <v>579</v>
      </c>
      <c r="B22" s="770">
        <v>799125</v>
      </c>
      <c r="Q22" s="115"/>
      <c r="R22" s="115"/>
    </row>
    <row r="23" spans="1:33" x14ac:dyDescent="0.3">
      <c r="E23" s="1" t="s">
        <v>470</v>
      </c>
      <c r="F23" s="2" t="s">
        <v>879</v>
      </c>
      <c r="H23" s="1" t="s">
        <v>472</v>
      </c>
      <c r="J23" s="304">
        <v>0.62</v>
      </c>
      <c r="K23" s="304"/>
      <c r="L23" s="1036"/>
    </row>
    <row r="24" spans="1:33" x14ac:dyDescent="0.3">
      <c r="E24" s="1" t="s">
        <v>473</v>
      </c>
      <c r="F24" s="2" t="s">
        <v>162</v>
      </c>
      <c r="H24" s="1" t="s">
        <v>473</v>
      </c>
      <c r="J24" s="1">
        <v>30</v>
      </c>
      <c r="K24" s="1"/>
    </row>
    <row r="25" spans="1:33" x14ac:dyDescent="0.3">
      <c r="E25" s="1" t="s">
        <v>475</v>
      </c>
      <c r="F25" s="2" t="s">
        <v>880</v>
      </c>
      <c r="H25" s="1" t="s">
        <v>475</v>
      </c>
      <c r="J25" s="95">
        <v>1560</v>
      </c>
      <c r="K25" s="95"/>
      <c r="L25" s="93"/>
      <c r="P25" s="115"/>
    </row>
    <row r="26" spans="1:33" x14ac:dyDescent="0.3">
      <c r="E26" s="1" t="s">
        <v>477</v>
      </c>
      <c r="F26" s="2" t="s">
        <v>881</v>
      </c>
      <c r="H26" s="1" t="s">
        <v>477</v>
      </c>
      <c r="J26" s="95">
        <v>12834646</v>
      </c>
      <c r="K26" s="95"/>
      <c r="L26" s="93"/>
      <c r="O26" s="98"/>
      <c r="T26" s="116"/>
    </row>
    <row r="27" spans="1:33" ht="18" x14ac:dyDescent="0.35">
      <c r="A27" s="1037" t="s">
        <v>479</v>
      </c>
      <c r="O27" s="98"/>
      <c r="P27" s="117"/>
    </row>
    <row r="28" spans="1:33" x14ac:dyDescent="0.3">
      <c r="O28" s="119"/>
      <c r="S28" s="98"/>
    </row>
    <row r="29" spans="1:33" x14ac:dyDescent="0.3">
      <c r="A29" s="2560" t="s">
        <v>480</v>
      </c>
      <c r="B29" s="2561"/>
      <c r="C29" s="2561"/>
      <c r="D29" s="2561"/>
      <c r="E29" s="2561"/>
      <c r="F29" s="2561"/>
      <c r="G29" s="2561"/>
      <c r="H29" s="2561"/>
      <c r="I29" s="2561"/>
      <c r="J29" s="2561"/>
      <c r="K29" s="2561"/>
      <c r="L29" s="2561"/>
      <c r="M29" s="2561"/>
      <c r="N29" s="2561"/>
      <c r="O29" s="2561"/>
      <c r="P29" s="2561"/>
      <c r="Q29" s="2561"/>
      <c r="R29" s="2561"/>
      <c r="S29" s="2561"/>
      <c r="T29" s="2563" t="s">
        <v>584</v>
      </c>
      <c r="U29" s="2564"/>
      <c r="V29" s="2564"/>
      <c r="W29" s="2564"/>
      <c r="X29" s="2564"/>
      <c r="Y29" s="2564"/>
      <c r="Z29" s="2564"/>
      <c r="AA29" s="2564"/>
      <c r="AB29" s="2564"/>
      <c r="AC29" s="2564"/>
      <c r="AD29" s="2564"/>
      <c r="AE29" s="2564"/>
      <c r="AF29" s="2564"/>
      <c r="AG29" s="2576"/>
    </row>
    <row r="30" spans="1:33" ht="18" x14ac:dyDescent="0.3">
      <c r="A30" s="2284" t="s">
        <v>482</v>
      </c>
      <c r="B30" s="2286" t="s">
        <v>483</v>
      </c>
      <c r="C30" s="2286" t="s">
        <v>484</v>
      </c>
      <c r="D30" s="2286" t="s">
        <v>485</v>
      </c>
      <c r="E30" s="2286" t="s">
        <v>486</v>
      </c>
      <c r="F30" s="2288" t="s">
        <v>487</v>
      </c>
      <c r="G30" s="2286" t="s">
        <v>488</v>
      </c>
      <c r="H30" s="2286" t="s">
        <v>489</v>
      </c>
      <c r="I30" s="2266" t="s">
        <v>490</v>
      </c>
      <c r="J30" s="2266"/>
      <c r="K30" s="2266"/>
      <c r="L30" s="2266"/>
      <c r="M30" s="265" t="s">
        <v>491</v>
      </c>
      <c r="N30" s="266" t="s">
        <v>492</v>
      </c>
      <c r="O30" s="267" t="s">
        <v>493</v>
      </c>
      <c r="P30" s="266" t="s">
        <v>492</v>
      </c>
      <c r="Q30" s="266" t="s">
        <v>494</v>
      </c>
      <c r="R30" s="491" t="s">
        <v>585</v>
      </c>
      <c r="S30" s="2267" t="s">
        <v>495</v>
      </c>
      <c r="T30" s="1038" t="s">
        <v>496</v>
      </c>
      <c r="U30" s="2580" t="s">
        <v>497</v>
      </c>
      <c r="V30" s="2580"/>
      <c r="W30" s="2580"/>
      <c r="X30" s="2580"/>
      <c r="Y30" s="2580"/>
      <c r="Z30" s="2582" t="s">
        <v>498</v>
      </c>
      <c r="AA30" s="2581"/>
      <c r="AB30" s="2582" t="s">
        <v>499</v>
      </c>
      <c r="AC30" s="2581"/>
      <c r="AD30" s="2581"/>
      <c r="AE30" s="2581"/>
      <c r="AF30" s="2581"/>
      <c r="AG30" s="2583"/>
    </row>
    <row r="31" spans="1:33" ht="18" x14ac:dyDescent="0.3">
      <c r="A31" s="2285"/>
      <c r="B31" s="2287"/>
      <c r="C31" s="2287"/>
      <c r="D31" s="2287"/>
      <c r="E31" s="2287"/>
      <c r="F31" s="2289"/>
      <c r="G31" s="2287"/>
      <c r="H31" s="2287"/>
      <c r="I31" s="269" t="s">
        <v>500</v>
      </c>
      <c r="J31" s="269" t="s">
        <v>501</v>
      </c>
      <c r="K31" s="269" t="s">
        <v>502</v>
      </c>
      <c r="L31" s="269" t="s">
        <v>503</v>
      </c>
      <c r="M31" s="270" t="s">
        <v>504</v>
      </c>
      <c r="N31" s="271" t="s">
        <v>505</v>
      </c>
      <c r="O31" s="272" t="s">
        <v>506</v>
      </c>
      <c r="P31" s="271" t="s">
        <v>507</v>
      </c>
      <c r="Q31" s="271" t="s">
        <v>507</v>
      </c>
      <c r="R31" s="558"/>
      <c r="S31" s="2268"/>
      <c r="T31" s="1038" t="s">
        <v>508</v>
      </c>
      <c r="U31" s="2581"/>
      <c r="V31" s="2581"/>
      <c r="W31" s="2581"/>
      <c r="X31" s="2581"/>
      <c r="Y31" s="2581"/>
      <c r="Z31" s="2582"/>
      <c r="AA31" s="2581"/>
      <c r="AB31" s="2582"/>
      <c r="AC31" s="2581"/>
      <c r="AD31" s="2581"/>
      <c r="AE31" s="2581"/>
      <c r="AF31" s="2581"/>
      <c r="AG31" s="2583"/>
    </row>
    <row r="32" spans="1:33" ht="18" x14ac:dyDescent="0.35">
      <c r="A32" s="2359" t="s">
        <v>509</v>
      </c>
      <c r="B32" s="2360"/>
      <c r="C32" s="2360"/>
      <c r="D32" s="2360"/>
      <c r="E32" s="2360"/>
      <c r="F32" s="2360"/>
      <c r="G32" s="2360"/>
      <c r="H32" s="2360"/>
      <c r="I32" s="2360"/>
      <c r="J32" s="2360"/>
      <c r="K32" s="2360"/>
      <c r="L32" s="2360"/>
      <c r="M32" s="2360"/>
      <c r="N32" s="2360"/>
      <c r="O32" s="2360"/>
      <c r="P32" s="2360"/>
      <c r="Q32" s="2360"/>
      <c r="R32" s="2360"/>
      <c r="S32" s="2360"/>
      <c r="T32" s="1039"/>
      <c r="U32" s="1040" t="s">
        <v>510</v>
      </c>
      <c r="V32" s="1041" t="s">
        <v>11</v>
      </c>
      <c r="W32" s="1041" t="s">
        <v>511</v>
      </c>
      <c r="X32" s="1041" t="s">
        <v>512</v>
      </c>
      <c r="Y32" s="1041" t="s">
        <v>513</v>
      </c>
      <c r="Z32" s="1042" t="s">
        <v>514</v>
      </c>
      <c r="AA32" s="1041" t="s">
        <v>515</v>
      </c>
      <c r="AB32" s="1040" t="s">
        <v>163</v>
      </c>
      <c r="AC32" s="1041" t="s">
        <v>12</v>
      </c>
      <c r="AD32" s="1041" t="s">
        <v>164</v>
      </c>
      <c r="AE32" s="1043" t="s">
        <v>165</v>
      </c>
      <c r="AF32" s="1044" t="s">
        <v>139</v>
      </c>
      <c r="AG32" s="1045" t="s">
        <v>5</v>
      </c>
    </row>
    <row r="33" spans="1:33" x14ac:dyDescent="0.3">
      <c r="A33" s="154"/>
      <c r="B33" s="462"/>
      <c r="C33" s="462"/>
      <c r="D33" s="462"/>
      <c r="E33" s="462"/>
      <c r="F33" s="463"/>
      <c r="G33" s="462"/>
      <c r="H33" s="462"/>
      <c r="I33" s="464"/>
      <c r="J33" s="465"/>
      <c r="K33" s="465"/>
      <c r="L33" s="466"/>
      <c r="M33" s="467"/>
      <c r="N33" s="468"/>
      <c r="O33" s="469"/>
      <c r="P33" s="468"/>
      <c r="Q33" s="468"/>
      <c r="R33" s="470"/>
      <c r="S33" s="501"/>
      <c r="T33" s="283"/>
      <c r="U33" s="280"/>
      <c r="Z33" s="280"/>
      <c r="AB33" s="280"/>
      <c r="AE33" s="465"/>
      <c r="AG33" s="152"/>
    </row>
    <row r="34" spans="1:33" x14ac:dyDescent="0.3">
      <c r="A34" s="157"/>
      <c r="B34" s="157"/>
      <c r="C34" s="157"/>
      <c r="D34" s="157"/>
      <c r="E34" s="157"/>
      <c r="F34" s="158"/>
      <c r="G34" s="157"/>
      <c r="H34" s="157"/>
      <c r="I34" s="188"/>
      <c r="L34" s="286"/>
      <c r="M34" s="163"/>
      <c r="N34" s="164"/>
      <c r="O34" s="165"/>
      <c r="P34" s="164"/>
      <c r="Q34" s="164"/>
      <c r="R34" s="507"/>
      <c r="S34" s="1046"/>
      <c r="T34" s="565"/>
      <c r="U34" s="282"/>
      <c r="V34" s="169"/>
      <c r="W34" s="169"/>
      <c r="X34" s="169"/>
      <c r="Y34" s="169"/>
      <c r="Z34" s="282"/>
      <c r="AA34" s="169"/>
      <c r="AB34" s="280"/>
      <c r="AG34" s="152"/>
    </row>
    <row r="35" spans="1:33" x14ac:dyDescent="0.3">
      <c r="A35" s="157" t="s">
        <v>882</v>
      </c>
      <c r="B35" s="157" t="s">
        <v>407</v>
      </c>
      <c r="C35" s="157" t="s">
        <v>883</v>
      </c>
      <c r="D35" s="157" t="s">
        <v>166</v>
      </c>
      <c r="E35" s="157" t="s">
        <v>520</v>
      </c>
      <c r="F35" s="158" t="s">
        <v>522</v>
      </c>
      <c r="G35" s="157">
        <v>20</v>
      </c>
      <c r="H35" s="157" t="s">
        <v>63</v>
      </c>
      <c r="I35" s="159">
        <v>20</v>
      </c>
      <c r="J35" s="161"/>
      <c r="L35" s="286"/>
      <c r="M35" s="163">
        <v>1</v>
      </c>
      <c r="N35" s="166">
        <v>1700</v>
      </c>
      <c r="O35" s="173">
        <v>0.06</v>
      </c>
      <c r="P35" s="166">
        <f t="shared" ref="P35:P44" si="0">N35*(1-O35)</f>
        <v>1598</v>
      </c>
      <c r="Q35" s="166">
        <f t="shared" ref="Q35:Q44" si="1">P35*M35*G35</f>
        <v>31960</v>
      </c>
      <c r="R35" s="206" t="e">
        <f>(Q35+Q40)/E12*1000</f>
        <v>#DIV/0!</v>
      </c>
      <c r="S35" s="178">
        <f t="shared" ref="S35:S44" si="2">Q35/$Q$50</f>
        <v>0.13675965624373515</v>
      </c>
      <c r="T35" s="150">
        <f>Q35*2</f>
        <v>63920</v>
      </c>
      <c r="U35" s="282">
        <f t="shared" ref="U35:U39" si="3">T35</f>
        <v>63920</v>
      </c>
      <c r="Z35" s="282">
        <f>T35</f>
        <v>63920</v>
      </c>
      <c r="AA35" s="169"/>
      <c r="AB35" s="282">
        <f>T35</f>
        <v>63920</v>
      </c>
      <c r="AG35" s="152"/>
    </row>
    <row r="36" spans="1:33" x14ac:dyDescent="0.3">
      <c r="A36" s="157" t="s">
        <v>882</v>
      </c>
      <c r="B36" s="157" t="s">
        <v>408</v>
      </c>
      <c r="C36" s="157" t="s">
        <v>884</v>
      </c>
      <c r="D36" s="157" t="s">
        <v>26</v>
      </c>
      <c r="E36" s="157" t="s">
        <v>520</v>
      </c>
      <c r="F36" s="158" t="s">
        <v>885</v>
      </c>
      <c r="G36" s="157">
        <v>4</v>
      </c>
      <c r="H36" s="157" t="s">
        <v>24</v>
      </c>
      <c r="I36" s="175">
        <v>4</v>
      </c>
      <c r="J36" s="176"/>
      <c r="K36" s="176"/>
      <c r="L36" s="177"/>
      <c r="M36" s="163">
        <v>1</v>
      </c>
      <c r="N36" s="166">
        <v>3500</v>
      </c>
      <c r="O36" s="173">
        <v>0.04</v>
      </c>
      <c r="P36" s="166">
        <f t="shared" si="0"/>
        <v>3360</v>
      </c>
      <c r="Q36" s="166">
        <f t="shared" si="1"/>
        <v>13440</v>
      </c>
      <c r="R36" s="206" t="e">
        <f>(Q36+Q44)/E12*1000</f>
        <v>#DIV/0!</v>
      </c>
      <c r="S36" s="178">
        <f t="shared" si="2"/>
        <v>5.7510944302747197E-2</v>
      </c>
      <c r="T36" s="150">
        <f>Q36*2</f>
        <v>26880</v>
      </c>
      <c r="U36" s="282">
        <f t="shared" si="3"/>
        <v>26880</v>
      </c>
      <c r="W36" s="169"/>
      <c r="Z36" s="283">
        <f>T36</f>
        <v>26880</v>
      </c>
      <c r="AA36" s="169"/>
      <c r="AB36" s="282">
        <f>T36</f>
        <v>26880</v>
      </c>
      <c r="AG36" s="152"/>
    </row>
    <row r="37" spans="1:33" x14ac:dyDescent="0.3">
      <c r="A37" s="157" t="s">
        <v>882</v>
      </c>
      <c r="B37" s="157" t="s">
        <v>407</v>
      </c>
      <c r="C37" s="157" t="s">
        <v>884</v>
      </c>
      <c r="D37" s="157" t="s">
        <v>21</v>
      </c>
      <c r="E37" s="157" t="s">
        <v>518</v>
      </c>
      <c r="F37" s="158" t="s">
        <v>638</v>
      </c>
      <c r="G37" s="157">
        <v>3</v>
      </c>
      <c r="H37" s="157" t="s">
        <v>24</v>
      </c>
      <c r="I37" s="159">
        <v>3</v>
      </c>
      <c r="J37" s="161"/>
      <c r="K37" s="161"/>
      <c r="L37" s="2209"/>
      <c r="M37" s="163">
        <v>1</v>
      </c>
      <c r="N37" s="166">
        <v>7000</v>
      </c>
      <c r="O37" s="173">
        <v>0.14000000000000001</v>
      </c>
      <c r="P37" s="166">
        <f t="shared" si="0"/>
        <v>6020</v>
      </c>
      <c r="Q37" s="166">
        <f t="shared" si="1"/>
        <v>18060</v>
      </c>
      <c r="R37" s="206"/>
      <c r="S37" s="167">
        <f t="shared" si="2"/>
        <v>7.7280331406816546E-2</v>
      </c>
      <c r="T37" s="150">
        <f t="shared" ref="T37:T44" si="4">Q37*2</f>
        <v>36120</v>
      </c>
      <c r="U37" s="282">
        <f t="shared" si="3"/>
        <v>36120</v>
      </c>
      <c r="Z37" s="282"/>
      <c r="AA37" s="169">
        <f>T37</f>
        <v>36120</v>
      </c>
      <c r="AB37" s="282">
        <f>T37</f>
        <v>36120</v>
      </c>
      <c r="AG37" s="152"/>
    </row>
    <row r="38" spans="1:33" x14ac:dyDescent="0.3">
      <c r="A38" s="157" t="s">
        <v>882</v>
      </c>
      <c r="B38" s="157" t="s">
        <v>409</v>
      </c>
      <c r="C38" s="157" t="s">
        <v>884</v>
      </c>
      <c r="D38" s="157" t="s">
        <v>21</v>
      </c>
      <c r="E38" s="157" t="s">
        <v>518</v>
      </c>
      <c r="F38" s="158" t="s">
        <v>638</v>
      </c>
      <c r="G38" s="157">
        <v>2</v>
      </c>
      <c r="H38" s="157" t="s">
        <v>24</v>
      </c>
      <c r="I38" s="175">
        <v>2</v>
      </c>
      <c r="J38" s="176"/>
      <c r="K38" s="176"/>
      <c r="L38" s="177"/>
      <c r="M38" s="163">
        <v>1</v>
      </c>
      <c r="N38" s="166">
        <v>27024.15</v>
      </c>
      <c r="O38" s="173">
        <v>0.7</v>
      </c>
      <c r="P38" s="166">
        <f t="shared" si="0"/>
        <v>8107.2450000000017</v>
      </c>
      <c r="Q38" s="166">
        <f t="shared" si="1"/>
        <v>16214.490000000003</v>
      </c>
      <c r="R38" s="206"/>
      <c r="S38" s="167">
        <f t="shared" si="2"/>
        <v>6.9383231494602057E-2</v>
      </c>
      <c r="T38" s="150">
        <f t="shared" si="4"/>
        <v>32428.980000000007</v>
      </c>
      <c r="U38" s="282">
        <f t="shared" si="3"/>
        <v>32428.980000000007</v>
      </c>
      <c r="Z38" s="282"/>
      <c r="AA38" s="169">
        <f>T38</f>
        <v>32428.980000000007</v>
      </c>
      <c r="AB38" s="280"/>
      <c r="AC38" s="169">
        <f>T38</f>
        <v>32428.980000000007</v>
      </c>
      <c r="AG38" s="152"/>
    </row>
    <row r="39" spans="1:33" x14ac:dyDescent="0.3">
      <c r="A39" s="157" t="s">
        <v>882</v>
      </c>
      <c r="B39" s="157" t="s">
        <v>409</v>
      </c>
      <c r="C39" s="157" t="s">
        <v>884</v>
      </c>
      <c r="D39" s="157" t="s">
        <v>410</v>
      </c>
      <c r="E39" s="157" t="s">
        <v>518</v>
      </c>
      <c r="F39" s="158" t="s">
        <v>43</v>
      </c>
      <c r="G39" s="157">
        <v>1</v>
      </c>
      <c r="H39" s="157" t="s">
        <v>24</v>
      </c>
      <c r="I39" s="182">
        <v>1</v>
      </c>
      <c r="J39" s="183"/>
      <c r="K39" s="183"/>
      <c r="L39" s="2239"/>
      <c r="M39" s="163">
        <v>1</v>
      </c>
      <c r="N39" s="166">
        <v>61819.199999999997</v>
      </c>
      <c r="O39" s="173">
        <v>0.45</v>
      </c>
      <c r="P39" s="166">
        <f t="shared" si="0"/>
        <v>34000.559999999998</v>
      </c>
      <c r="Q39" s="166">
        <f t="shared" si="1"/>
        <v>34000.559999999998</v>
      </c>
      <c r="R39" s="206" t="e">
        <f>(Q39+Q41+Q43)/E12*1000</f>
        <v>#DIV/0!</v>
      </c>
      <c r="S39" s="167">
        <f t="shared" si="2"/>
        <v>0.1454913922933195</v>
      </c>
      <c r="T39" s="150">
        <f t="shared" si="4"/>
        <v>68001.119999999995</v>
      </c>
      <c r="U39" s="282">
        <f t="shared" si="3"/>
        <v>68001.119999999995</v>
      </c>
      <c r="Z39" s="282"/>
      <c r="AA39" s="169">
        <f>T39</f>
        <v>68001.119999999995</v>
      </c>
      <c r="AB39" s="280"/>
      <c r="AC39" s="169">
        <f>T39</f>
        <v>68001.119999999995</v>
      </c>
      <c r="AG39" s="152"/>
    </row>
    <row r="40" spans="1:33" x14ac:dyDescent="0.3">
      <c r="A40" s="157" t="s">
        <v>882</v>
      </c>
      <c r="B40" s="157" t="s">
        <v>409</v>
      </c>
      <c r="C40" s="157" t="s">
        <v>883</v>
      </c>
      <c r="D40" s="157" t="s">
        <v>411</v>
      </c>
      <c r="E40" s="157" t="s">
        <v>518</v>
      </c>
      <c r="F40" s="158" t="s">
        <v>698</v>
      </c>
      <c r="G40" s="157">
        <v>14</v>
      </c>
      <c r="H40" s="157" t="s">
        <v>24</v>
      </c>
      <c r="I40" s="175">
        <v>14</v>
      </c>
      <c r="J40" s="176"/>
      <c r="K40" s="176"/>
      <c r="L40" s="177"/>
      <c r="M40" s="163">
        <v>1</v>
      </c>
      <c r="N40" s="166">
        <v>7020</v>
      </c>
      <c r="O40" s="173">
        <v>0.68</v>
      </c>
      <c r="P40" s="166">
        <f t="shared" si="0"/>
        <v>2246.3999999999996</v>
      </c>
      <c r="Q40" s="166">
        <f t="shared" si="1"/>
        <v>31449.599999999995</v>
      </c>
      <c r="R40" s="206"/>
      <c r="S40" s="167">
        <f t="shared" si="2"/>
        <v>0.13457560966842841</v>
      </c>
      <c r="T40" s="150">
        <f t="shared" si="4"/>
        <v>62899.19999999999</v>
      </c>
      <c r="U40" s="282"/>
      <c r="V40" s="169">
        <f>T40</f>
        <v>62899.19999999999</v>
      </c>
      <c r="Z40" s="282"/>
      <c r="AA40" s="169">
        <f>T40</f>
        <v>62899.19999999999</v>
      </c>
      <c r="AB40" s="280"/>
      <c r="AC40" s="169">
        <f>T40</f>
        <v>62899.19999999999</v>
      </c>
      <c r="AG40" s="152"/>
    </row>
    <row r="41" spans="1:33" x14ac:dyDescent="0.3">
      <c r="A41" s="157" t="s">
        <v>882</v>
      </c>
      <c r="B41" s="157" t="s">
        <v>412</v>
      </c>
      <c r="C41" s="157" t="s">
        <v>884</v>
      </c>
      <c r="D41" s="157" t="s">
        <v>26</v>
      </c>
      <c r="E41" s="157" t="s">
        <v>524</v>
      </c>
      <c r="F41" s="158" t="s">
        <v>885</v>
      </c>
      <c r="G41" s="157">
        <v>4</v>
      </c>
      <c r="H41" s="157" t="s">
        <v>24</v>
      </c>
      <c r="I41" s="159">
        <v>4</v>
      </c>
      <c r="J41" s="161"/>
      <c r="K41" s="161"/>
      <c r="L41" s="2209"/>
      <c r="M41" s="157">
        <v>1</v>
      </c>
      <c r="N41" s="166">
        <v>9000</v>
      </c>
      <c r="O41" s="173">
        <v>0.2</v>
      </c>
      <c r="P41" s="166">
        <f t="shared" si="0"/>
        <v>7200</v>
      </c>
      <c r="Q41" s="166">
        <f t="shared" si="1"/>
        <v>28800</v>
      </c>
      <c r="R41" s="206"/>
      <c r="S41" s="178">
        <f t="shared" si="2"/>
        <v>0.12323773779160113</v>
      </c>
      <c r="T41" s="150">
        <f t="shared" si="4"/>
        <v>57600</v>
      </c>
      <c r="U41" s="282">
        <f t="shared" ref="U41:U43" si="5">T41</f>
        <v>57600</v>
      </c>
      <c r="Z41" s="282">
        <f>T41</f>
        <v>57600</v>
      </c>
      <c r="AB41" s="280"/>
      <c r="AD41" s="169">
        <f>T41</f>
        <v>57600</v>
      </c>
      <c r="AG41" s="152"/>
    </row>
    <row r="42" spans="1:33" x14ac:dyDescent="0.3">
      <c r="A42" s="157" t="s">
        <v>882</v>
      </c>
      <c r="B42" s="157" t="s">
        <v>413</v>
      </c>
      <c r="C42" s="157" t="s">
        <v>884</v>
      </c>
      <c r="D42" s="157" t="s">
        <v>21</v>
      </c>
      <c r="E42" s="157" t="s">
        <v>518</v>
      </c>
      <c r="F42" s="158" t="s">
        <v>638</v>
      </c>
      <c r="G42" s="157">
        <v>15</v>
      </c>
      <c r="H42" s="157" t="s">
        <v>167</v>
      </c>
      <c r="I42" s="185"/>
      <c r="J42" s="176">
        <v>1</v>
      </c>
      <c r="K42" s="176"/>
      <c r="L42" s="286"/>
      <c r="M42" s="157">
        <v>1</v>
      </c>
      <c r="N42" s="166">
        <v>400</v>
      </c>
      <c r="O42" s="173">
        <v>0.1</v>
      </c>
      <c r="P42" s="166">
        <f t="shared" si="0"/>
        <v>360</v>
      </c>
      <c r="Q42" s="166">
        <f t="shared" si="1"/>
        <v>5400</v>
      </c>
      <c r="R42" s="206"/>
      <c r="S42" s="167">
        <f t="shared" si="2"/>
        <v>2.3107075835925212E-2</v>
      </c>
      <c r="T42" s="150">
        <f t="shared" si="4"/>
        <v>10800</v>
      </c>
      <c r="U42" s="282">
        <f t="shared" si="5"/>
        <v>10800</v>
      </c>
      <c r="Z42" s="280"/>
      <c r="AA42" s="169">
        <f>T42</f>
        <v>10800</v>
      </c>
      <c r="AB42" s="280"/>
      <c r="AE42" s="169">
        <f>T42</f>
        <v>10800</v>
      </c>
      <c r="AG42" s="152"/>
    </row>
    <row r="43" spans="1:33" x14ac:dyDescent="0.3">
      <c r="A43" s="157" t="s">
        <v>882</v>
      </c>
      <c r="B43" s="157" t="s">
        <v>413</v>
      </c>
      <c r="C43" s="157" t="s">
        <v>884</v>
      </c>
      <c r="D43" s="157" t="s">
        <v>26</v>
      </c>
      <c r="E43" s="157" t="s">
        <v>524</v>
      </c>
      <c r="F43" s="158" t="s">
        <v>885</v>
      </c>
      <c r="G43" s="157">
        <v>3</v>
      </c>
      <c r="H43" s="157" t="s">
        <v>24</v>
      </c>
      <c r="I43" s="159">
        <v>3</v>
      </c>
      <c r="J43" s="161"/>
      <c r="K43" s="161"/>
      <c r="L43" s="2209"/>
      <c r="M43" s="157">
        <v>1</v>
      </c>
      <c r="N43" s="166">
        <v>4200</v>
      </c>
      <c r="O43" s="173">
        <v>0.1</v>
      </c>
      <c r="P43" s="186">
        <f t="shared" si="0"/>
        <v>3780</v>
      </c>
      <c r="Q43" s="166">
        <f t="shared" si="1"/>
        <v>11340</v>
      </c>
      <c r="R43" s="206"/>
      <c r="S43" s="178">
        <f t="shared" si="2"/>
        <v>4.8524859255442948E-2</v>
      </c>
      <c r="T43" s="150">
        <f t="shared" si="4"/>
        <v>22680</v>
      </c>
      <c r="U43" s="282">
        <f t="shared" si="5"/>
        <v>22680</v>
      </c>
      <c r="Z43" s="282">
        <f>T43</f>
        <v>22680</v>
      </c>
      <c r="AB43" s="280"/>
      <c r="AE43" s="169">
        <f>T43</f>
        <v>22680</v>
      </c>
      <c r="AG43" s="152"/>
    </row>
    <row r="44" spans="1:33" x14ac:dyDescent="0.3">
      <c r="A44" s="157" t="s">
        <v>882</v>
      </c>
      <c r="B44" s="157" t="s">
        <v>413</v>
      </c>
      <c r="C44" s="157" t="s">
        <v>884</v>
      </c>
      <c r="D44" s="157" t="s">
        <v>414</v>
      </c>
      <c r="E44" s="157" t="s">
        <v>520</v>
      </c>
      <c r="F44" s="158" t="s">
        <v>552</v>
      </c>
      <c r="G44" s="157">
        <v>20</v>
      </c>
      <c r="H44" s="157" t="s">
        <v>24</v>
      </c>
      <c r="I44" s="159">
        <v>20</v>
      </c>
      <c r="J44" s="161"/>
      <c r="K44" s="161"/>
      <c r="L44" s="2209"/>
      <c r="M44" s="157">
        <v>1</v>
      </c>
      <c r="N44" s="166">
        <v>550</v>
      </c>
      <c r="O44" s="173">
        <v>0.27</v>
      </c>
      <c r="P44" s="186">
        <f t="shared" si="0"/>
        <v>401.5</v>
      </c>
      <c r="Q44" s="166">
        <f t="shared" si="1"/>
        <v>8030</v>
      </c>
      <c r="R44" s="206"/>
      <c r="S44" s="178">
        <f t="shared" si="2"/>
        <v>3.4361077585644342E-2</v>
      </c>
      <c r="T44" s="150">
        <f t="shared" si="4"/>
        <v>16060</v>
      </c>
      <c r="U44" s="282"/>
      <c r="V44" s="169">
        <f>T44</f>
        <v>16060</v>
      </c>
      <c r="Z44" s="282">
        <f>T44</f>
        <v>16060</v>
      </c>
      <c r="AB44" s="280"/>
      <c r="AE44" s="169">
        <f>T44</f>
        <v>16060</v>
      </c>
      <c r="AG44" s="152"/>
    </row>
    <row r="45" spans="1:33" x14ac:dyDescent="0.3">
      <c r="A45" s="157"/>
      <c r="B45" s="157"/>
      <c r="C45" s="157"/>
      <c r="D45" s="157"/>
      <c r="E45" s="157"/>
      <c r="F45" s="158"/>
      <c r="G45" s="157"/>
      <c r="H45" s="157"/>
      <c r="L45" s="286"/>
      <c r="M45" s="157"/>
      <c r="N45" s="166"/>
      <c r="O45" s="173"/>
      <c r="P45" s="186"/>
      <c r="Q45" s="166"/>
      <c r="R45" s="206"/>
      <c r="S45" s="393"/>
      <c r="T45" s="150"/>
      <c r="U45" s="280"/>
      <c r="Z45" s="280"/>
      <c r="AB45" s="280"/>
      <c r="AG45" s="152"/>
    </row>
    <row r="46" spans="1:33" x14ac:dyDescent="0.3">
      <c r="A46" s="172"/>
      <c r="B46" s="157"/>
      <c r="C46" s="190"/>
      <c r="D46" s="190"/>
      <c r="E46" s="190"/>
      <c r="F46" s="191"/>
      <c r="G46" s="190"/>
      <c r="H46" s="190"/>
      <c r="I46" s="245"/>
      <c r="J46" s="245"/>
      <c r="K46" s="245"/>
      <c r="L46" s="287"/>
      <c r="M46" s="190"/>
      <c r="N46" s="194"/>
      <c r="O46" s="195"/>
      <c r="P46" s="288"/>
      <c r="Q46" s="166"/>
      <c r="R46" s="206"/>
      <c r="S46" s="393"/>
      <c r="T46" s="150"/>
      <c r="U46" s="280"/>
      <c r="Z46" s="280"/>
      <c r="AB46" s="280"/>
      <c r="AG46" s="152"/>
    </row>
    <row r="47" spans="1:33" x14ac:dyDescent="0.3">
      <c r="A47" s="108" t="s">
        <v>882</v>
      </c>
      <c r="B47" s="108" t="s">
        <v>528</v>
      </c>
      <c r="C47" s="192"/>
      <c r="D47" s="193"/>
      <c r="E47" s="193"/>
      <c r="F47" s="244"/>
      <c r="G47" s="193"/>
      <c r="H47" s="193"/>
      <c r="I47" s="245"/>
      <c r="J47" s="245"/>
      <c r="K47" s="245"/>
      <c r="L47" s="245"/>
      <c r="M47" s="193"/>
      <c r="N47" s="246"/>
      <c r="O47" s="196"/>
      <c r="P47" s="288"/>
      <c r="Q47" s="257"/>
      <c r="R47" s="290"/>
      <c r="S47" s="256">
        <f>Q47/Q50</f>
        <v>0</v>
      </c>
      <c r="T47" s="150">
        <f t="shared" ref="T47:T48" si="6">Q47*2</f>
        <v>0</v>
      </c>
      <c r="U47" s="280"/>
      <c r="X47" s="169">
        <f>T47</f>
        <v>0</v>
      </c>
      <c r="Z47" s="280"/>
      <c r="AB47" s="280"/>
      <c r="AG47" s="152"/>
    </row>
    <row r="48" spans="1:33" x14ac:dyDescent="0.3">
      <c r="A48" s="108" t="s">
        <v>882</v>
      </c>
      <c r="B48" s="108" t="s">
        <v>529</v>
      </c>
      <c r="C48" s="289"/>
      <c r="D48" s="252"/>
      <c r="E48" s="252"/>
      <c r="F48" s="253"/>
      <c r="G48" s="252"/>
      <c r="H48" s="252"/>
      <c r="I48" s="254"/>
      <c r="J48" s="254"/>
      <c r="K48" s="254"/>
      <c r="L48" s="254"/>
      <c r="M48" s="252"/>
      <c r="N48" s="255"/>
      <c r="O48" s="256"/>
      <c r="P48" s="290"/>
      <c r="Q48" s="257">
        <v>35000</v>
      </c>
      <c r="R48" s="480"/>
      <c r="S48" s="291">
        <f>Q48/Q50</f>
        <v>0.1497680841217375</v>
      </c>
      <c r="T48" s="150">
        <f t="shared" si="6"/>
        <v>70000</v>
      </c>
      <c r="U48" s="280"/>
      <c r="Y48" s="169">
        <f>T48</f>
        <v>70000</v>
      </c>
      <c r="Z48" s="280"/>
      <c r="AB48" s="280"/>
      <c r="AG48" s="152"/>
    </row>
    <row r="49" spans="1:33" x14ac:dyDescent="0.3">
      <c r="I49" s="115">
        <f>I50/$M$50</f>
        <v>0.98611111111111116</v>
      </c>
      <c r="J49" s="115">
        <f>J50/$M$50</f>
        <v>1.3888888888888888E-2</v>
      </c>
      <c r="T49" s="283"/>
      <c r="U49" s="280"/>
      <c r="Z49" s="280"/>
      <c r="AB49" s="566"/>
      <c r="AC49" s="245"/>
      <c r="AD49" s="245"/>
      <c r="AE49" s="245"/>
      <c r="AF49" s="245"/>
      <c r="AG49" s="567"/>
    </row>
    <row r="50" spans="1:33" x14ac:dyDescent="0.3">
      <c r="A50" s="212" t="s">
        <v>531</v>
      </c>
      <c r="B50" s="213"/>
      <c r="C50" s="213"/>
      <c r="D50" s="213"/>
      <c r="E50" s="213"/>
      <c r="F50" s="214"/>
      <c r="G50" s="213"/>
      <c r="H50" s="213"/>
      <c r="I50" s="213">
        <f>I44+I43+I41+I40+I39+I37+I36+I35+I38</f>
        <v>71</v>
      </c>
      <c r="J50" s="213">
        <f>J42</f>
        <v>1</v>
      </c>
      <c r="K50" s="213"/>
      <c r="L50" s="213"/>
      <c r="M50" s="213">
        <f>SUM(I50:L50)</f>
        <v>72</v>
      </c>
      <c r="N50" s="215"/>
      <c r="O50" s="216"/>
      <c r="P50" s="215"/>
      <c r="Q50" s="481">
        <f>SUM(Q34:Q49)</f>
        <v>233694.65</v>
      </c>
      <c r="R50" s="481"/>
      <c r="S50" s="218">
        <f>SUM(S34:S48)</f>
        <v>0.99999999999999989</v>
      </c>
      <c r="T50" s="1047">
        <f>SUM(T34:T49)</f>
        <v>467389.3</v>
      </c>
      <c r="U50" s="569">
        <f t="shared" ref="U50:AA50" si="7">SUM(U34:U48)</f>
        <v>318430.09999999998</v>
      </c>
      <c r="V50" s="570">
        <f t="shared" si="7"/>
        <v>78959.199999999983</v>
      </c>
      <c r="W50" s="570">
        <f t="shared" si="7"/>
        <v>0</v>
      </c>
      <c r="X50" s="570">
        <f t="shared" si="7"/>
        <v>0</v>
      </c>
      <c r="Y50" s="570">
        <f t="shared" si="7"/>
        <v>70000</v>
      </c>
      <c r="Z50" s="572">
        <f t="shared" si="7"/>
        <v>187140</v>
      </c>
      <c r="AA50" s="570">
        <f t="shared" si="7"/>
        <v>210249.3</v>
      </c>
      <c r="AB50" s="220">
        <f>SUM(AB33:AB49)</f>
        <v>126920</v>
      </c>
      <c r="AC50" s="221">
        <f>SUM(AC33:AC49)</f>
        <v>163329.29999999999</v>
      </c>
      <c r="AD50" s="221">
        <f>SUM(AD33:AD49)</f>
        <v>57600</v>
      </c>
      <c r="AE50" s="221">
        <f>SUM(AE33:AE49)</f>
        <v>49540</v>
      </c>
      <c r="AF50" s="644"/>
      <c r="AG50" s="579"/>
    </row>
    <row r="51" spans="1:33" x14ac:dyDescent="0.3">
      <c r="A51" s="228" t="s">
        <v>532</v>
      </c>
      <c r="B51" s="229"/>
      <c r="C51" s="229"/>
      <c r="D51" s="229"/>
      <c r="E51" s="229"/>
      <c r="F51" s="230"/>
      <c r="G51" s="229"/>
      <c r="H51" s="229"/>
      <c r="I51" s="229">
        <f>I44+I43+I41+I40+I39+I37+I36+I35</f>
        <v>69</v>
      </c>
      <c r="J51" s="229">
        <f>I44+I43+J42+I41+I40+I39+I37+I36+I35</f>
        <v>70</v>
      </c>
      <c r="K51" s="229">
        <f>I44+I43+J42+I41+I40+I39+I37+I36</f>
        <v>50</v>
      </c>
      <c r="L51" s="229">
        <f>I44+I43+I41+I40+I39+I37+I36</f>
        <v>49</v>
      </c>
      <c r="M51" s="229">
        <f>SUM(I51:L51)</f>
        <v>238</v>
      </c>
      <c r="N51" s="231"/>
      <c r="O51" s="232"/>
      <c r="P51" s="231"/>
      <c r="Q51" s="231"/>
      <c r="R51" s="231"/>
      <c r="S51" s="233"/>
      <c r="T51" s="958"/>
      <c r="U51" s="235">
        <f>U50/T50</f>
        <v>0.68129522862418967</v>
      </c>
      <c r="V51" s="236">
        <f>V50/T50</f>
        <v>0.16893668725407274</v>
      </c>
      <c r="W51" s="236">
        <f>W50/T50</f>
        <v>0</v>
      </c>
      <c r="X51" s="236">
        <f>X50/T50</f>
        <v>0</v>
      </c>
      <c r="Y51" s="236">
        <f>Y50/T50</f>
        <v>0.1497680841217375</v>
      </c>
      <c r="Z51" s="298">
        <f>Z50/T50</f>
        <v>0.40039427517917076</v>
      </c>
      <c r="AA51" s="236">
        <f>AA50/T50</f>
        <v>0.44983764069909171</v>
      </c>
      <c r="AB51" s="573"/>
      <c r="AC51" s="487"/>
      <c r="AD51" s="487"/>
      <c r="AE51" s="487"/>
      <c r="AF51" s="487"/>
      <c r="AG51" s="242"/>
    </row>
    <row r="52" spans="1:33" x14ac:dyDescent="0.3">
      <c r="A52" s="243" t="s">
        <v>533</v>
      </c>
      <c r="B52" s="193"/>
      <c r="C52" s="193"/>
      <c r="D52" s="193"/>
      <c r="E52" s="193"/>
      <c r="F52" s="244"/>
      <c r="G52" s="193"/>
      <c r="H52" s="193"/>
      <c r="I52" s="2182">
        <f>I51/$M$51</f>
        <v>0.28991596638655465</v>
      </c>
      <c r="J52" s="2182">
        <f t="shared" ref="J52:L52" si="8">J51/$M$51</f>
        <v>0.29411764705882354</v>
      </c>
      <c r="K52" s="2182">
        <f t="shared" si="8"/>
        <v>0.21008403361344538</v>
      </c>
      <c r="L52" s="2182">
        <f t="shared" si="8"/>
        <v>0.20588235294117646</v>
      </c>
      <c r="M52" s="193"/>
      <c r="N52" s="246"/>
      <c r="O52" s="196"/>
      <c r="P52" s="246"/>
      <c r="Q52" s="194">
        <f>U50/2</f>
        <v>159215.04999999999</v>
      </c>
      <c r="R52" s="288"/>
      <c r="S52" s="247">
        <f>Q52/Q57</f>
        <v>0.68129522862418979</v>
      </c>
      <c r="Y52" s="248"/>
      <c r="Z52" s="1048">
        <f>I35+I36+I41+I43+I44</f>
        <v>51</v>
      </c>
      <c r="AA52" s="1049">
        <f>I37+I38+I39+I40+J42</f>
        <v>21</v>
      </c>
    </row>
    <row r="53" spans="1:33" x14ac:dyDescent="0.3">
      <c r="A53" s="251" t="s">
        <v>11</v>
      </c>
      <c r="B53" s="252"/>
      <c r="C53" s="252"/>
      <c r="D53" s="252"/>
      <c r="E53" s="252"/>
      <c r="F53" s="253"/>
      <c r="G53" s="252"/>
      <c r="H53" s="252"/>
      <c r="I53" s="254"/>
      <c r="J53" s="254"/>
      <c r="K53" s="254"/>
      <c r="L53" s="254"/>
      <c r="M53" s="252"/>
      <c r="N53" s="255"/>
      <c r="O53" s="256"/>
      <c r="P53" s="255"/>
      <c r="Q53" s="257">
        <f>V50/2</f>
        <v>39479.599999999991</v>
      </c>
      <c r="R53" s="290"/>
      <c r="S53" s="262">
        <f>Q53/Q57</f>
        <v>0.16893668725407276</v>
      </c>
      <c r="T53" s="1050">
        <f>Q50/M50</f>
        <v>3245.7590277777776</v>
      </c>
      <c r="U53" s="1051" t="s">
        <v>535</v>
      </c>
      <c r="Z53" s="964">
        <f>Z52/M50</f>
        <v>0.70833333333333337</v>
      </c>
      <c r="AA53" s="323">
        <f>AA52/M50</f>
        <v>0.29166666666666669</v>
      </c>
    </row>
    <row r="54" spans="1:33" x14ac:dyDescent="0.3">
      <c r="A54" s="251" t="s">
        <v>536</v>
      </c>
      <c r="B54" s="252"/>
      <c r="C54" s="252"/>
      <c r="D54" s="252"/>
      <c r="E54" s="252"/>
      <c r="F54" s="253"/>
      <c r="G54" s="252"/>
      <c r="H54" s="252"/>
      <c r="I54" s="254"/>
      <c r="J54" s="254"/>
      <c r="K54" s="254"/>
      <c r="L54" s="254"/>
      <c r="M54" s="252"/>
      <c r="N54" s="255"/>
      <c r="O54" s="256"/>
      <c r="P54" s="255"/>
      <c r="Q54" s="257">
        <f>W50/2</f>
        <v>0</v>
      </c>
      <c r="R54" s="290"/>
      <c r="S54" s="262">
        <f>Q54/Q57</f>
        <v>0</v>
      </c>
      <c r="V54" s="263"/>
      <c r="X54" s="99"/>
      <c r="Z54" s="2551" t="s">
        <v>537</v>
      </c>
      <c r="AA54" s="2551"/>
    </row>
    <row r="55" spans="1:33" x14ac:dyDescent="0.3">
      <c r="A55" s="251" t="s">
        <v>529</v>
      </c>
      <c r="B55" s="252"/>
      <c r="C55" s="252"/>
      <c r="D55" s="252"/>
      <c r="E55" s="252"/>
      <c r="F55" s="253"/>
      <c r="G55" s="252"/>
      <c r="H55" s="252"/>
      <c r="I55" s="254"/>
      <c r="J55" s="254"/>
      <c r="K55" s="254"/>
      <c r="L55" s="254"/>
      <c r="M55" s="252"/>
      <c r="N55" s="255"/>
      <c r="O55" s="256"/>
      <c r="P55" s="255"/>
      <c r="Q55" s="257">
        <f>Y50/2</f>
        <v>35000</v>
      </c>
      <c r="R55" s="290"/>
      <c r="S55" s="262">
        <f>Q55/Q57</f>
        <v>0.1497680841217375</v>
      </c>
      <c r="U55" s="263"/>
      <c r="V55" s="263"/>
    </row>
    <row r="56" spans="1:33" x14ac:dyDescent="0.3">
      <c r="A56" s="251" t="s">
        <v>528</v>
      </c>
      <c r="B56" s="252"/>
      <c r="C56" s="252"/>
      <c r="D56" s="252"/>
      <c r="E56" s="252"/>
      <c r="F56" s="253"/>
      <c r="G56" s="252"/>
      <c r="H56" s="252"/>
      <c r="I56" s="254"/>
      <c r="J56" s="254"/>
      <c r="K56" s="254"/>
      <c r="L56" s="254"/>
      <c r="M56" s="252"/>
      <c r="N56" s="255"/>
      <c r="O56" s="256"/>
      <c r="P56" s="255"/>
      <c r="Q56" s="257">
        <f>X50/2</f>
        <v>0</v>
      </c>
      <c r="R56" s="290"/>
      <c r="S56" s="262">
        <f>Q56/Q57</f>
        <v>0</v>
      </c>
    </row>
    <row r="57" spans="1:33" x14ac:dyDescent="0.3">
      <c r="A57" s="251"/>
      <c r="B57" s="252"/>
      <c r="C57" s="252"/>
      <c r="D57" s="252"/>
      <c r="E57" s="252"/>
      <c r="F57" s="253"/>
      <c r="G57" s="252"/>
      <c r="H57" s="252"/>
      <c r="I57" s="254"/>
      <c r="J57" s="254"/>
      <c r="K57" s="254"/>
      <c r="L57" s="254"/>
      <c r="M57" s="252"/>
      <c r="N57" s="255"/>
      <c r="O57" s="256"/>
      <c r="P57" s="255"/>
      <c r="Q57" s="264">
        <f>SUM(Q52:Q56)</f>
        <v>233694.64999999997</v>
      </c>
      <c r="R57" s="490"/>
      <c r="S57" s="262">
        <f>SUM(S52:S56)</f>
        <v>1</v>
      </c>
    </row>
    <row r="59" spans="1:33" ht="18" x14ac:dyDescent="0.35">
      <c r="A59" s="1037" t="s">
        <v>538</v>
      </c>
      <c r="S59" s="98"/>
    </row>
    <row r="60" spans="1:33" ht="18" x14ac:dyDescent="0.35">
      <c r="A60" s="1037"/>
      <c r="S60" s="98"/>
    </row>
    <row r="61" spans="1:33" x14ac:dyDescent="0.3">
      <c r="A61" s="2560" t="s">
        <v>480</v>
      </c>
      <c r="B61" s="2561"/>
      <c r="C61" s="2561"/>
      <c r="D61" s="2561"/>
      <c r="E61" s="2561"/>
      <c r="F61" s="2561"/>
      <c r="G61" s="2561"/>
      <c r="H61" s="2561"/>
      <c r="I61" s="2561"/>
      <c r="J61" s="2561"/>
      <c r="K61" s="2561"/>
      <c r="L61" s="2561"/>
      <c r="M61" s="2561"/>
      <c r="N61" s="2561"/>
      <c r="O61" s="2561"/>
      <c r="P61" s="2561"/>
      <c r="Q61" s="2561"/>
      <c r="R61" s="2561"/>
      <c r="S61" s="2561"/>
      <c r="T61" s="2563" t="s">
        <v>584</v>
      </c>
      <c r="U61" s="2564"/>
      <c r="V61" s="2564"/>
      <c r="W61" s="2564"/>
      <c r="X61" s="2564"/>
      <c r="Y61" s="2564"/>
      <c r="Z61" s="2564"/>
      <c r="AA61" s="2564"/>
      <c r="AB61" s="2564"/>
      <c r="AC61" s="2564"/>
      <c r="AD61" s="2564"/>
      <c r="AE61" s="2564"/>
      <c r="AF61" s="2564"/>
      <c r="AG61" s="2576"/>
    </row>
    <row r="62" spans="1:33" ht="18" x14ac:dyDescent="0.3">
      <c r="A62" s="2284" t="s">
        <v>482</v>
      </c>
      <c r="B62" s="2286" t="s">
        <v>483</v>
      </c>
      <c r="C62" s="2286" t="s">
        <v>484</v>
      </c>
      <c r="D62" s="2286" t="s">
        <v>485</v>
      </c>
      <c r="E62" s="2286" t="s">
        <v>486</v>
      </c>
      <c r="F62" s="2288" t="s">
        <v>487</v>
      </c>
      <c r="G62" s="2286" t="s">
        <v>488</v>
      </c>
      <c r="H62" s="2286" t="s">
        <v>489</v>
      </c>
      <c r="I62" s="2266" t="s">
        <v>490</v>
      </c>
      <c r="J62" s="2266"/>
      <c r="K62" s="2266"/>
      <c r="L62" s="2266"/>
      <c r="M62" s="265" t="s">
        <v>491</v>
      </c>
      <c r="N62" s="266" t="s">
        <v>492</v>
      </c>
      <c r="O62" s="267" t="s">
        <v>493</v>
      </c>
      <c r="P62" s="266" t="s">
        <v>492</v>
      </c>
      <c r="Q62" s="266" t="s">
        <v>494</v>
      </c>
      <c r="R62" s="491" t="s">
        <v>585</v>
      </c>
      <c r="S62" s="2267" t="s">
        <v>495</v>
      </c>
      <c r="T62" s="1052" t="s">
        <v>496</v>
      </c>
      <c r="U62" s="2580" t="s">
        <v>497</v>
      </c>
      <c r="V62" s="2580"/>
      <c r="W62" s="2580"/>
      <c r="X62" s="2580"/>
      <c r="Y62" s="2580"/>
      <c r="Z62" s="2582" t="s">
        <v>498</v>
      </c>
      <c r="AA62" s="2583"/>
      <c r="AB62" s="2582" t="s">
        <v>499</v>
      </c>
      <c r="AC62" s="2581"/>
      <c r="AD62" s="2581"/>
      <c r="AE62" s="2581"/>
      <c r="AF62" s="2581"/>
      <c r="AG62" s="2583"/>
    </row>
    <row r="63" spans="1:33" ht="18" x14ac:dyDescent="0.3">
      <c r="A63" s="2285"/>
      <c r="B63" s="2287"/>
      <c r="C63" s="2287"/>
      <c r="D63" s="2287"/>
      <c r="E63" s="2287"/>
      <c r="F63" s="2289"/>
      <c r="G63" s="2287"/>
      <c r="H63" s="2287"/>
      <c r="I63" s="269" t="s">
        <v>500</v>
      </c>
      <c r="J63" s="269" t="s">
        <v>501</v>
      </c>
      <c r="K63" s="269" t="s">
        <v>502</v>
      </c>
      <c r="L63" s="269" t="s">
        <v>503</v>
      </c>
      <c r="M63" s="270" t="s">
        <v>504</v>
      </c>
      <c r="N63" s="271" t="s">
        <v>505</v>
      </c>
      <c r="O63" s="272" t="s">
        <v>506</v>
      </c>
      <c r="P63" s="271" t="s">
        <v>507</v>
      </c>
      <c r="Q63" s="271" t="s">
        <v>507</v>
      </c>
      <c r="R63" s="558"/>
      <c r="S63" s="2268"/>
      <c r="T63" s="1052" t="s">
        <v>508</v>
      </c>
      <c r="U63" s="2581"/>
      <c r="V63" s="2581"/>
      <c r="W63" s="2581"/>
      <c r="X63" s="2581"/>
      <c r="Y63" s="2581"/>
      <c r="Z63" s="2582"/>
      <c r="AA63" s="2583"/>
      <c r="AB63" s="2584"/>
      <c r="AC63" s="2585"/>
      <c r="AD63" s="2585"/>
      <c r="AE63" s="2585"/>
      <c r="AF63" s="2585"/>
      <c r="AG63" s="2586"/>
    </row>
    <row r="64" spans="1:33" ht="18" x14ac:dyDescent="0.35">
      <c r="A64" s="2476" t="s">
        <v>540</v>
      </c>
      <c r="B64" s="2477"/>
      <c r="C64" s="2477"/>
      <c r="D64" s="2477"/>
      <c r="E64" s="2477"/>
      <c r="F64" s="2477"/>
      <c r="G64" s="2477"/>
      <c r="H64" s="2477"/>
      <c r="I64" s="2477"/>
      <c r="J64" s="2477"/>
      <c r="K64" s="2477"/>
      <c r="L64" s="2477"/>
      <c r="M64" s="2477"/>
      <c r="N64" s="2477"/>
      <c r="O64" s="2477"/>
      <c r="P64" s="2477"/>
      <c r="Q64" s="2477"/>
      <c r="R64" s="2477"/>
      <c r="S64" s="2477"/>
      <c r="T64" s="1039"/>
      <c r="U64" s="1040" t="s">
        <v>510</v>
      </c>
      <c r="V64" s="1041" t="s">
        <v>11</v>
      </c>
      <c r="W64" s="1041" t="s">
        <v>511</v>
      </c>
      <c r="X64" s="1041" t="s">
        <v>512</v>
      </c>
      <c r="Y64" s="1045" t="s">
        <v>513</v>
      </c>
      <c r="Z64" s="1053" t="s">
        <v>514</v>
      </c>
      <c r="AA64" s="1045" t="s">
        <v>515</v>
      </c>
      <c r="AB64" s="1041" t="s">
        <v>163</v>
      </c>
      <c r="AC64" s="1041" t="s">
        <v>12</v>
      </c>
      <c r="AD64" s="1053" t="s">
        <v>164</v>
      </c>
      <c r="AE64" s="1044" t="s">
        <v>165</v>
      </c>
      <c r="AF64" s="1044" t="s">
        <v>139</v>
      </c>
      <c r="AG64" s="1045" t="s">
        <v>5</v>
      </c>
    </row>
    <row r="65" spans="1:33" x14ac:dyDescent="0.3">
      <c r="A65" s="154"/>
      <c r="B65" s="462"/>
      <c r="C65" s="462"/>
      <c r="D65" s="462"/>
      <c r="E65" s="462"/>
      <c r="F65" s="463"/>
      <c r="G65" s="462"/>
      <c r="H65" s="462"/>
      <c r="I65" s="465"/>
      <c r="J65" s="465"/>
      <c r="K65" s="465"/>
      <c r="L65" s="465"/>
      <c r="M65" s="462"/>
      <c r="N65" s="468"/>
      <c r="O65" s="469"/>
      <c r="P65" s="468"/>
      <c r="Q65" s="468"/>
      <c r="R65" s="470"/>
      <c r="S65" s="501"/>
      <c r="T65" s="283"/>
      <c r="U65" s="280"/>
      <c r="Y65" s="152"/>
      <c r="AA65" s="152"/>
      <c r="AE65" s="465"/>
      <c r="AG65" s="152"/>
    </row>
    <row r="66" spans="1:33" x14ac:dyDescent="0.3">
      <c r="A66" s="157" t="s">
        <v>882</v>
      </c>
      <c r="B66" s="157" t="s">
        <v>407</v>
      </c>
      <c r="C66" s="157" t="s">
        <v>883</v>
      </c>
      <c r="D66" s="157" t="s">
        <v>166</v>
      </c>
      <c r="E66" s="157" t="s">
        <v>520</v>
      </c>
      <c r="F66" s="158" t="s">
        <v>522</v>
      </c>
      <c r="G66" s="157">
        <v>20</v>
      </c>
      <c r="H66" s="157" t="s">
        <v>63</v>
      </c>
      <c r="I66" s="159">
        <v>20</v>
      </c>
      <c r="J66" s="161"/>
      <c r="L66" s="286"/>
      <c r="M66" s="163">
        <v>1</v>
      </c>
      <c r="N66" s="166">
        <v>1700</v>
      </c>
      <c r="O66" s="173">
        <v>0.06</v>
      </c>
      <c r="P66" s="166">
        <f t="shared" ref="P66:P76" si="9">N66*(1-O66)</f>
        <v>1598</v>
      </c>
      <c r="Q66" s="166">
        <f t="shared" ref="Q66:Q76" si="10">P66*M66*G66</f>
        <v>31960</v>
      </c>
      <c r="R66" s="206" t="e">
        <f>(Q66+Q70)/E42*1000</f>
        <v>#VALUE!</v>
      </c>
      <c r="S66" s="178">
        <f t="shared" ref="S66:S76" si="11">Q66/$Q$50</f>
        <v>0.13675965624373515</v>
      </c>
      <c r="T66" s="150">
        <f>Q66</f>
        <v>31960</v>
      </c>
      <c r="U66" s="282">
        <f t="shared" ref="U66:U73" si="12">T66</f>
        <v>31960</v>
      </c>
      <c r="Y66" s="152"/>
      <c r="Z66" s="169">
        <f>T66</f>
        <v>31960</v>
      </c>
      <c r="AA66" s="171"/>
      <c r="AB66" s="169">
        <f>T66</f>
        <v>31960</v>
      </c>
      <c r="AG66" s="152"/>
    </row>
    <row r="67" spans="1:33" x14ac:dyDescent="0.3">
      <c r="A67" s="157" t="s">
        <v>882</v>
      </c>
      <c r="B67" s="157" t="s">
        <v>408</v>
      </c>
      <c r="C67" s="157" t="s">
        <v>884</v>
      </c>
      <c r="D67" s="157" t="s">
        <v>26</v>
      </c>
      <c r="E67" s="157" t="s">
        <v>520</v>
      </c>
      <c r="F67" s="158" t="s">
        <v>885</v>
      </c>
      <c r="G67" s="157">
        <v>4</v>
      </c>
      <c r="H67" s="157" t="s">
        <v>24</v>
      </c>
      <c r="I67" s="175">
        <v>4</v>
      </c>
      <c r="J67" s="176"/>
      <c r="K67" s="176"/>
      <c r="L67" s="177"/>
      <c r="M67" s="163">
        <v>1</v>
      </c>
      <c r="N67" s="166">
        <v>3500</v>
      </c>
      <c r="O67" s="173">
        <v>0.04</v>
      </c>
      <c r="P67" s="166">
        <f t="shared" si="9"/>
        <v>3360</v>
      </c>
      <c r="Q67" s="166">
        <f t="shared" si="10"/>
        <v>13440</v>
      </c>
      <c r="R67" s="206" t="e">
        <f>(Q67+Q74)/E42*1000</f>
        <v>#VALUE!</v>
      </c>
      <c r="S67" s="178">
        <f t="shared" si="11"/>
        <v>5.7510944302747197E-2</v>
      </c>
      <c r="T67" s="150">
        <f t="shared" ref="T67:T76" si="13">Q67</f>
        <v>13440</v>
      </c>
      <c r="U67" s="282">
        <f t="shared" si="12"/>
        <v>13440</v>
      </c>
      <c r="W67" s="169"/>
      <c r="Y67" s="152"/>
      <c r="Z67" s="5">
        <f>T67</f>
        <v>13440</v>
      </c>
      <c r="AA67" s="171"/>
      <c r="AB67" s="169">
        <f>T67</f>
        <v>13440</v>
      </c>
      <c r="AG67" s="152"/>
    </row>
    <row r="68" spans="1:33" x14ac:dyDescent="0.3">
      <c r="A68" s="157" t="s">
        <v>882</v>
      </c>
      <c r="B68" s="157" t="s">
        <v>407</v>
      </c>
      <c r="C68" s="157" t="s">
        <v>884</v>
      </c>
      <c r="D68" s="157" t="s">
        <v>21</v>
      </c>
      <c r="E68" s="157" t="s">
        <v>518</v>
      </c>
      <c r="F68" s="158" t="s">
        <v>638</v>
      </c>
      <c r="G68" s="157">
        <v>3</v>
      </c>
      <c r="H68" s="157" t="s">
        <v>24</v>
      </c>
      <c r="I68" s="159">
        <v>3</v>
      </c>
      <c r="J68" s="161"/>
      <c r="K68" s="161"/>
      <c r="L68" s="2209"/>
      <c r="M68" s="163">
        <v>1</v>
      </c>
      <c r="N68" s="166">
        <v>7000</v>
      </c>
      <c r="O68" s="173">
        <v>0.14000000000000001</v>
      </c>
      <c r="P68" s="166">
        <f t="shared" si="9"/>
        <v>6020</v>
      </c>
      <c r="Q68" s="166">
        <f t="shared" si="10"/>
        <v>18060</v>
      </c>
      <c r="R68" s="206"/>
      <c r="S68" s="167">
        <f t="shared" si="11"/>
        <v>7.7280331406816546E-2</v>
      </c>
      <c r="T68" s="150">
        <f t="shared" si="13"/>
        <v>18060</v>
      </c>
      <c r="U68" s="282">
        <f t="shared" si="12"/>
        <v>18060</v>
      </c>
      <c r="Y68" s="152"/>
      <c r="Z68" s="169"/>
      <c r="AA68" s="171">
        <f>T68</f>
        <v>18060</v>
      </c>
      <c r="AB68" s="169">
        <f>T68</f>
        <v>18060</v>
      </c>
      <c r="AG68" s="152"/>
    </row>
    <row r="69" spans="1:33" x14ac:dyDescent="0.3">
      <c r="A69" s="157" t="s">
        <v>882</v>
      </c>
      <c r="B69" s="157" t="s">
        <v>409</v>
      </c>
      <c r="C69" s="157" t="s">
        <v>884</v>
      </c>
      <c r="D69" s="157" t="s">
        <v>21</v>
      </c>
      <c r="E69" s="157" t="s">
        <v>518</v>
      </c>
      <c r="F69" s="158" t="s">
        <v>638</v>
      </c>
      <c r="G69" s="157">
        <v>2</v>
      </c>
      <c r="H69" s="157" t="s">
        <v>24</v>
      </c>
      <c r="I69" s="175">
        <v>2</v>
      </c>
      <c r="J69" s="176"/>
      <c r="K69" s="176"/>
      <c r="L69" s="177"/>
      <c r="M69" s="163">
        <v>1</v>
      </c>
      <c r="N69" s="166">
        <v>27024.15</v>
      </c>
      <c r="O69" s="173">
        <v>0.7</v>
      </c>
      <c r="P69" s="166">
        <f t="shared" si="9"/>
        <v>8107.2450000000017</v>
      </c>
      <c r="Q69" s="166">
        <f t="shared" si="10"/>
        <v>16214.490000000003</v>
      </c>
      <c r="R69" s="206"/>
      <c r="S69" s="167">
        <f t="shared" si="11"/>
        <v>6.9383231494602057E-2</v>
      </c>
      <c r="T69" s="150">
        <f t="shared" si="13"/>
        <v>16214.490000000003</v>
      </c>
      <c r="U69" s="282">
        <f t="shared" si="12"/>
        <v>16214.490000000003</v>
      </c>
      <c r="Y69" s="152"/>
      <c r="Z69" s="169"/>
      <c r="AA69" s="171">
        <f>T69</f>
        <v>16214.490000000003</v>
      </c>
      <c r="AB69" s="169"/>
      <c r="AC69" s="169">
        <f>T69</f>
        <v>16214.490000000003</v>
      </c>
      <c r="AG69" s="152"/>
    </row>
    <row r="70" spans="1:33" x14ac:dyDescent="0.3">
      <c r="A70" s="157" t="s">
        <v>882</v>
      </c>
      <c r="B70" s="157" t="s">
        <v>409</v>
      </c>
      <c r="C70" s="157" t="s">
        <v>883</v>
      </c>
      <c r="D70" s="157" t="s">
        <v>411</v>
      </c>
      <c r="E70" s="157" t="s">
        <v>518</v>
      </c>
      <c r="F70" s="158" t="s">
        <v>698</v>
      </c>
      <c r="G70" s="157">
        <v>14</v>
      </c>
      <c r="H70" s="157" t="s">
        <v>24</v>
      </c>
      <c r="I70" s="175">
        <v>14</v>
      </c>
      <c r="J70" s="176"/>
      <c r="K70" s="176"/>
      <c r="L70" s="177"/>
      <c r="M70" s="163">
        <v>1</v>
      </c>
      <c r="N70" s="166">
        <v>7020</v>
      </c>
      <c r="O70" s="173">
        <v>0.68</v>
      </c>
      <c r="P70" s="166">
        <f t="shared" si="9"/>
        <v>2246.3999999999996</v>
      </c>
      <c r="Q70" s="166">
        <f t="shared" si="10"/>
        <v>31449.599999999995</v>
      </c>
      <c r="R70" s="206"/>
      <c r="S70" s="167">
        <f t="shared" si="11"/>
        <v>0.13457560966842841</v>
      </c>
      <c r="T70" s="150">
        <f t="shared" si="13"/>
        <v>31449.599999999995</v>
      </c>
      <c r="U70" s="282"/>
      <c r="V70" s="169">
        <f>T70</f>
        <v>31449.599999999995</v>
      </c>
      <c r="Y70" s="152"/>
      <c r="Z70" s="169"/>
      <c r="AA70" s="171">
        <f>T70</f>
        <v>31449.599999999995</v>
      </c>
      <c r="AC70" s="169">
        <f>T70</f>
        <v>31449.599999999995</v>
      </c>
      <c r="AG70" s="152"/>
    </row>
    <row r="71" spans="1:33" x14ac:dyDescent="0.3">
      <c r="A71" s="157" t="s">
        <v>882</v>
      </c>
      <c r="B71" s="157" t="s">
        <v>412</v>
      </c>
      <c r="C71" s="157" t="s">
        <v>884</v>
      </c>
      <c r="D71" s="157" t="s">
        <v>26</v>
      </c>
      <c r="E71" s="157" t="s">
        <v>524</v>
      </c>
      <c r="F71" s="158" t="s">
        <v>885</v>
      </c>
      <c r="G71" s="157">
        <v>4</v>
      </c>
      <c r="H71" s="157" t="s">
        <v>24</v>
      </c>
      <c r="I71" s="159">
        <v>4</v>
      </c>
      <c r="J71" s="161"/>
      <c r="K71" s="161"/>
      <c r="L71" s="2209"/>
      <c r="M71" s="157">
        <v>1</v>
      </c>
      <c r="N71" s="166">
        <v>9000</v>
      </c>
      <c r="O71" s="173">
        <v>0.2</v>
      </c>
      <c r="P71" s="166">
        <f t="shared" si="9"/>
        <v>7200</v>
      </c>
      <c r="Q71" s="166">
        <f t="shared" si="10"/>
        <v>28800</v>
      </c>
      <c r="R71" s="206"/>
      <c r="S71" s="178">
        <f t="shared" si="11"/>
        <v>0.12323773779160113</v>
      </c>
      <c r="T71" s="150">
        <f t="shared" si="13"/>
        <v>28800</v>
      </c>
      <c r="U71" s="282">
        <f t="shared" si="12"/>
        <v>28800</v>
      </c>
      <c r="Y71" s="152"/>
      <c r="Z71" s="169">
        <f>T71</f>
        <v>28800</v>
      </c>
      <c r="AA71" s="152"/>
      <c r="AC71" s="169"/>
      <c r="AD71" s="169">
        <f>T71</f>
        <v>28800</v>
      </c>
      <c r="AG71" s="152"/>
    </row>
    <row r="72" spans="1:33" x14ac:dyDescent="0.3">
      <c r="A72" s="157" t="s">
        <v>882</v>
      </c>
      <c r="B72" s="157" t="s">
        <v>413</v>
      </c>
      <c r="C72" s="157" t="s">
        <v>884</v>
      </c>
      <c r="D72" s="157" t="s">
        <v>21</v>
      </c>
      <c r="E72" s="157" t="s">
        <v>518</v>
      </c>
      <c r="F72" s="158" t="s">
        <v>638</v>
      </c>
      <c r="G72" s="157">
        <v>15</v>
      </c>
      <c r="H72" s="157" t="s">
        <v>167</v>
      </c>
      <c r="I72" s="185"/>
      <c r="J72" s="176">
        <v>15</v>
      </c>
      <c r="K72" s="176"/>
      <c r="L72" s="286"/>
      <c r="M72" s="157">
        <v>1</v>
      </c>
      <c r="N72" s="166">
        <v>400</v>
      </c>
      <c r="O72" s="173">
        <v>0.1</v>
      </c>
      <c r="P72" s="166">
        <f t="shared" si="9"/>
        <v>360</v>
      </c>
      <c r="Q72" s="166">
        <f t="shared" si="10"/>
        <v>5400</v>
      </c>
      <c r="R72" s="206"/>
      <c r="S72" s="167">
        <f t="shared" si="11"/>
        <v>2.3107075835925212E-2</v>
      </c>
      <c r="T72" s="150">
        <f t="shared" si="13"/>
        <v>5400</v>
      </c>
      <c r="U72" s="282">
        <f t="shared" si="12"/>
        <v>5400</v>
      </c>
      <c r="Y72" s="152"/>
      <c r="AA72" s="171">
        <f>T72</f>
        <v>5400</v>
      </c>
      <c r="AC72" s="169"/>
      <c r="AE72" s="169">
        <f>T72</f>
        <v>5400</v>
      </c>
      <c r="AG72" s="152"/>
    </row>
    <row r="73" spans="1:33" x14ac:dyDescent="0.3">
      <c r="A73" s="157" t="s">
        <v>882</v>
      </c>
      <c r="B73" s="157" t="s">
        <v>413</v>
      </c>
      <c r="C73" s="157" t="s">
        <v>884</v>
      </c>
      <c r="D73" s="157" t="s">
        <v>26</v>
      </c>
      <c r="E73" s="157" t="s">
        <v>524</v>
      </c>
      <c r="F73" s="158" t="s">
        <v>885</v>
      </c>
      <c r="G73" s="157">
        <v>3</v>
      </c>
      <c r="H73" s="157" t="s">
        <v>24</v>
      </c>
      <c r="I73" s="159">
        <v>3</v>
      </c>
      <c r="J73" s="161"/>
      <c r="K73" s="161"/>
      <c r="L73" s="2209"/>
      <c r="M73" s="157">
        <v>1</v>
      </c>
      <c r="N73" s="166">
        <v>4200</v>
      </c>
      <c r="O73" s="173">
        <v>0.1</v>
      </c>
      <c r="P73" s="186">
        <f t="shared" si="9"/>
        <v>3780</v>
      </c>
      <c r="Q73" s="166">
        <f t="shared" si="10"/>
        <v>11340</v>
      </c>
      <c r="R73" s="206"/>
      <c r="S73" s="178">
        <f t="shared" si="11"/>
        <v>4.8524859255442948E-2</v>
      </c>
      <c r="T73" s="150">
        <f t="shared" si="13"/>
        <v>11340</v>
      </c>
      <c r="U73" s="282">
        <f t="shared" si="12"/>
        <v>11340</v>
      </c>
      <c r="Y73" s="152"/>
      <c r="Z73" s="169">
        <f>T73</f>
        <v>11340</v>
      </c>
      <c r="AA73" s="152"/>
      <c r="AD73" s="169"/>
      <c r="AE73" s="169">
        <f>T73</f>
        <v>11340</v>
      </c>
      <c r="AG73" s="152"/>
    </row>
    <row r="74" spans="1:33" x14ac:dyDescent="0.3">
      <c r="A74" s="157" t="s">
        <v>882</v>
      </c>
      <c r="B74" s="157" t="s">
        <v>413</v>
      </c>
      <c r="C74" s="157" t="s">
        <v>884</v>
      </c>
      <c r="D74" s="157" t="s">
        <v>414</v>
      </c>
      <c r="E74" s="157" t="s">
        <v>520</v>
      </c>
      <c r="F74" s="158" t="s">
        <v>552</v>
      </c>
      <c r="G74" s="157">
        <v>20</v>
      </c>
      <c r="H74" s="157" t="s">
        <v>24</v>
      </c>
      <c r="I74" s="159">
        <v>20</v>
      </c>
      <c r="J74" s="161"/>
      <c r="K74" s="161"/>
      <c r="L74" s="2209"/>
      <c r="M74" s="157">
        <v>1</v>
      </c>
      <c r="N74" s="166">
        <v>550</v>
      </c>
      <c r="O74" s="173">
        <v>0.27</v>
      </c>
      <c r="P74" s="186">
        <f t="shared" si="9"/>
        <v>401.5</v>
      </c>
      <c r="Q74" s="166">
        <f t="shared" si="10"/>
        <v>8030</v>
      </c>
      <c r="R74" s="206"/>
      <c r="S74" s="178">
        <f t="shared" si="11"/>
        <v>3.4361077585644342E-2</v>
      </c>
      <c r="T74" s="150">
        <f t="shared" si="13"/>
        <v>8030</v>
      </c>
      <c r="U74" s="282"/>
      <c r="V74" s="169">
        <f>T74</f>
        <v>8030</v>
      </c>
      <c r="Y74" s="152"/>
      <c r="Z74" s="169">
        <f>T74</f>
        <v>8030</v>
      </c>
      <c r="AA74" s="152"/>
      <c r="AE74" s="169">
        <f>T74</f>
        <v>8030</v>
      </c>
      <c r="AG74" s="152"/>
    </row>
    <row r="75" spans="1:33" x14ac:dyDescent="0.3">
      <c r="A75" s="157" t="s">
        <v>882</v>
      </c>
      <c r="B75" s="157" t="s">
        <v>150</v>
      </c>
      <c r="C75" s="157" t="s">
        <v>886</v>
      </c>
      <c r="D75" s="157" t="s">
        <v>416</v>
      </c>
      <c r="E75" s="157" t="s">
        <v>520</v>
      </c>
      <c r="F75" s="158" t="s">
        <v>655</v>
      </c>
      <c r="G75" s="157">
        <v>10</v>
      </c>
      <c r="H75" s="157" t="s">
        <v>24</v>
      </c>
      <c r="I75" s="159">
        <v>10</v>
      </c>
      <c r="J75" s="161"/>
      <c r="K75" s="161"/>
      <c r="L75" s="2209"/>
      <c r="M75" s="157">
        <v>1</v>
      </c>
      <c r="N75" s="166">
        <v>4113</v>
      </c>
      <c r="O75" s="173">
        <v>0.4</v>
      </c>
      <c r="P75" s="186">
        <f t="shared" si="9"/>
        <v>2467.7999999999997</v>
      </c>
      <c r="Q75" s="166">
        <f t="shared" si="10"/>
        <v>24677.999999999996</v>
      </c>
      <c r="R75" s="206"/>
      <c r="S75" s="1054">
        <f t="shared" si="11"/>
        <v>0.10559933657017821</v>
      </c>
      <c r="T75" s="150">
        <f t="shared" si="13"/>
        <v>24677.999999999996</v>
      </c>
      <c r="U75" s="280"/>
      <c r="W75" s="169">
        <f>T75</f>
        <v>24677.999999999996</v>
      </c>
      <c r="Y75" s="152"/>
      <c r="Z75" s="282">
        <f>T75</f>
        <v>24677.999999999996</v>
      </c>
      <c r="AA75" s="152"/>
      <c r="AE75" s="169"/>
      <c r="AF75" s="169">
        <f>T75</f>
        <v>24677.999999999996</v>
      </c>
      <c r="AG75" s="152"/>
    </row>
    <row r="76" spans="1:33" x14ac:dyDescent="0.3">
      <c r="A76" s="157" t="s">
        <v>882</v>
      </c>
      <c r="B76" s="157" t="s">
        <v>41</v>
      </c>
      <c r="C76" s="1055" t="s">
        <v>887</v>
      </c>
      <c r="D76" s="157" t="s">
        <v>168</v>
      </c>
      <c r="E76" s="157" t="s">
        <v>520</v>
      </c>
      <c r="F76" s="158" t="s">
        <v>796</v>
      </c>
      <c r="G76" s="157">
        <v>20</v>
      </c>
      <c r="H76" s="157" t="s">
        <v>24</v>
      </c>
      <c r="I76" s="182">
        <v>20</v>
      </c>
      <c r="J76" s="183"/>
      <c r="K76" s="183"/>
      <c r="L76" s="2239"/>
      <c r="M76" s="157">
        <v>1</v>
      </c>
      <c r="N76" s="166">
        <v>1600</v>
      </c>
      <c r="O76" s="173">
        <v>0.7</v>
      </c>
      <c r="P76" s="186">
        <f t="shared" si="9"/>
        <v>480.00000000000006</v>
      </c>
      <c r="Q76" s="166">
        <f t="shared" si="10"/>
        <v>9600.0000000000018</v>
      </c>
      <c r="R76" s="206"/>
      <c r="S76" s="1054">
        <f t="shared" si="11"/>
        <v>4.107924593053372E-2</v>
      </c>
      <c r="T76" s="150">
        <f t="shared" si="13"/>
        <v>9600.0000000000018</v>
      </c>
      <c r="U76" s="280"/>
      <c r="W76" s="169">
        <f>T76</f>
        <v>9600.0000000000018</v>
      </c>
      <c r="Y76" s="152"/>
      <c r="Z76" s="282">
        <f>T76</f>
        <v>9600.0000000000018</v>
      </c>
      <c r="AA76" s="152"/>
      <c r="AE76" s="169"/>
      <c r="AG76" s="171">
        <f>T76</f>
        <v>9600.0000000000018</v>
      </c>
    </row>
    <row r="77" spans="1:33" x14ac:dyDescent="0.3">
      <c r="A77" s="172"/>
      <c r="B77" s="157"/>
      <c r="C77" s="190"/>
      <c r="D77" s="190"/>
      <c r="E77" s="190"/>
      <c r="F77" s="191"/>
      <c r="G77" s="190"/>
      <c r="H77" s="190"/>
      <c r="I77" s="245"/>
      <c r="J77" s="245"/>
      <c r="K77" s="245"/>
      <c r="L77" s="287"/>
      <c r="M77" s="190"/>
      <c r="N77" s="194"/>
      <c r="O77" s="195"/>
      <c r="P77" s="288"/>
      <c r="Q77" s="166"/>
      <c r="R77" s="206"/>
      <c r="S77" s="393"/>
      <c r="T77" s="150"/>
      <c r="U77" s="280"/>
      <c r="Y77" s="152"/>
      <c r="AA77" s="152"/>
      <c r="AG77" s="152"/>
    </row>
    <row r="78" spans="1:33" x14ac:dyDescent="0.3">
      <c r="A78" s="108" t="s">
        <v>882</v>
      </c>
      <c r="B78" s="108" t="s">
        <v>528</v>
      </c>
      <c r="C78" s="192"/>
      <c r="D78" s="193"/>
      <c r="E78" s="193"/>
      <c r="F78" s="244"/>
      <c r="G78" s="193"/>
      <c r="H78" s="193"/>
      <c r="I78" s="245"/>
      <c r="J78" s="245"/>
      <c r="K78" s="245"/>
      <c r="L78" s="245"/>
      <c r="M78" s="193"/>
      <c r="N78" s="246"/>
      <c r="O78" s="196"/>
      <c r="P78" s="288"/>
      <c r="Q78" s="257"/>
      <c r="R78" s="290"/>
      <c r="S78" s="256">
        <f>Q78/Q81</f>
        <v>0</v>
      </c>
      <c r="T78" s="150">
        <f>Q78</f>
        <v>0</v>
      </c>
      <c r="U78" s="280"/>
      <c r="X78" s="169">
        <f>T78</f>
        <v>0</v>
      </c>
      <c r="Y78" s="152"/>
      <c r="AA78" s="152"/>
      <c r="AG78" s="152"/>
    </row>
    <row r="79" spans="1:33" x14ac:dyDescent="0.3">
      <c r="A79" s="108" t="s">
        <v>882</v>
      </c>
      <c r="B79" s="108" t="s">
        <v>529</v>
      </c>
      <c r="C79" s="289"/>
      <c r="D79" s="252"/>
      <c r="E79" s="252"/>
      <c r="F79" s="253"/>
      <c r="G79" s="252"/>
      <c r="H79" s="252"/>
      <c r="I79" s="254"/>
      <c r="J79" s="254"/>
      <c r="K79" s="254"/>
      <c r="L79" s="254"/>
      <c r="M79" s="252"/>
      <c r="N79" s="255"/>
      <c r="O79" s="256"/>
      <c r="P79" s="290"/>
      <c r="Q79" s="257">
        <v>35000</v>
      </c>
      <c r="R79" s="480"/>
      <c r="S79" s="291">
        <f>Q79/Q81</f>
        <v>0.14959049175480718</v>
      </c>
      <c r="T79" s="150">
        <f>Q79</f>
        <v>35000</v>
      </c>
      <c r="U79" s="280"/>
      <c r="Y79" s="171">
        <f>T79</f>
        <v>35000</v>
      </c>
      <c r="AA79" s="152"/>
      <c r="AG79" s="152"/>
    </row>
    <row r="80" spans="1:33" x14ac:dyDescent="0.3">
      <c r="I80" s="115">
        <f>I81/M81</f>
        <v>0.86956521739130432</v>
      </c>
      <c r="J80" s="115">
        <f>J81/M81</f>
        <v>0.13043478260869565</v>
      </c>
      <c r="T80" s="283"/>
      <c r="U80" s="280"/>
      <c r="Y80" s="152"/>
      <c r="AA80" s="567"/>
      <c r="AB80" s="245"/>
      <c r="AC80" s="245"/>
      <c r="AD80" s="245"/>
      <c r="AE80" s="245"/>
      <c r="AF80" s="245"/>
      <c r="AG80" s="567"/>
    </row>
    <row r="81" spans="1:33" x14ac:dyDescent="0.3">
      <c r="A81" s="212" t="s">
        <v>531</v>
      </c>
      <c r="B81" s="213"/>
      <c r="C81" s="213"/>
      <c r="D81" s="213"/>
      <c r="E81" s="213"/>
      <c r="F81" s="214"/>
      <c r="G81" s="213"/>
      <c r="H81" s="213"/>
      <c r="I81" s="213">
        <f>I74+I73+I71+I70+I68+I67+I66+I69+I75+I76</f>
        <v>100</v>
      </c>
      <c r="J81" s="213">
        <f>J72</f>
        <v>15</v>
      </c>
      <c r="K81" s="213"/>
      <c r="L81" s="213"/>
      <c r="M81" s="213">
        <f>SUM(I81:L81)</f>
        <v>115</v>
      </c>
      <c r="N81" s="215"/>
      <c r="O81" s="216"/>
      <c r="P81" s="215"/>
      <c r="Q81" s="481">
        <f>SUM(Q65:Q80)</f>
        <v>233972.09</v>
      </c>
      <c r="R81" s="481"/>
      <c r="S81" s="218">
        <f>SUM(S65:S79)</f>
        <v>1.0010095978404621</v>
      </c>
      <c r="T81" s="1047">
        <f>SUM(T65:T80)</f>
        <v>233972.09</v>
      </c>
      <c r="U81" s="569">
        <f t="shared" ref="U81:AA81" si="14">SUM(U65:U79)</f>
        <v>125214.49</v>
      </c>
      <c r="V81" s="570">
        <f t="shared" si="14"/>
        <v>39479.599999999991</v>
      </c>
      <c r="W81" s="570">
        <f t="shared" si="14"/>
        <v>34278</v>
      </c>
      <c r="X81" s="570">
        <f t="shared" si="14"/>
        <v>0</v>
      </c>
      <c r="Y81" s="571">
        <f t="shared" si="14"/>
        <v>35000</v>
      </c>
      <c r="Z81" s="1056">
        <f t="shared" si="14"/>
        <v>127848</v>
      </c>
      <c r="AA81" s="223">
        <f t="shared" si="14"/>
        <v>71124.09</v>
      </c>
      <c r="AB81" s="221">
        <f>SUM(AB64:AB80)</f>
        <v>63460</v>
      </c>
      <c r="AC81" s="1057">
        <f>SUM(AC64:AC80)</f>
        <v>47664.09</v>
      </c>
      <c r="AD81" s="1057">
        <f>SUM(AD64:AD80)</f>
        <v>28800</v>
      </c>
      <c r="AE81" s="1057">
        <f>SUM(AE64:AE80)</f>
        <v>24770</v>
      </c>
      <c r="AF81" s="1057">
        <f>SUM(AF65:AF80)</f>
        <v>24677.999999999996</v>
      </c>
      <c r="AG81" s="223">
        <f>SUM(AG65:AG80)</f>
        <v>9600.0000000000018</v>
      </c>
    </row>
    <row r="82" spans="1:33" x14ac:dyDescent="0.3">
      <c r="A82" s="228" t="s">
        <v>532</v>
      </c>
      <c r="B82" s="229"/>
      <c r="C82" s="229"/>
      <c r="D82" s="229"/>
      <c r="E82" s="229"/>
      <c r="F82" s="230"/>
      <c r="G82" s="229"/>
      <c r="H82" s="229"/>
      <c r="I82" s="229">
        <f>I74+I73+I71+I70+I68+I67+I66+I76</f>
        <v>88</v>
      </c>
      <c r="J82" s="229">
        <f>I74+I73+J72+I71+I70+I68+I67+I66+I75+I76</f>
        <v>113</v>
      </c>
      <c r="K82" s="229">
        <f>I74+I73+J72+I71+I70+I68+I67+I75+I76</f>
        <v>93</v>
      </c>
      <c r="L82" s="229">
        <f>I74+I73+I71+I70+I68+I67+I75+I76</f>
        <v>78</v>
      </c>
      <c r="M82" s="229">
        <f>SUM(I82:L82)</f>
        <v>372</v>
      </c>
      <c r="N82" s="231"/>
      <c r="O82" s="232"/>
      <c r="P82" s="231"/>
      <c r="Q82" s="231"/>
      <c r="R82" s="231"/>
      <c r="S82" s="233"/>
      <c r="T82" s="958"/>
      <c r="U82" s="235">
        <f>U81/T81</f>
        <v>0.53516848954078244</v>
      </c>
      <c r="V82" s="236">
        <f>V81/T81</f>
        <v>0.16873636509380238</v>
      </c>
      <c r="W82" s="236">
        <f>W81/T81</f>
        <v>0.14650465361060799</v>
      </c>
      <c r="X82" s="236">
        <f>X81/T81</f>
        <v>0</v>
      </c>
      <c r="Y82" s="236">
        <f>Y81/T81</f>
        <v>0.14959049175480718</v>
      </c>
      <c r="Z82" s="298">
        <f>Z81/T81</f>
        <v>0.54642414828195962</v>
      </c>
      <c r="AA82" s="297">
        <f>AA81/T81</f>
        <v>0.30398535996323323</v>
      </c>
      <c r="AB82" s="239"/>
      <c r="AC82" s="644"/>
      <c r="AD82" s="644"/>
      <c r="AE82" s="644"/>
      <c r="AF82" s="644"/>
      <c r="AG82" s="579"/>
    </row>
    <row r="83" spans="1:33" x14ac:dyDescent="0.3">
      <c r="A83" s="243" t="s">
        <v>533</v>
      </c>
      <c r="B83" s="193"/>
      <c r="C83" s="193"/>
      <c r="D83" s="193"/>
      <c r="E83" s="193"/>
      <c r="F83" s="244"/>
      <c r="G83" s="193"/>
      <c r="H83" s="193"/>
      <c r="I83" s="2182">
        <f>I82/$M$82</f>
        <v>0.23655913978494625</v>
      </c>
      <c r="J83" s="2182">
        <f t="shared" ref="J83:L83" si="15">J82/$M$82</f>
        <v>0.30376344086021506</v>
      </c>
      <c r="K83" s="2182">
        <f t="shared" si="15"/>
        <v>0.25</v>
      </c>
      <c r="L83" s="2182">
        <f t="shared" si="15"/>
        <v>0.20967741935483872</v>
      </c>
      <c r="M83" s="193"/>
      <c r="N83" s="246"/>
      <c r="O83" s="196"/>
      <c r="P83" s="246"/>
      <c r="Q83" s="194">
        <f>U81</f>
        <v>125214.49</v>
      </c>
      <c r="R83" s="288"/>
      <c r="S83" s="247">
        <f>Q83/Q88</f>
        <v>0.53516848954078244</v>
      </c>
      <c r="Y83" s="248">
        <f>SUM(U65:Y80)</f>
        <v>233972.09</v>
      </c>
      <c r="Z83" s="1048">
        <f>I66+I67+I71+I73+I74+I75+I76</f>
        <v>81</v>
      </c>
      <c r="AA83" s="1049">
        <f>I68+I69+I70+J72</f>
        <v>34</v>
      </c>
      <c r="AB83" s="1058"/>
      <c r="AC83" s="143"/>
      <c r="AD83" s="143"/>
      <c r="AE83" s="143"/>
      <c r="AF83" s="143"/>
      <c r="AG83" s="143"/>
    </row>
    <row r="84" spans="1:33" x14ac:dyDescent="0.3">
      <c r="A84" s="251" t="s">
        <v>11</v>
      </c>
      <c r="B84" s="252"/>
      <c r="C84" s="252"/>
      <c r="D84" s="252"/>
      <c r="E84" s="252"/>
      <c r="F84" s="253"/>
      <c r="G84" s="252"/>
      <c r="H84" s="252"/>
      <c r="I84" s="254"/>
      <c r="J84" s="254"/>
      <c r="K84" s="254"/>
      <c r="L84" s="254"/>
      <c r="M84" s="252"/>
      <c r="N84" s="255"/>
      <c r="O84" s="256"/>
      <c r="P84" s="255"/>
      <c r="Q84" s="257">
        <f>V81</f>
        <v>39479.599999999991</v>
      </c>
      <c r="R84" s="290"/>
      <c r="S84" s="262">
        <f>Q84/Q88</f>
        <v>0.16873636509380238</v>
      </c>
      <c r="T84" s="1050">
        <f>Q81/M81</f>
        <v>2034.5399130434782</v>
      </c>
      <c r="U84" s="1051" t="s">
        <v>535</v>
      </c>
      <c r="Z84" s="260">
        <f>Z83/M81</f>
        <v>0.70434782608695656</v>
      </c>
      <c r="AA84" s="261">
        <f>AA83/M81</f>
        <v>0.29565217391304349</v>
      </c>
    </row>
    <row r="85" spans="1:33" x14ac:dyDescent="0.3">
      <c r="A85" s="251" t="s">
        <v>536</v>
      </c>
      <c r="B85" s="252"/>
      <c r="C85" s="252"/>
      <c r="D85" s="252"/>
      <c r="E85" s="252"/>
      <c r="F85" s="253"/>
      <c r="G85" s="252"/>
      <c r="H85" s="252"/>
      <c r="I85" s="254"/>
      <c r="J85" s="254"/>
      <c r="K85" s="254"/>
      <c r="L85" s="254"/>
      <c r="M85" s="252"/>
      <c r="N85" s="255"/>
      <c r="O85" s="256"/>
      <c r="P85" s="255"/>
      <c r="Q85" s="257">
        <f>W81</f>
        <v>34278</v>
      </c>
      <c r="R85" s="290"/>
      <c r="S85" s="262">
        <f>Q85/Q88</f>
        <v>0.14650465361060799</v>
      </c>
      <c r="V85" s="263"/>
      <c r="X85" s="99"/>
      <c r="Z85" s="2551" t="s">
        <v>537</v>
      </c>
      <c r="AA85" s="2551"/>
    </row>
    <row r="86" spans="1:33" x14ac:dyDescent="0.3">
      <c r="A86" s="251" t="s">
        <v>529</v>
      </c>
      <c r="B86" s="252"/>
      <c r="C86" s="252"/>
      <c r="D86" s="252"/>
      <c r="E86" s="252"/>
      <c r="F86" s="253"/>
      <c r="G86" s="252"/>
      <c r="H86" s="252"/>
      <c r="I86" s="254"/>
      <c r="J86" s="254"/>
      <c r="K86" s="254"/>
      <c r="L86" s="254"/>
      <c r="M86" s="252"/>
      <c r="N86" s="255"/>
      <c r="O86" s="256"/>
      <c r="P86" s="255"/>
      <c r="Q86" s="257">
        <f>Y81</f>
        <v>35000</v>
      </c>
      <c r="R86" s="290"/>
      <c r="S86" s="262">
        <f>Q86/Q88</f>
        <v>0.14959049175480718</v>
      </c>
      <c r="U86" s="263"/>
      <c r="V86" s="263"/>
    </row>
    <row r="87" spans="1:33" x14ac:dyDescent="0.3">
      <c r="A87" s="251" t="s">
        <v>528</v>
      </c>
      <c r="B87" s="252"/>
      <c r="C87" s="252"/>
      <c r="D87" s="252"/>
      <c r="E87" s="252"/>
      <c r="F87" s="253"/>
      <c r="G87" s="252"/>
      <c r="H87" s="252"/>
      <c r="I87" s="254"/>
      <c r="J87" s="254"/>
      <c r="K87" s="254"/>
      <c r="L87" s="254"/>
      <c r="M87" s="252"/>
      <c r="N87" s="255"/>
      <c r="O87" s="256"/>
      <c r="P87" s="255"/>
      <c r="Q87" s="257">
        <f>X81</f>
        <v>0</v>
      </c>
      <c r="R87" s="290"/>
      <c r="S87" s="262">
        <f>Q87/Q88</f>
        <v>0</v>
      </c>
    </row>
    <row r="88" spans="1:33" x14ac:dyDescent="0.3">
      <c r="A88" s="251"/>
      <c r="B88" s="252"/>
      <c r="C88" s="252"/>
      <c r="D88" s="252"/>
      <c r="E88" s="252"/>
      <c r="F88" s="253"/>
      <c r="G88" s="252"/>
      <c r="H88" s="252"/>
      <c r="I88" s="254"/>
      <c r="J88" s="254"/>
      <c r="K88" s="254"/>
      <c r="L88" s="254"/>
      <c r="M88" s="252"/>
      <c r="N88" s="255"/>
      <c r="O88" s="256"/>
      <c r="P88" s="255"/>
      <c r="Q88" s="264">
        <f>SUM(Q83:Q87)</f>
        <v>233972.09</v>
      </c>
      <c r="R88" s="490"/>
      <c r="S88" s="262">
        <f>SUM(S83:S87)</f>
        <v>1</v>
      </c>
    </row>
    <row r="89" spans="1:33" x14ac:dyDescent="0.3">
      <c r="B89" s="2"/>
    </row>
    <row r="90" spans="1:33" x14ac:dyDescent="0.3">
      <c r="B90" s="1"/>
      <c r="C90" s="1"/>
    </row>
    <row r="91" spans="1:33" x14ac:dyDescent="0.3">
      <c r="E91" s="1" t="s">
        <v>543</v>
      </c>
      <c r="F91" s="2" t="s">
        <v>845</v>
      </c>
      <c r="G91" s="1" t="s">
        <v>545</v>
      </c>
      <c r="H91" s="1"/>
      <c r="I91" s="304">
        <v>0.55000000000000004</v>
      </c>
      <c r="J91" s="304"/>
    </row>
    <row r="92" spans="1:33" x14ac:dyDescent="0.3">
      <c r="E92" s="1" t="s">
        <v>473</v>
      </c>
      <c r="F92" s="2" t="s">
        <v>667</v>
      </c>
      <c r="G92" s="1" t="s">
        <v>473</v>
      </c>
      <c r="H92" s="1"/>
      <c r="I92" s="1">
        <v>24</v>
      </c>
      <c r="J92" s="1"/>
    </row>
    <row r="93" spans="1:33" x14ac:dyDescent="0.3">
      <c r="E93" s="1" t="s">
        <v>475</v>
      </c>
      <c r="F93" s="2" t="s">
        <v>888</v>
      </c>
      <c r="G93" s="1" t="s">
        <v>475</v>
      </c>
      <c r="H93" s="1"/>
      <c r="I93" s="95">
        <v>1350</v>
      </c>
      <c r="J93" s="95"/>
    </row>
    <row r="94" spans="1:33" x14ac:dyDescent="0.3">
      <c r="E94" s="1" t="s">
        <v>477</v>
      </c>
      <c r="F94" s="2" t="s">
        <v>889</v>
      </c>
      <c r="G94" s="1" t="s">
        <v>477</v>
      </c>
      <c r="H94" s="1"/>
      <c r="I94" s="95">
        <v>11370220</v>
      </c>
      <c r="J94" s="95"/>
    </row>
    <row r="95" spans="1:33" ht="18" x14ac:dyDescent="0.35">
      <c r="A95" s="1037" t="s">
        <v>549</v>
      </c>
    </row>
    <row r="96" spans="1:33" ht="18" x14ac:dyDescent="0.35">
      <c r="A96" s="1037"/>
      <c r="S96" s="98"/>
    </row>
    <row r="97" spans="1:33" x14ac:dyDescent="0.3">
      <c r="A97" s="2560" t="s">
        <v>480</v>
      </c>
      <c r="B97" s="2561"/>
      <c r="C97" s="2561"/>
      <c r="D97" s="2561"/>
      <c r="E97" s="2561"/>
      <c r="F97" s="2561"/>
      <c r="G97" s="2561"/>
      <c r="H97" s="2561"/>
      <c r="I97" s="2561"/>
      <c r="J97" s="2561"/>
      <c r="K97" s="2561"/>
      <c r="L97" s="2561"/>
      <c r="M97" s="2561"/>
      <c r="N97" s="2561"/>
      <c r="O97" s="2561"/>
      <c r="P97" s="2561"/>
      <c r="Q97" s="2561"/>
      <c r="R97" s="2561"/>
      <c r="S97" s="2562"/>
      <c r="T97" s="2563" t="s">
        <v>584</v>
      </c>
      <c r="U97" s="2564"/>
      <c r="V97" s="2564"/>
      <c r="W97" s="2564"/>
      <c r="X97" s="2564"/>
      <c r="Y97" s="2564"/>
      <c r="Z97" s="2564"/>
      <c r="AA97" s="2564"/>
      <c r="AB97" s="2564"/>
      <c r="AC97" s="2564"/>
      <c r="AD97" s="2564"/>
      <c r="AE97" s="2564"/>
      <c r="AF97" s="2564"/>
      <c r="AG97" s="2576"/>
    </row>
    <row r="98" spans="1:33" ht="18" x14ac:dyDescent="0.3">
      <c r="A98" s="2256" t="s">
        <v>482</v>
      </c>
      <c r="B98" s="2258" t="s">
        <v>483</v>
      </c>
      <c r="C98" s="2258" t="s">
        <v>484</v>
      </c>
      <c r="D98" s="2258" t="s">
        <v>555</v>
      </c>
      <c r="E98" s="2258" t="s">
        <v>556</v>
      </c>
      <c r="F98" s="2260" t="s">
        <v>487</v>
      </c>
      <c r="G98" s="2258" t="s">
        <v>557</v>
      </c>
      <c r="H98" s="2258" t="s">
        <v>489</v>
      </c>
      <c r="I98" s="2240" t="s">
        <v>490</v>
      </c>
      <c r="J98" s="2240"/>
      <c r="K98" s="2240"/>
      <c r="L98" s="2240"/>
      <c r="M98" s="305" t="s">
        <v>491</v>
      </c>
      <c r="N98" s="306" t="s">
        <v>558</v>
      </c>
      <c r="O98" s="307" t="s">
        <v>493</v>
      </c>
      <c r="P98" s="306" t="s">
        <v>558</v>
      </c>
      <c r="Q98" s="306" t="s">
        <v>559</v>
      </c>
      <c r="R98" s="512" t="s">
        <v>585</v>
      </c>
      <c r="S98" s="2578" t="s">
        <v>495</v>
      </c>
      <c r="T98" s="1059" t="s">
        <v>496</v>
      </c>
      <c r="U98" s="2568" t="s">
        <v>497</v>
      </c>
      <c r="V98" s="2568"/>
      <c r="W98" s="2568"/>
      <c r="X98" s="2568"/>
      <c r="Y98" s="2568"/>
      <c r="Z98" s="2567" t="s">
        <v>498</v>
      </c>
      <c r="AA98" s="2571"/>
      <c r="AB98" s="2568" t="s">
        <v>499</v>
      </c>
      <c r="AC98" s="2568"/>
      <c r="AD98" s="2568"/>
      <c r="AE98" s="2568"/>
      <c r="AF98" s="2568"/>
      <c r="AG98" s="2571"/>
    </row>
    <row r="99" spans="1:33" ht="18" x14ac:dyDescent="0.3">
      <c r="A99" s="2257"/>
      <c r="B99" s="2259"/>
      <c r="C99" s="2259"/>
      <c r="D99" s="2259"/>
      <c r="E99" s="2259"/>
      <c r="F99" s="2261"/>
      <c r="G99" s="2259"/>
      <c r="H99" s="2259"/>
      <c r="I99" s="310" t="s">
        <v>500</v>
      </c>
      <c r="J99" s="310" t="s">
        <v>501</v>
      </c>
      <c r="K99" s="310" t="s">
        <v>502</v>
      </c>
      <c r="L99" s="310" t="s">
        <v>503</v>
      </c>
      <c r="M99" s="311" t="s">
        <v>504</v>
      </c>
      <c r="N99" s="312" t="s">
        <v>505</v>
      </c>
      <c r="O99" s="313" t="s">
        <v>506</v>
      </c>
      <c r="P99" s="312" t="s">
        <v>507</v>
      </c>
      <c r="Q99" s="312" t="s">
        <v>560</v>
      </c>
      <c r="R99" s="312"/>
      <c r="S99" s="2579"/>
      <c r="T99" s="1060" t="s">
        <v>508</v>
      </c>
      <c r="U99" s="2570"/>
      <c r="V99" s="2570"/>
      <c r="W99" s="2570"/>
      <c r="X99" s="2570"/>
      <c r="Y99" s="2570"/>
      <c r="Z99" s="2569"/>
      <c r="AA99" s="2577"/>
      <c r="AB99" s="2570"/>
      <c r="AC99" s="2570"/>
      <c r="AD99" s="2570"/>
      <c r="AE99" s="2570"/>
      <c r="AF99" s="2570"/>
      <c r="AG99" s="2577"/>
    </row>
    <row r="100" spans="1:33" ht="18" x14ac:dyDescent="0.35">
      <c r="A100" s="2377" t="s">
        <v>639</v>
      </c>
      <c r="B100" s="2378"/>
      <c r="C100" s="2378"/>
      <c r="D100" s="2378"/>
      <c r="E100" s="2378"/>
      <c r="F100" s="2378"/>
      <c r="G100" s="2378"/>
      <c r="H100" s="2378"/>
      <c r="I100" s="2378"/>
      <c r="J100" s="2378"/>
      <c r="K100" s="2378"/>
      <c r="L100" s="2378"/>
      <c r="M100" s="2378"/>
      <c r="N100" s="2378"/>
      <c r="O100" s="2378"/>
      <c r="P100" s="2378"/>
      <c r="Q100" s="2378"/>
      <c r="R100" s="2378"/>
      <c r="S100" s="2378"/>
      <c r="T100" s="1061"/>
      <c r="U100" s="1062" t="s">
        <v>510</v>
      </c>
      <c r="V100" s="1063" t="s">
        <v>11</v>
      </c>
      <c r="W100" s="1063" t="s">
        <v>511</v>
      </c>
      <c r="X100" s="1063" t="s">
        <v>512</v>
      </c>
      <c r="Y100" s="1064" t="s">
        <v>513</v>
      </c>
      <c r="Z100" s="1065" t="s">
        <v>514</v>
      </c>
      <c r="AA100" s="1064" t="s">
        <v>515</v>
      </c>
      <c r="AB100" s="1041" t="s">
        <v>163</v>
      </c>
      <c r="AC100" s="1041" t="s">
        <v>12</v>
      </c>
      <c r="AD100" s="1053" t="s">
        <v>164</v>
      </c>
      <c r="AE100" s="1044" t="s">
        <v>165</v>
      </c>
      <c r="AF100" s="1044" t="s">
        <v>139</v>
      </c>
      <c r="AG100" s="1045" t="s">
        <v>5</v>
      </c>
    </row>
    <row r="101" spans="1:33" x14ac:dyDescent="0.3">
      <c r="A101" s="154"/>
      <c r="B101" s="462"/>
      <c r="C101" s="462"/>
      <c r="D101" s="462"/>
      <c r="E101" s="462"/>
      <c r="F101" s="463"/>
      <c r="G101" s="462"/>
      <c r="H101" s="462"/>
      <c r="I101" s="465"/>
      <c r="J101" s="465"/>
      <c r="K101" s="465"/>
      <c r="L101" s="465"/>
      <c r="M101" s="462"/>
      <c r="N101" s="468"/>
      <c r="O101" s="469"/>
      <c r="P101" s="468"/>
      <c r="Q101" s="468"/>
      <c r="R101" s="470"/>
      <c r="S101" s="532"/>
      <c r="T101" s="149"/>
      <c r="U101" s="280"/>
      <c r="Y101" s="152"/>
      <c r="Z101" s="280"/>
      <c r="AA101" s="152"/>
      <c r="AE101" s="465"/>
      <c r="AG101" s="152"/>
    </row>
    <row r="102" spans="1:33" x14ac:dyDescent="0.3">
      <c r="A102" s="157" t="s">
        <v>882</v>
      </c>
      <c r="B102" s="157" t="s">
        <v>407</v>
      </c>
      <c r="C102" s="157" t="s">
        <v>883</v>
      </c>
      <c r="D102" s="157" t="s">
        <v>166</v>
      </c>
      <c r="E102" s="157" t="s">
        <v>520</v>
      </c>
      <c r="F102" s="158" t="s">
        <v>552</v>
      </c>
      <c r="G102" s="157">
        <v>16</v>
      </c>
      <c r="H102" s="157" t="s">
        <v>63</v>
      </c>
      <c r="I102" s="159">
        <v>16</v>
      </c>
      <c r="J102" s="161"/>
      <c r="L102" s="286"/>
      <c r="M102" s="163">
        <v>1</v>
      </c>
      <c r="N102" s="166">
        <v>1700</v>
      </c>
      <c r="O102" s="173">
        <v>0.06</v>
      </c>
      <c r="P102" s="166">
        <f t="shared" ref="P102:P111" si="16">N102*(1-O102)</f>
        <v>1598</v>
      </c>
      <c r="Q102" s="166">
        <f t="shared" ref="Q102:Q111" si="17">P102*M102*G102</f>
        <v>25568</v>
      </c>
      <c r="R102" s="206" t="e">
        <f>(Q102+Q107)/E83*1000</f>
        <v>#DIV/0!</v>
      </c>
      <c r="S102" s="178">
        <f>Q102/$Q$117</f>
        <v>0.13166516941823081</v>
      </c>
      <c r="T102" s="168">
        <f t="shared" ref="T102:T111" si="18">Q102*4</f>
        <v>102272</v>
      </c>
      <c r="U102" s="282">
        <f>T102</f>
        <v>102272</v>
      </c>
      <c r="Y102" s="152"/>
      <c r="Z102" s="282">
        <f>T102</f>
        <v>102272</v>
      </c>
      <c r="AA102" s="171"/>
      <c r="AB102" s="169">
        <f>T102</f>
        <v>102272</v>
      </c>
      <c r="AG102" s="152"/>
    </row>
    <row r="103" spans="1:33" x14ac:dyDescent="0.3">
      <c r="A103" s="157" t="s">
        <v>882</v>
      </c>
      <c r="B103" s="157" t="s">
        <v>408</v>
      </c>
      <c r="C103" s="157" t="s">
        <v>884</v>
      </c>
      <c r="D103" s="157" t="s">
        <v>26</v>
      </c>
      <c r="E103" s="157" t="s">
        <v>520</v>
      </c>
      <c r="F103" s="158" t="s">
        <v>890</v>
      </c>
      <c r="G103" s="157">
        <v>3</v>
      </c>
      <c r="H103" s="157" t="s">
        <v>24</v>
      </c>
      <c r="I103" s="175">
        <v>4</v>
      </c>
      <c r="J103" s="176"/>
      <c r="K103" s="176"/>
      <c r="L103" s="177"/>
      <c r="M103" s="163">
        <v>1</v>
      </c>
      <c r="N103" s="166">
        <v>3500</v>
      </c>
      <c r="O103" s="173">
        <v>0.04</v>
      </c>
      <c r="P103" s="166">
        <f t="shared" si="16"/>
        <v>3360</v>
      </c>
      <c r="Q103" s="166">
        <f t="shared" si="17"/>
        <v>10080</v>
      </c>
      <c r="R103" s="206" t="e">
        <f>(Q103+Q111)/E83*1000</f>
        <v>#DIV/0!</v>
      </c>
      <c r="S103" s="178">
        <f>Q103/$Q$117</f>
        <v>5.1908045515322535E-2</v>
      </c>
      <c r="T103" s="168">
        <f t="shared" si="18"/>
        <v>40320</v>
      </c>
      <c r="U103" s="282">
        <f>T103</f>
        <v>40320</v>
      </c>
      <c r="W103" s="169"/>
      <c r="Y103" s="152"/>
      <c r="Z103" s="283">
        <f>T103</f>
        <v>40320</v>
      </c>
      <c r="AA103" s="171"/>
      <c r="AB103" s="169">
        <f>T103</f>
        <v>40320</v>
      </c>
      <c r="AG103" s="152"/>
    </row>
    <row r="104" spans="1:33" x14ac:dyDescent="0.3">
      <c r="A104" s="157" t="s">
        <v>882</v>
      </c>
      <c r="B104" s="157" t="s">
        <v>407</v>
      </c>
      <c r="C104" s="157" t="s">
        <v>884</v>
      </c>
      <c r="D104" s="157" t="s">
        <v>21</v>
      </c>
      <c r="E104" s="157" t="s">
        <v>518</v>
      </c>
      <c r="F104" s="158" t="s">
        <v>169</v>
      </c>
      <c r="G104" s="157">
        <v>2</v>
      </c>
      <c r="H104" s="157" t="s">
        <v>24</v>
      </c>
      <c r="I104" s="159">
        <v>2</v>
      </c>
      <c r="J104" s="161"/>
      <c r="K104" s="161"/>
      <c r="L104" s="2209"/>
      <c r="M104" s="163">
        <v>1</v>
      </c>
      <c r="N104" s="166">
        <v>7000</v>
      </c>
      <c r="O104" s="173">
        <v>0.14000000000000001</v>
      </c>
      <c r="P104" s="166">
        <f t="shared" si="16"/>
        <v>6020</v>
      </c>
      <c r="Q104" s="166">
        <f t="shared" si="17"/>
        <v>12040</v>
      </c>
      <c r="R104" s="206"/>
      <c r="S104" s="167">
        <f>Q104/$Q$117</f>
        <v>6.200127658774636E-2</v>
      </c>
      <c r="T104" s="168">
        <f t="shared" si="18"/>
        <v>48160</v>
      </c>
      <c r="U104" s="282">
        <f>T104</f>
        <v>48160</v>
      </c>
      <c r="Y104" s="152"/>
      <c r="Z104" s="282"/>
      <c r="AA104" s="171">
        <f>T104</f>
        <v>48160</v>
      </c>
      <c r="AB104" s="169">
        <f>T104</f>
        <v>48160</v>
      </c>
      <c r="AG104" s="152"/>
    </row>
    <row r="105" spans="1:33" x14ac:dyDescent="0.3">
      <c r="A105" s="157" t="s">
        <v>882</v>
      </c>
      <c r="B105" s="157" t="s">
        <v>409</v>
      </c>
      <c r="C105" s="157" t="s">
        <v>884</v>
      </c>
      <c r="D105" s="157" t="s">
        <v>21</v>
      </c>
      <c r="E105" s="157" t="s">
        <v>518</v>
      </c>
      <c r="F105" s="158" t="s">
        <v>169</v>
      </c>
      <c r="G105" s="157">
        <v>2</v>
      </c>
      <c r="H105" s="157" t="s">
        <v>24</v>
      </c>
      <c r="I105" s="175">
        <v>2</v>
      </c>
      <c r="J105" s="176"/>
      <c r="K105" s="176"/>
      <c r="L105" s="177"/>
      <c r="M105" s="163">
        <v>1</v>
      </c>
      <c r="N105" s="166">
        <v>27024.15</v>
      </c>
      <c r="O105" s="173">
        <v>0.7</v>
      </c>
      <c r="P105" s="166">
        <f t="shared" si="16"/>
        <v>8107.2450000000017</v>
      </c>
      <c r="Q105" s="166">
        <f t="shared" si="17"/>
        <v>16214.490000000003</v>
      </c>
      <c r="R105" s="206"/>
      <c r="S105" s="167">
        <f t="shared" ref="S105:S107" si="19">Q105/$Q$117</f>
        <v>8.3498262393625219E-2</v>
      </c>
      <c r="T105" s="168">
        <f t="shared" si="18"/>
        <v>64857.960000000014</v>
      </c>
      <c r="U105" s="282">
        <f>T105</f>
        <v>64857.960000000014</v>
      </c>
      <c r="Y105" s="152"/>
      <c r="Z105" s="282"/>
      <c r="AA105" s="171">
        <f>T105</f>
        <v>64857.960000000014</v>
      </c>
      <c r="AB105" s="169"/>
      <c r="AC105" s="169">
        <f>T105</f>
        <v>64857.960000000014</v>
      </c>
      <c r="AG105" s="152"/>
    </row>
    <row r="106" spans="1:33" x14ac:dyDescent="0.3">
      <c r="A106" s="157" t="s">
        <v>882</v>
      </c>
      <c r="B106" s="157" t="s">
        <v>409</v>
      </c>
      <c r="C106" s="157" t="s">
        <v>884</v>
      </c>
      <c r="D106" s="157" t="s">
        <v>410</v>
      </c>
      <c r="E106" s="157" t="s">
        <v>518</v>
      </c>
      <c r="F106" s="158" t="s">
        <v>589</v>
      </c>
      <c r="G106" s="157">
        <v>1</v>
      </c>
      <c r="H106" s="157" t="s">
        <v>24</v>
      </c>
      <c r="I106" s="182">
        <v>1</v>
      </c>
      <c r="J106" s="183"/>
      <c r="K106" s="183"/>
      <c r="L106" s="2239"/>
      <c r="M106" s="163">
        <v>1</v>
      </c>
      <c r="N106" s="166">
        <v>61819.199999999997</v>
      </c>
      <c r="O106" s="173">
        <v>0.45</v>
      </c>
      <c r="P106" s="166">
        <f t="shared" si="16"/>
        <v>34000.559999999998</v>
      </c>
      <c r="Q106" s="166">
        <f t="shared" si="17"/>
        <v>34000.559999999998</v>
      </c>
      <c r="R106" s="206" t="e">
        <f>(Q106+Q108+Q110)/E83*1000</f>
        <v>#DIV/0!</v>
      </c>
      <c r="S106" s="167">
        <f t="shared" si="19"/>
        <v>0.17508954524071971</v>
      </c>
      <c r="T106" s="168">
        <f t="shared" si="18"/>
        <v>136002.23999999999</v>
      </c>
      <c r="U106" s="282"/>
      <c r="V106" s="169">
        <f>T106</f>
        <v>136002.23999999999</v>
      </c>
      <c r="Y106" s="152"/>
      <c r="Z106" s="282"/>
      <c r="AA106" s="171">
        <f>T106</f>
        <v>136002.23999999999</v>
      </c>
      <c r="AC106" s="169">
        <f>T106</f>
        <v>136002.23999999999</v>
      </c>
      <c r="AG106" s="152"/>
    </row>
    <row r="107" spans="1:33" x14ac:dyDescent="0.3">
      <c r="A107" s="157" t="s">
        <v>882</v>
      </c>
      <c r="B107" s="157" t="s">
        <v>409</v>
      </c>
      <c r="C107" s="157" t="s">
        <v>883</v>
      </c>
      <c r="D107" s="157" t="s">
        <v>411</v>
      </c>
      <c r="E107" s="157" t="s">
        <v>518</v>
      </c>
      <c r="F107" s="158" t="s">
        <v>891</v>
      </c>
      <c r="G107" s="157">
        <v>10</v>
      </c>
      <c r="H107" s="157" t="s">
        <v>24</v>
      </c>
      <c r="I107" s="175">
        <v>10</v>
      </c>
      <c r="J107" s="176"/>
      <c r="K107" s="176"/>
      <c r="L107" s="177"/>
      <c r="M107" s="163">
        <v>1</v>
      </c>
      <c r="N107" s="166">
        <v>7020</v>
      </c>
      <c r="O107" s="173">
        <v>0.68</v>
      </c>
      <c r="P107" s="166">
        <f t="shared" si="16"/>
        <v>2246.3999999999996</v>
      </c>
      <c r="Q107" s="166">
        <f t="shared" si="17"/>
        <v>22463.999999999996</v>
      </c>
      <c r="R107" s="206"/>
      <c r="S107" s="167">
        <f t="shared" si="19"/>
        <v>0.11568078714843305</v>
      </c>
      <c r="T107" s="168">
        <f t="shared" si="18"/>
        <v>89855.999999999985</v>
      </c>
      <c r="U107" s="282">
        <f>T107</f>
        <v>89855.999999999985</v>
      </c>
      <c r="Y107" s="152"/>
      <c r="Z107" s="282"/>
      <c r="AA107" s="171">
        <f>T107</f>
        <v>89855.999999999985</v>
      </c>
      <c r="AC107" s="169">
        <f>T107</f>
        <v>89855.999999999985</v>
      </c>
      <c r="AD107" s="169"/>
      <c r="AG107" s="152"/>
    </row>
    <row r="108" spans="1:33" x14ac:dyDescent="0.3">
      <c r="A108" s="157" t="s">
        <v>882</v>
      </c>
      <c r="B108" s="157" t="s">
        <v>412</v>
      </c>
      <c r="C108" s="157" t="s">
        <v>884</v>
      </c>
      <c r="D108" s="157" t="s">
        <v>26</v>
      </c>
      <c r="E108" s="157" t="s">
        <v>524</v>
      </c>
      <c r="F108" s="158" t="s">
        <v>890</v>
      </c>
      <c r="G108" s="157">
        <v>4</v>
      </c>
      <c r="H108" s="157" t="s">
        <v>24</v>
      </c>
      <c r="I108" s="159">
        <v>4</v>
      </c>
      <c r="J108" s="161"/>
      <c r="K108" s="161"/>
      <c r="L108" s="2209"/>
      <c r="M108" s="157">
        <v>1</v>
      </c>
      <c r="N108" s="166">
        <v>9000</v>
      </c>
      <c r="O108" s="173">
        <v>0.2</v>
      </c>
      <c r="P108" s="166">
        <f t="shared" si="16"/>
        <v>7200</v>
      </c>
      <c r="Q108" s="166">
        <f t="shared" si="17"/>
        <v>28800</v>
      </c>
      <c r="R108" s="206"/>
      <c r="S108" s="178">
        <f>Q108/$Q$117</f>
        <v>0.14830870147235009</v>
      </c>
      <c r="T108" s="168">
        <f t="shared" si="18"/>
        <v>115200</v>
      </c>
      <c r="U108" s="282">
        <f>T108</f>
        <v>115200</v>
      </c>
      <c r="Y108" s="152"/>
      <c r="Z108" s="282">
        <f>T108</f>
        <v>115200</v>
      </c>
      <c r="AA108" s="171"/>
      <c r="AC108" s="169"/>
      <c r="AD108" s="169">
        <f>T108</f>
        <v>115200</v>
      </c>
      <c r="AE108" s="169"/>
      <c r="AG108" s="152"/>
    </row>
    <row r="109" spans="1:33" x14ac:dyDescent="0.3">
      <c r="A109" s="157" t="s">
        <v>882</v>
      </c>
      <c r="B109" s="157" t="s">
        <v>413</v>
      </c>
      <c r="C109" s="157" t="s">
        <v>884</v>
      </c>
      <c r="D109" s="157" t="s">
        <v>21</v>
      </c>
      <c r="E109" s="157" t="s">
        <v>518</v>
      </c>
      <c r="F109" s="158" t="s">
        <v>169</v>
      </c>
      <c r="G109" s="157">
        <v>4</v>
      </c>
      <c r="H109" s="157" t="s">
        <v>167</v>
      </c>
      <c r="I109" s="185"/>
      <c r="J109" s="176">
        <v>4</v>
      </c>
      <c r="K109" s="176"/>
      <c r="L109" s="286"/>
      <c r="M109" s="157">
        <v>1</v>
      </c>
      <c r="N109" s="166">
        <v>400</v>
      </c>
      <c r="O109" s="173">
        <v>0.1</v>
      </c>
      <c r="P109" s="166">
        <f t="shared" si="16"/>
        <v>360</v>
      </c>
      <c r="Q109" s="166">
        <f t="shared" si="17"/>
        <v>1440</v>
      </c>
      <c r="R109" s="206"/>
      <c r="S109" s="167">
        <f>Q109/$Q$117</f>
        <v>7.4154350736175042E-3</v>
      </c>
      <c r="T109" s="168">
        <f t="shared" si="18"/>
        <v>5760</v>
      </c>
      <c r="U109" s="282">
        <f>T109</f>
        <v>5760</v>
      </c>
      <c r="Y109" s="152"/>
      <c r="Z109" s="282"/>
      <c r="AA109" s="171">
        <f>T109</f>
        <v>5760</v>
      </c>
      <c r="AD109" s="169"/>
      <c r="AE109" s="169">
        <f>T109</f>
        <v>5760</v>
      </c>
      <c r="AG109" s="152"/>
    </row>
    <row r="110" spans="1:33" x14ac:dyDescent="0.3">
      <c r="A110" s="157" t="s">
        <v>882</v>
      </c>
      <c r="B110" s="157" t="s">
        <v>413</v>
      </c>
      <c r="C110" s="157" t="s">
        <v>884</v>
      </c>
      <c r="D110" s="157" t="s">
        <v>26</v>
      </c>
      <c r="E110" s="157" t="s">
        <v>524</v>
      </c>
      <c r="F110" s="158" t="s">
        <v>890</v>
      </c>
      <c r="G110" s="157">
        <v>2</v>
      </c>
      <c r="H110" s="157" t="s">
        <v>24</v>
      </c>
      <c r="I110" s="159">
        <v>3</v>
      </c>
      <c r="J110" s="161"/>
      <c r="K110" s="161"/>
      <c r="L110" s="2209"/>
      <c r="M110" s="157">
        <v>1</v>
      </c>
      <c r="N110" s="166">
        <v>4200</v>
      </c>
      <c r="O110" s="173">
        <v>0.1</v>
      </c>
      <c r="P110" s="186">
        <f t="shared" si="16"/>
        <v>3780</v>
      </c>
      <c r="Q110" s="166">
        <f t="shared" si="17"/>
        <v>7560</v>
      </c>
      <c r="R110" s="206"/>
      <c r="S110" s="178">
        <f t="shared" ref="S110:S111" si="20">Q110/$Q$117</f>
        <v>3.8931034136491897E-2</v>
      </c>
      <c r="T110" s="168">
        <f t="shared" si="18"/>
        <v>30240</v>
      </c>
      <c r="U110" s="282"/>
      <c r="V110" s="169">
        <f>T110</f>
        <v>30240</v>
      </c>
      <c r="Y110" s="152"/>
      <c r="Z110" s="282">
        <f>T110</f>
        <v>30240</v>
      </c>
      <c r="AA110" s="152"/>
      <c r="AE110" s="169">
        <f>T110</f>
        <v>30240</v>
      </c>
      <c r="AG110" s="152"/>
    </row>
    <row r="111" spans="1:33" x14ac:dyDescent="0.3">
      <c r="A111" s="157" t="s">
        <v>882</v>
      </c>
      <c r="B111" s="157" t="s">
        <v>413</v>
      </c>
      <c r="C111" s="157" t="s">
        <v>884</v>
      </c>
      <c r="D111" s="157" t="s">
        <v>414</v>
      </c>
      <c r="E111" s="157" t="s">
        <v>520</v>
      </c>
      <c r="F111" s="158" t="s">
        <v>552</v>
      </c>
      <c r="G111" s="157">
        <v>15</v>
      </c>
      <c r="H111" s="157" t="s">
        <v>24</v>
      </c>
      <c r="I111" s="159">
        <v>15</v>
      </c>
      <c r="J111" s="161"/>
      <c r="K111" s="161"/>
      <c r="L111" s="2209"/>
      <c r="M111" s="157">
        <v>1</v>
      </c>
      <c r="N111" s="166">
        <v>550</v>
      </c>
      <c r="O111" s="173">
        <v>0.27</v>
      </c>
      <c r="P111" s="186">
        <f t="shared" si="16"/>
        <v>401.5</v>
      </c>
      <c r="Q111" s="166">
        <f t="shared" si="17"/>
        <v>6022.5</v>
      </c>
      <c r="R111" s="206"/>
      <c r="S111" s="178">
        <f t="shared" si="20"/>
        <v>3.1013512313098211E-2</v>
      </c>
      <c r="T111" s="168">
        <f t="shared" si="18"/>
        <v>24090</v>
      </c>
      <c r="U111" s="280"/>
      <c r="W111" s="169">
        <f>T111</f>
        <v>24090</v>
      </c>
      <c r="Y111" s="152"/>
      <c r="Z111" s="282">
        <f>T111</f>
        <v>24090</v>
      </c>
      <c r="AA111" s="152"/>
      <c r="AE111" s="169">
        <f>T111</f>
        <v>24090</v>
      </c>
      <c r="AF111" s="169"/>
      <c r="AG111" s="152"/>
    </row>
    <row r="112" spans="1:33" x14ac:dyDescent="0.3">
      <c r="A112" s="157"/>
      <c r="B112" s="157"/>
      <c r="C112" s="157"/>
      <c r="D112" s="157"/>
      <c r="E112" s="157"/>
      <c r="F112" s="158"/>
      <c r="G112" s="157"/>
      <c r="H112" s="157"/>
      <c r="L112" s="286"/>
      <c r="M112" s="157"/>
      <c r="N112" s="166"/>
      <c r="O112" s="173"/>
      <c r="P112" s="186"/>
      <c r="Q112" s="166"/>
      <c r="R112" s="206"/>
      <c r="S112" s="393"/>
      <c r="T112" s="168"/>
      <c r="U112" s="280"/>
      <c r="W112" s="169">
        <f>T112</f>
        <v>0</v>
      </c>
      <c r="Y112" s="152"/>
      <c r="Z112" s="280"/>
      <c r="AA112" s="152"/>
      <c r="AE112" s="169"/>
      <c r="AG112" s="171">
        <f>T112</f>
        <v>0</v>
      </c>
    </row>
    <row r="113" spans="1:33" x14ac:dyDescent="0.3">
      <c r="A113" s="172"/>
      <c r="B113" s="157"/>
      <c r="C113" s="190"/>
      <c r="D113" s="190"/>
      <c r="E113" s="190"/>
      <c r="F113" s="191"/>
      <c r="G113" s="190"/>
      <c r="H113" s="190"/>
      <c r="I113" s="245"/>
      <c r="J113" s="245"/>
      <c r="K113" s="245"/>
      <c r="L113" s="287"/>
      <c r="M113" s="190"/>
      <c r="N113" s="194"/>
      <c r="O113" s="195"/>
      <c r="P113" s="288"/>
      <c r="Q113" s="166"/>
      <c r="R113" s="206"/>
      <c r="S113" s="393"/>
      <c r="T113" s="168"/>
      <c r="U113" s="280"/>
      <c r="Y113" s="152"/>
      <c r="Z113" s="280"/>
      <c r="AA113" s="152"/>
      <c r="AG113" s="152"/>
    </row>
    <row r="114" spans="1:33" x14ac:dyDescent="0.3">
      <c r="A114" s="108" t="s">
        <v>882</v>
      </c>
      <c r="B114" s="108" t="s">
        <v>528</v>
      </c>
      <c r="C114" s="192"/>
      <c r="D114" s="193"/>
      <c r="E114" s="193"/>
      <c r="F114" s="244"/>
      <c r="G114" s="193"/>
      <c r="H114" s="193"/>
      <c r="I114" s="245"/>
      <c r="J114" s="245"/>
      <c r="K114" s="245"/>
      <c r="L114" s="245"/>
      <c r="M114" s="193"/>
      <c r="N114" s="246"/>
      <c r="O114" s="196"/>
      <c r="P114" s="288"/>
      <c r="Q114" s="257"/>
      <c r="R114" s="290"/>
      <c r="S114" s="262">
        <f>Q114/Q117</f>
        <v>0</v>
      </c>
      <c r="T114" s="168"/>
      <c r="U114" s="280"/>
      <c r="X114" s="169">
        <f>T114</f>
        <v>0</v>
      </c>
      <c r="Y114" s="152"/>
      <c r="Z114" s="280"/>
      <c r="AA114" s="152"/>
      <c r="AG114" s="152"/>
    </row>
    <row r="115" spans="1:33" x14ac:dyDescent="0.3">
      <c r="A115" s="108" t="s">
        <v>882</v>
      </c>
      <c r="B115" s="108" t="s">
        <v>529</v>
      </c>
      <c r="C115" s="289"/>
      <c r="D115" s="252"/>
      <c r="E115" s="252"/>
      <c r="F115" s="253"/>
      <c r="G115" s="252"/>
      <c r="H115" s="252"/>
      <c r="I115" s="254"/>
      <c r="J115" s="254"/>
      <c r="K115" s="254"/>
      <c r="L115" s="254"/>
      <c r="M115" s="252"/>
      <c r="N115" s="255"/>
      <c r="O115" s="256"/>
      <c r="P115" s="290"/>
      <c r="Q115" s="257">
        <v>30000</v>
      </c>
      <c r="R115" s="480"/>
      <c r="S115" s="291">
        <f>Q115/Q117</f>
        <v>0.15448823070036469</v>
      </c>
      <c r="T115" s="168">
        <f>Q115*4</f>
        <v>120000</v>
      </c>
      <c r="U115" s="280"/>
      <c r="Y115" s="171">
        <f>T115</f>
        <v>120000</v>
      </c>
      <c r="Z115" s="280"/>
      <c r="AA115" s="152"/>
      <c r="AG115" s="152"/>
    </row>
    <row r="116" spans="1:33" x14ac:dyDescent="0.3">
      <c r="I116" s="115">
        <f>I117/M117</f>
        <v>0.93442622950819676</v>
      </c>
      <c r="J116" s="115">
        <f>J117/M117</f>
        <v>6.5573770491803282E-2</v>
      </c>
      <c r="T116" s="149"/>
      <c r="U116" s="280"/>
      <c r="Y116" s="152"/>
      <c r="Z116" s="280"/>
      <c r="AA116" s="567"/>
      <c r="AB116" s="245"/>
      <c r="AC116" s="245"/>
      <c r="AD116" s="245"/>
      <c r="AE116" s="245"/>
      <c r="AF116" s="245"/>
      <c r="AG116" s="567"/>
    </row>
    <row r="117" spans="1:33" x14ac:dyDescent="0.3">
      <c r="A117" s="326" t="s">
        <v>531</v>
      </c>
      <c r="B117" s="327"/>
      <c r="C117" s="327"/>
      <c r="D117" s="327"/>
      <c r="E117" s="327"/>
      <c r="F117" s="328"/>
      <c r="G117" s="327"/>
      <c r="H117" s="327"/>
      <c r="I117" s="327">
        <f>I111+I110+I108+I107+I106+I104+I103+I102+I105</f>
        <v>57</v>
      </c>
      <c r="J117" s="327">
        <f>J109</f>
        <v>4</v>
      </c>
      <c r="K117" s="327"/>
      <c r="L117" s="327"/>
      <c r="M117" s="327">
        <f>SUM(I117:L117)</f>
        <v>61</v>
      </c>
      <c r="N117" s="329"/>
      <c r="O117" s="330"/>
      <c r="P117" s="329"/>
      <c r="Q117" s="331">
        <f>SUM(Q101:Q116)</f>
        <v>194189.55</v>
      </c>
      <c r="R117" s="331"/>
      <c r="S117" s="332">
        <f>SUM(S101:S115)</f>
        <v>1</v>
      </c>
      <c r="T117" s="1066">
        <f>SUM(T101:T116)</f>
        <v>776758.2</v>
      </c>
      <c r="U117" s="584">
        <f t="shared" ref="U117:AA117" si="21">SUM(U101:U115)</f>
        <v>466425.96</v>
      </c>
      <c r="V117" s="585">
        <f t="shared" si="21"/>
        <v>166242.23999999999</v>
      </c>
      <c r="W117" s="585">
        <f t="shared" si="21"/>
        <v>24090</v>
      </c>
      <c r="X117" s="585">
        <f t="shared" si="21"/>
        <v>0</v>
      </c>
      <c r="Y117" s="586">
        <f t="shared" si="21"/>
        <v>120000</v>
      </c>
      <c r="Z117" s="587">
        <f t="shared" si="21"/>
        <v>312122</v>
      </c>
      <c r="AA117" s="647">
        <f t="shared" si="21"/>
        <v>344636.2</v>
      </c>
      <c r="AB117" s="1067">
        <f>SUM(AB100:AB116)</f>
        <v>190752</v>
      </c>
      <c r="AC117" s="1067">
        <f>SUM(AC100:AC116)</f>
        <v>290716.2</v>
      </c>
      <c r="AD117" s="1067">
        <f>SUM(AD100:AD116)</f>
        <v>115200</v>
      </c>
      <c r="AE117" s="1067">
        <f>SUM(AE100:AE116)</f>
        <v>60090</v>
      </c>
      <c r="AF117" s="1067">
        <f>SUM(AF101:AF116)</f>
        <v>0</v>
      </c>
      <c r="AG117" s="647">
        <f>SUM(AG101:AG116)</f>
        <v>0</v>
      </c>
    </row>
    <row r="118" spans="1:33" x14ac:dyDescent="0.3">
      <c r="A118" s="342" t="s">
        <v>532</v>
      </c>
      <c r="B118" s="343"/>
      <c r="C118" s="343"/>
      <c r="D118" s="343"/>
      <c r="E118" s="343"/>
      <c r="F118" s="344"/>
      <c r="G118" s="343"/>
      <c r="H118" s="343"/>
      <c r="I118" s="343">
        <f>I111+I110+I108+I107+I106+I104+I103+I102</f>
        <v>55</v>
      </c>
      <c r="J118" s="343">
        <f>I111+I110+J109+I108+I107+I106+I104+I103+I102</f>
        <v>59</v>
      </c>
      <c r="K118" s="343">
        <f>I111+I110+J109+I108+I107+I106+I104+I103</f>
        <v>43</v>
      </c>
      <c r="L118" s="343"/>
      <c r="M118" s="343">
        <f>SUM(I118:L118)</f>
        <v>157</v>
      </c>
      <c r="N118" s="345"/>
      <c r="O118" s="346"/>
      <c r="P118" s="345"/>
      <c r="Q118" s="345"/>
      <c r="R118" s="345"/>
      <c r="S118" s="347"/>
      <c r="T118" s="1005"/>
      <c r="U118" s="349">
        <f>U117/T117</f>
        <v>0.60047767760932558</v>
      </c>
      <c r="V118" s="350">
        <f>V117/T117</f>
        <v>0.21402057937721158</v>
      </c>
      <c r="W118" s="350">
        <f>W117/T117</f>
        <v>3.1013512313098211E-2</v>
      </c>
      <c r="X118" s="350">
        <f>X117/T117</f>
        <v>0</v>
      </c>
      <c r="Y118" s="352">
        <f>Y117/T117</f>
        <v>0.15448823070036469</v>
      </c>
      <c r="Z118" s="351">
        <f>Z117/T117</f>
        <v>0.40182646285549356</v>
      </c>
      <c r="AA118" s="352">
        <f>AA117/T117</f>
        <v>0.44368530644414184</v>
      </c>
      <c r="AB118" s="523"/>
      <c r="AC118" s="524"/>
      <c r="AD118" s="524"/>
      <c r="AE118" s="524"/>
      <c r="AF118" s="524"/>
      <c r="AG118" s="356"/>
    </row>
    <row r="119" spans="1:33" x14ac:dyDescent="0.3">
      <c r="A119" s="243" t="s">
        <v>533</v>
      </c>
      <c r="B119" s="193"/>
      <c r="C119" s="193"/>
      <c r="D119" s="193"/>
      <c r="E119" s="193"/>
      <c r="F119" s="244"/>
      <c r="G119" s="193"/>
      <c r="H119" s="193"/>
      <c r="I119" s="2182">
        <f>I118/$M$118</f>
        <v>0.3503184713375796</v>
      </c>
      <c r="J119" s="2182">
        <f t="shared" ref="J119:K119" si="22">J118/$M$118</f>
        <v>0.37579617834394907</v>
      </c>
      <c r="K119" s="2182">
        <f t="shared" si="22"/>
        <v>0.27388535031847133</v>
      </c>
      <c r="L119" s="245"/>
      <c r="M119" s="193"/>
      <c r="N119" s="246"/>
      <c r="O119" s="196"/>
      <c r="P119" s="246"/>
      <c r="Q119" s="194">
        <f>U117/4</f>
        <v>116606.49</v>
      </c>
      <c r="R119" s="288"/>
      <c r="S119" s="247">
        <f>Q119/Q124</f>
        <v>0.60047767760932558</v>
      </c>
      <c r="Y119" s="248"/>
      <c r="Z119" s="1048">
        <f>I102+I103+I108+I110+I111</f>
        <v>42</v>
      </c>
      <c r="AA119" s="1049">
        <f>I104+I105+I106+I107+J109</f>
        <v>19</v>
      </c>
      <c r="AB119" s="1058"/>
      <c r="AC119" s="143"/>
      <c r="AD119" s="143"/>
      <c r="AE119" s="143"/>
      <c r="AF119" s="143"/>
      <c r="AG119" s="143"/>
    </row>
    <row r="120" spans="1:33" x14ac:dyDescent="0.3">
      <c r="A120" s="251" t="s">
        <v>11</v>
      </c>
      <c r="B120" s="252"/>
      <c r="C120" s="252"/>
      <c r="D120" s="252"/>
      <c r="E120" s="252"/>
      <c r="F120" s="253"/>
      <c r="G120" s="252"/>
      <c r="H120" s="252"/>
      <c r="I120" s="254"/>
      <c r="J120" s="254"/>
      <c r="K120" s="254"/>
      <c r="L120" s="254"/>
      <c r="M120" s="252"/>
      <c r="N120" s="255"/>
      <c r="O120" s="256"/>
      <c r="P120" s="255"/>
      <c r="Q120" s="257">
        <f>V117/4</f>
        <v>41560.559999999998</v>
      </c>
      <c r="R120" s="290"/>
      <c r="S120" s="262">
        <f>Q120/Q124</f>
        <v>0.21402057937721158</v>
      </c>
      <c r="T120" s="1068">
        <f>Q117/M117</f>
        <v>3183.4352459016391</v>
      </c>
      <c r="U120" s="1069" t="s">
        <v>535</v>
      </c>
      <c r="Z120" s="260">
        <f>Z119/M117</f>
        <v>0.68852459016393441</v>
      </c>
      <c r="AA120" s="261">
        <f>AA119/M117</f>
        <v>0.31147540983606559</v>
      </c>
    </row>
    <row r="121" spans="1:33" x14ac:dyDescent="0.3">
      <c r="A121" s="251" t="s">
        <v>536</v>
      </c>
      <c r="B121" s="252"/>
      <c r="C121" s="252"/>
      <c r="D121" s="252"/>
      <c r="E121" s="252"/>
      <c r="F121" s="253"/>
      <c r="G121" s="252"/>
      <c r="H121" s="252"/>
      <c r="I121" s="254"/>
      <c r="J121" s="254"/>
      <c r="K121" s="254"/>
      <c r="L121" s="254"/>
      <c r="M121" s="252"/>
      <c r="N121" s="255"/>
      <c r="O121" s="256"/>
      <c r="P121" s="255"/>
      <c r="Q121" s="257">
        <f>W117/4</f>
        <v>6022.5</v>
      </c>
      <c r="R121" s="290"/>
      <c r="S121" s="262">
        <f>Q121/Q124</f>
        <v>3.1013512313098211E-2</v>
      </c>
      <c r="V121" s="263"/>
      <c r="X121" s="99"/>
      <c r="Z121" s="2551" t="s">
        <v>537</v>
      </c>
      <c r="AA121" s="2551"/>
    </row>
    <row r="122" spans="1:33" x14ac:dyDescent="0.3">
      <c r="A122" s="251" t="s">
        <v>529</v>
      </c>
      <c r="B122" s="252"/>
      <c r="C122" s="252"/>
      <c r="D122" s="252"/>
      <c r="E122" s="252"/>
      <c r="F122" s="253"/>
      <c r="G122" s="252"/>
      <c r="H122" s="252"/>
      <c r="I122" s="254"/>
      <c r="J122" s="254"/>
      <c r="K122" s="254"/>
      <c r="L122" s="254"/>
      <c r="M122" s="252"/>
      <c r="N122" s="255"/>
      <c r="O122" s="256"/>
      <c r="P122" s="255"/>
      <c r="Q122" s="257">
        <f>Y117/4</f>
        <v>30000</v>
      </c>
      <c r="R122" s="290"/>
      <c r="S122" s="262">
        <f>Q122/Q124</f>
        <v>0.15448823070036469</v>
      </c>
      <c r="U122" s="263"/>
      <c r="V122" s="263"/>
    </row>
    <row r="123" spans="1:33" x14ac:dyDescent="0.3">
      <c r="A123" s="251" t="s">
        <v>528</v>
      </c>
      <c r="B123" s="252"/>
      <c r="C123" s="252"/>
      <c r="D123" s="252"/>
      <c r="E123" s="252"/>
      <c r="F123" s="253"/>
      <c r="G123" s="252"/>
      <c r="H123" s="252"/>
      <c r="I123" s="254"/>
      <c r="J123" s="254"/>
      <c r="K123" s="254"/>
      <c r="L123" s="254"/>
      <c r="M123" s="252"/>
      <c r="N123" s="255"/>
      <c r="O123" s="256"/>
      <c r="P123" s="255"/>
      <c r="Q123" s="257">
        <f>X117/4</f>
        <v>0</v>
      </c>
      <c r="R123" s="290"/>
      <c r="S123" s="262">
        <f>Q123/Q124</f>
        <v>0</v>
      </c>
    </row>
    <row r="124" spans="1:33" x14ac:dyDescent="0.3">
      <c r="A124" s="251"/>
      <c r="B124" s="252"/>
      <c r="C124" s="252"/>
      <c r="D124" s="252"/>
      <c r="E124" s="252"/>
      <c r="F124" s="253"/>
      <c r="G124" s="252"/>
      <c r="H124" s="252"/>
      <c r="I124" s="254"/>
      <c r="J124" s="254"/>
      <c r="K124" s="254"/>
      <c r="L124" s="254"/>
      <c r="M124" s="252"/>
      <c r="N124" s="255"/>
      <c r="O124" s="256"/>
      <c r="P124" s="255"/>
      <c r="Q124" s="264">
        <f>SUM(Q119:Q123)</f>
        <v>194189.55</v>
      </c>
      <c r="R124" s="490"/>
      <c r="S124" s="262">
        <f>SUM(S119:S123)</f>
        <v>1</v>
      </c>
    </row>
    <row r="125" spans="1:33" x14ac:dyDescent="0.3">
      <c r="A125" s="188"/>
      <c r="N125" s="5"/>
      <c r="O125" s="6"/>
      <c r="P125" s="5"/>
      <c r="Q125" s="7"/>
      <c r="R125" s="7"/>
      <c r="S125" s="6"/>
      <c r="T125" s="5"/>
    </row>
    <row r="126" spans="1:33" x14ac:dyDescent="0.3">
      <c r="A126" s="188"/>
      <c r="N126" s="5"/>
      <c r="O126" s="6"/>
      <c r="P126" s="5"/>
      <c r="Q126" s="7"/>
      <c r="R126" s="7"/>
      <c r="S126" s="6"/>
      <c r="T126" s="5"/>
    </row>
    <row r="127" spans="1:33" x14ac:dyDescent="0.3">
      <c r="A127" s="188"/>
      <c r="N127" s="5"/>
      <c r="O127" s="6"/>
      <c r="P127" s="5"/>
      <c r="Q127" s="7"/>
      <c r="R127" s="7"/>
      <c r="S127" s="6"/>
      <c r="T127" s="5"/>
    </row>
    <row r="128" spans="1:33" ht="18" x14ac:dyDescent="0.35">
      <c r="A128" s="1037" t="s">
        <v>554</v>
      </c>
      <c r="N128" s="5"/>
      <c r="O128" s="6"/>
      <c r="P128" s="5"/>
      <c r="Q128" s="7"/>
      <c r="R128" s="7"/>
      <c r="S128" s="8"/>
      <c r="T128" s="5"/>
    </row>
    <row r="129" spans="1:33" ht="18" x14ac:dyDescent="0.35">
      <c r="A129" s="1037"/>
      <c r="N129" s="5"/>
      <c r="O129" s="6"/>
      <c r="P129" s="5"/>
      <c r="Q129" s="7"/>
      <c r="R129" s="7"/>
      <c r="S129" s="8"/>
      <c r="T129" s="5"/>
    </row>
    <row r="130" spans="1:33" x14ac:dyDescent="0.3">
      <c r="A130" s="2560" t="s">
        <v>480</v>
      </c>
      <c r="B130" s="2561"/>
      <c r="C130" s="2561"/>
      <c r="D130" s="2561"/>
      <c r="E130" s="2561"/>
      <c r="F130" s="2561"/>
      <c r="G130" s="2561"/>
      <c r="H130" s="2561"/>
      <c r="I130" s="2561"/>
      <c r="J130" s="2561"/>
      <c r="K130" s="2561"/>
      <c r="L130" s="2561"/>
      <c r="M130" s="2561"/>
      <c r="N130" s="2561"/>
      <c r="O130" s="2561"/>
      <c r="P130" s="2561"/>
      <c r="Q130" s="2561"/>
      <c r="R130" s="2561"/>
      <c r="S130" s="2562"/>
      <c r="T130" s="2575" t="s">
        <v>584</v>
      </c>
      <c r="U130" s="2565"/>
      <c r="V130" s="2565"/>
      <c r="W130" s="2565"/>
      <c r="X130" s="2565"/>
      <c r="Y130" s="2565"/>
      <c r="Z130" s="2565"/>
      <c r="AA130" s="2565"/>
      <c r="AB130" s="2564"/>
      <c r="AC130" s="2564"/>
      <c r="AD130" s="2564"/>
      <c r="AE130" s="2564"/>
      <c r="AF130" s="2564"/>
      <c r="AG130" s="2576"/>
    </row>
    <row r="131" spans="1:33" ht="18" x14ac:dyDescent="0.3">
      <c r="A131" s="2256" t="s">
        <v>482</v>
      </c>
      <c r="B131" s="2258" t="s">
        <v>483</v>
      </c>
      <c r="C131" s="2258" t="s">
        <v>484</v>
      </c>
      <c r="D131" s="2258" t="s">
        <v>555</v>
      </c>
      <c r="E131" s="2258" t="s">
        <v>556</v>
      </c>
      <c r="F131" s="2260" t="s">
        <v>487</v>
      </c>
      <c r="G131" s="2258" t="s">
        <v>557</v>
      </c>
      <c r="H131" s="2258" t="s">
        <v>489</v>
      </c>
      <c r="I131" s="2240" t="s">
        <v>490</v>
      </c>
      <c r="J131" s="2240"/>
      <c r="K131" s="2240"/>
      <c r="L131" s="2240"/>
      <c r="M131" s="305" t="s">
        <v>491</v>
      </c>
      <c r="N131" s="306" t="s">
        <v>558</v>
      </c>
      <c r="O131" s="307" t="s">
        <v>493</v>
      </c>
      <c r="P131" s="306" t="s">
        <v>558</v>
      </c>
      <c r="Q131" s="306" t="s">
        <v>559</v>
      </c>
      <c r="R131" s="512" t="s">
        <v>585</v>
      </c>
      <c r="S131" s="308" t="s">
        <v>495</v>
      </c>
      <c r="T131" s="1070" t="s">
        <v>496</v>
      </c>
      <c r="U131" s="2567" t="s">
        <v>497</v>
      </c>
      <c r="V131" s="2568"/>
      <c r="W131" s="2568"/>
      <c r="X131" s="2568"/>
      <c r="Y131" s="2568"/>
      <c r="Z131" s="2567" t="s">
        <v>498</v>
      </c>
      <c r="AA131" s="2571"/>
      <c r="AB131" s="2568" t="s">
        <v>499</v>
      </c>
      <c r="AC131" s="2568"/>
      <c r="AD131" s="2568"/>
      <c r="AE131" s="2568"/>
      <c r="AF131" s="2568"/>
      <c r="AG131" s="2571"/>
    </row>
    <row r="132" spans="1:33" ht="18" x14ac:dyDescent="0.3">
      <c r="A132" s="2257"/>
      <c r="B132" s="2259"/>
      <c r="C132" s="2259"/>
      <c r="D132" s="2259"/>
      <c r="E132" s="2259"/>
      <c r="F132" s="2261"/>
      <c r="G132" s="2259"/>
      <c r="H132" s="2259"/>
      <c r="I132" s="310" t="s">
        <v>500</v>
      </c>
      <c r="J132" s="310" t="s">
        <v>501</v>
      </c>
      <c r="K132" s="310" t="s">
        <v>502</v>
      </c>
      <c r="L132" s="310" t="s">
        <v>503</v>
      </c>
      <c r="M132" s="311" t="s">
        <v>504</v>
      </c>
      <c r="N132" s="312" t="s">
        <v>505</v>
      </c>
      <c r="O132" s="313" t="s">
        <v>506</v>
      </c>
      <c r="P132" s="312" t="s">
        <v>507</v>
      </c>
      <c r="Q132" s="312" t="s">
        <v>560</v>
      </c>
      <c r="R132" s="312"/>
      <c r="S132" s="314"/>
      <c r="T132" s="1071" t="s">
        <v>508</v>
      </c>
      <c r="U132" s="2569"/>
      <c r="V132" s="2570"/>
      <c r="W132" s="2570"/>
      <c r="X132" s="2570"/>
      <c r="Y132" s="2570"/>
      <c r="Z132" s="2572"/>
      <c r="AA132" s="2573"/>
      <c r="AB132" s="2574"/>
      <c r="AC132" s="2574"/>
      <c r="AD132" s="2574"/>
      <c r="AE132" s="2574"/>
      <c r="AF132" s="2574"/>
      <c r="AG132" s="2573"/>
    </row>
    <row r="133" spans="1:33" ht="18" x14ac:dyDescent="0.35">
      <c r="A133" s="2449" t="s">
        <v>561</v>
      </c>
      <c r="B133" s="2450"/>
      <c r="C133" s="2450"/>
      <c r="D133" s="2450"/>
      <c r="E133" s="2450"/>
      <c r="F133" s="2450"/>
      <c r="G133" s="2450"/>
      <c r="H133" s="2450"/>
      <c r="I133" s="2450"/>
      <c r="J133" s="2450"/>
      <c r="K133" s="2450"/>
      <c r="L133" s="2450"/>
      <c r="M133" s="2450"/>
      <c r="N133" s="2450"/>
      <c r="O133" s="2450"/>
      <c r="P133" s="2450"/>
      <c r="Q133" s="2450"/>
      <c r="R133" s="2450"/>
      <c r="S133" s="2450"/>
      <c r="T133" s="1061"/>
      <c r="U133" s="1062" t="s">
        <v>510</v>
      </c>
      <c r="V133" s="1063" t="s">
        <v>11</v>
      </c>
      <c r="W133" s="1063" t="s">
        <v>511</v>
      </c>
      <c r="X133" s="1063" t="s">
        <v>512</v>
      </c>
      <c r="Y133" s="1063" t="s">
        <v>513</v>
      </c>
      <c r="Z133" s="1042" t="s">
        <v>514</v>
      </c>
      <c r="AA133" s="1045" t="s">
        <v>515</v>
      </c>
      <c r="AB133" s="1041" t="s">
        <v>163</v>
      </c>
      <c r="AC133" s="1041" t="s">
        <v>12</v>
      </c>
      <c r="AD133" s="1053" t="s">
        <v>164</v>
      </c>
      <c r="AE133" s="1044" t="s">
        <v>165</v>
      </c>
      <c r="AF133" s="1044" t="s">
        <v>139</v>
      </c>
      <c r="AG133" s="1045" t="s">
        <v>5</v>
      </c>
    </row>
    <row r="134" spans="1:33" x14ac:dyDescent="0.3">
      <c r="A134" s="154"/>
      <c r="B134" s="462"/>
      <c r="C134" s="462"/>
      <c r="D134" s="462"/>
      <c r="E134" s="462"/>
      <c r="F134" s="463"/>
      <c r="G134" s="462"/>
      <c r="H134" s="462"/>
      <c r="I134" s="465"/>
      <c r="J134" s="465"/>
      <c r="K134" s="465"/>
      <c r="L134" s="465"/>
      <c r="M134" s="462"/>
      <c r="N134" s="468"/>
      <c r="O134" s="469"/>
      <c r="P134" s="468"/>
      <c r="Q134" s="468"/>
      <c r="R134" s="470"/>
      <c r="S134" s="532"/>
      <c r="T134" s="283"/>
      <c r="U134" s="280"/>
      <c r="Z134" s="280"/>
      <c r="AA134" s="152"/>
      <c r="AG134" s="152"/>
    </row>
    <row r="135" spans="1:33" x14ac:dyDescent="0.3">
      <c r="A135" s="157" t="s">
        <v>882</v>
      </c>
      <c r="B135" s="157" t="s">
        <v>407</v>
      </c>
      <c r="C135" s="157" t="s">
        <v>883</v>
      </c>
      <c r="D135" s="157" t="s">
        <v>166</v>
      </c>
      <c r="E135" s="157" t="s">
        <v>520</v>
      </c>
      <c r="F135" s="158" t="s">
        <v>552</v>
      </c>
      <c r="G135" s="157">
        <v>16</v>
      </c>
      <c r="H135" s="157" t="s">
        <v>63</v>
      </c>
      <c r="I135" s="159">
        <v>16</v>
      </c>
      <c r="J135" s="161"/>
      <c r="L135" s="286"/>
      <c r="M135" s="163">
        <v>1</v>
      </c>
      <c r="N135" s="166">
        <v>1700</v>
      </c>
      <c r="O135" s="173">
        <v>0.06</v>
      </c>
      <c r="P135" s="166">
        <f t="shared" ref="P135:P145" si="23">N135*(1-O135)</f>
        <v>1598</v>
      </c>
      <c r="Q135" s="166">
        <f t="shared" ref="Q135:Q145" si="24">P135*M135*G135</f>
        <v>25568</v>
      </c>
      <c r="R135" s="206" t="e">
        <f>(Q135+Q139)/E115*1000</f>
        <v>#DIV/0!</v>
      </c>
      <c r="S135" s="178">
        <f>Q135/$Q$150</f>
        <v>0.13083146805873641</v>
      </c>
      <c r="T135" s="150">
        <f>Q135</f>
        <v>25568</v>
      </c>
      <c r="U135" s="282">
        <f t="shared" ref="U135:U138" si="25">T135</f>
        <v>25568</v>
      </c>
      <c r="Z135" s="282">
        <f>T135</f>
        <v>25568</v>
      </c>
      <c r="AA135" s="171"/>
      <c r="AB135" s="169">
        <f>T135</f>
        <v>25568</v>
      </c>
      <c r="AG135" s="152"/>
    </row>
    <row r="136" spans="1:33" x14ac:dyDescent="0.3">
      <c r="A136" s="157" t="s">
        <v>882</v>
      </c>
      <c r="B136" s="157" t="s">
        <v>408</v>
      </c>
      <c r="C136" s="157" t="s">
        <v>884</v>
      </c>
      <c r="D136" s="157" t="s">
        <v>26</v>
      </c>
      <c r="E136" s="157" t="s">
        <v>520</v>
      </c>
      <c r="F136" s="158" t="s">
        <v>890</v>
      </c>
      <c r="G136" s="157">
        <v>4</v>
      </c>
      <c r="H136" s="157" t="s">
        <v>24</v>
      </c>
      <c r="I136" s="175">
        <v>4</v>
      </c>
      <c r="J136" s="176"/>
      <c r="K136" s="176"/>
      <c r="L136" s="177"/>
      <c r="M136" s="163">
        <v>1</v>
      </c>
      <c r="N136" s="166">
        <v>3500</v>
      </c>
      <c r="O136" s="173">
        <v>0.04</v>
      </c>
      <c r="P136" s="166">
        <f t="shared" si="23"/>
        <v>3360</v>
      </c>
      <c r="Q136" s="166">
        <f t="shared" si="24"/>
        <v>13440</v>
      </c>
      <c r="R136" s="206" t="e">
        <f>(Q136+Q143)/E115*1000</f>
        <v>#DIV/0!</v>
      </c>
      <c r="S136" s="178">
        <f>Q136/$Q$150</f>
        <v>6.8772486338760069E-2</v>
      </c>
      <c r="T136" s="150">
        <f t="shared" ref="T136:T145" si="26">Q136</f>
        <v>13440</v>
      </c>
      <c r="U136" s="282">
        <f t="shared" si="25"/>
        <v>13440</v>
      </c>
      <c r="W136" s="169"/>
      <c r="Z136" s="283">
        <f>T136</f>
        <v>13440</v>
      </c>
      <c r="AA136" s="171"/>
      <c r="AB136" s="169">
        <f>T136</f>
        <v>13440</v>
      </c>
      <c r="AG136" s="152"/>
    </row>
    <row r="137" spans="1:33" x14ac:dyDescent="0.3">
      <c r="A137" s="157" t="s">
        <v>882</v>
      </c>
      <c r="B137" s="157" t="s">
        <v>407</v>
      </c>
      <c r="C137" s="157" t="s">
        <v>884</v>
      </c>
      <c r="D137" s="157" t="s">
        <v>21</v>
      </c>
      <c r="E137" s="157" t="s">
        <v>518</v>
      </c>
      <c r="F137" s="158" t="s">
        <v>169</v>
      </c>
      <c r="G137" s="157">
        <v>2</v>
      </c>
      <c r="H137" s="157" t="s">
        <v>24</v>
      </c>
      <c r="I137" s="159">
        <v>2</v>
      </c>
      <c r="J137" s="161"/>
      <c r="K137" s="161"/>
      <c r="L137" s="2209"/>
      <c r="M137" s="163">
        <v>1</v>
      </c>
      <c r="N137" s="166">
        <v>7000</v>
      </c>
      <c r="O137" s="173">
        <v>0.14000000000000001</v>
      </c>
      <c r="P137" s="166">
        <f t="shared" si="23"/>
        <v>6020</v>
      </c>
      <c r="Q137" s="166">
        <f t="shared" si="24"/>
        <v>12040</v>
      </c>
      <c r="R137" s="206"/>
      <c r="S137" s="167">
        <f>Q137/$Q$150</f>
        <v>6.1608685678472559E-2</v>
      </c>
      <c r="T137" s="150">
        <f t="shared" si="26"/>
        <v>12040</v>
      </c>
      <c r="U137" s="282">
        <f t="shared" si="25"/>
        <v>12040</v>
      </c>
      <c r="Z137" s="282"/>
      <c r="AA137" s="171">
        <f>T137</f>
        <v>12040</v>
      </c>
      <c r="AB137" s="169">
        <f>T137</f>
        <v>12040</v>
      </c>
      <c r="AG137" s="152"/>
    </row>
    <row r="138" spans="1:33" x14ac:dyDescent="0.3">
      <c r="A138" s="157" t="s">
        <v>882</v>
      </c>
      <c r="B138" s="157" t="s">
        <v>409</v>
      </c>
      <c r="C138" s="157" t="s">
        <v>884</v>
      </c>
      <c r="D138" s="157" t="s">
        <v>21</v>
      </c>
      <c r="E138" s="157" t="s">
        <v>518</v>
      </c>
      <c r="F138" s="158" t="s">
        <v>169</v>
      </c>
      <c r="G138" s="157">
        <v>2</v>
      </c>
      <c r="H138" s="157" t="s">
        <v>24</v>
      </c>
      <c r="I138" s="175">
        <v>2</v>
      </c>
      <c r="J138" s="176"/>
      <c r="K138" s="176"/>
      <c r="L138" s="177"/>
      <c r="M138" s="163">
        <v>1</v>
      </c>
      <c r="N138" s="166">
        <v>27024.15</v>
      </c>
      <c r="O138" s="173">
        <v>0.7</v>
      </c>
      <c r="P138" s="166">
        <f t="shared" si="23"/>
        <v>8107.2450000000017</v>
      </c>
      <c r="Q138" s="166">
        <f t="shared" si="24"/>
        <v>16214.490000000003</v>
      </c>
      <c r="R138" s="206"/>
      <c r="S138" s="167">
        <f t="shared" ref="S138:S139" si="27">Q138/$Q$150</f>
        <v>8.2969552977303726E-2</v>
      </c>
      <c r="T138" s="150">
        <f t="shared" si="26"/>
        <v>16214.490000000003</v>
      </c>
      <c r="U138" s="282">
        <f t="shared" si="25"/>
        <v>16214.490000000003</v>
      </c>
      <c r="Z138" s="282"/>
      <c r="AA138" s="171">
        <f>T138</f>
        <v>16214.490000000003</v>
      </c>
      <c r="AC138" s="169">
        <f>T138</f>
        <v>16214.490000000003</v>
      </c>
      <c r="AG138" s="152"/>
    </row>
    <row r="139" spans="1:33" x14ac:dyDescent="0.3">
      <c r="A139" s="157" t="s">
        <v>882</v>
      </c>
      <c r="B139" s="157" t="s">
        <v>409</v>
      </c>
      <c r="C139" s="157" t="s">
        <v>883</v>
      </c>
      <c r="D139" s="157" t="s">
        <v>411</v>
      </c>
      <c r="E139" s="157" t="s">
        <v>518</v>
      </c>
      <c r="F139" s="158" t="s">
        <v>891</v>
      </c>
      <c r="G139" s="157">
        <v>10</v>
      </c>
      <c r="H139" s="157" t="s">
        <v>24</v>
      </c>
      <c r="I139" s="175">
        <v>10</v>
      </c>
      <c r="J139" s="176"/>
      <c r="K139" s="176"/>
      <c r="L139" s="177"/>
      <c r="M139" s="163">
        <v>1</v>
      </c>
      <c r="N139" s="166">
        <v>7020</v>
      </c>
      <c r="O139" s="173">
        <v>0.68</v>
      </c>
      <c r="P139" s="166">
        <f t="shared" si="23"/>
        <v>2246.3999999999996</v>
      </c>
      <c r="Q139" s="166">
        <f t="shared" si="24"/>
        <v>22463.999999999996</v>
      </c>
      <c r="R139" s="206"/>
      <c r="S139" s="167">
        <f t="shared" si="27"/>
        <v>0.11494829859478467</v>
      </c>
      <c r="T139" s="150">
        <f t="shared" si="26"/>
        <v>22463.999999999996</v>
      </c>
      <c r="U139" s="282"/>
      <c r="V139" s="169">
        <f>T139</f>
        <v>22463.999999999996</v>
      </c>
      <c r="Z139" s="282"/>
      <c r="AA139" s="171">
        <f>T139</f>
        <v>22463.999999999996</v>
      </c>
      <c r="AC139" s="169">
        <f>T139</f>
        <v>22463.999999999996</v>
      </c>
      <c r="AG139" s="152"/>
    </row>
    <row r="140" spans="1:33" x14ac:dyDescent="0.3">
      <c r="A140" s="157" t="s">
        <v>882</v>
      </c>
      <c r="B140" s="157" t="s">
        <v>412</v>
      </c>
      <c r="C140" s="157" t="s">
        <v>884</v>
      </c>
      <c r="D140" s="157" t="s">
        <v>26</v>
      </c>
      <c r="E140" s="157" t="s">
        <v>524</v>
      </c>
      <c r="F140" s="158" t="s">
        <v>890</v>
      </c>
      <c r="G140" s="157">
        <v>4</v>
      </c>
      <c r="H140" s="157" t="s">
        <v>24</v>
      </c>
      <c r="I140" s="159">
        <v>4</v>
      </c>
      <c r="J140" s="161"/>
      <c r="K140" s="161"/>
      <c r="L140" s="2209"/>
      <c r="M140" s="157">
        <v>1</v>
      </c>
      <c r="N140" s="166">
        <v>9000</v>
      </c>
      <c r="O140" s="173">
        <v>0.2</v>
      </c>
      <c r="P140" s="166">
        <f t="shared" si="23"/>
        <v>7200</v>
      </c>
      <c r="Q140" s="166">
        <f t="shared" si="24"/>
        <v>28800</v>
      </c>
      <c r="R140" s="206"/>
      <c r="S140" s="178">
        <f>Q140/$Q$150</f>
        <v>0.14736961358305728</v>
      </c>
      <c r="T140" s="150">
        <f t="shared" si="26"/>
        <v>28800</v>
      </c>
      <c r="U140" s="282">
        <f t="shared" ref="U140:U142" si="28">T140</f>
        <v>28800</v>
      </c>
      <c r="Z140" s="282">
        <f>T140</f>
        <v>28800</v>
      </c>
      <c r="AA140" s="152"/>
      <c r="AD140" s="169">
        <f>T140</f>
        <v>28800</v>
      </c>
      <c r="AG140" s="152"/>
    </row>
    <row r="141" spans="1:33" x14ac:dyDescent="0.3">
      <c r="A141" s="157" t="s">
        <v>882</v>
      </c>
      <c r="B141" s="157" t="s">
        <v>413</v>
      </c>
      <c r="C141" s="157" t="s">
        <v>884</v>
      </c>
      <c r="D141" s="157" t="s">
        <v>21</v>
      </c>
      <c r="E141" s="157" t="s">
        <v>518</v>
      </c>
      <c r="F141" s="158" t="s">
        <v>169</v>
      </c>
      <c r="G141" s="157">
        <v>4</v>
      </c>
      <c r="H141" s="157" t="s">
        <v>167</v>
      </c>
      <c r="I141" s="185"/>
      <c r="J141" s="176">
        <v>4</v>
      </c>
      <c r="K141" s="176"/>
      <c r="L141" s="286"/>
      <c r="M141" s="157">
        <v>1</v>
      </c>
      <c r="N141" s="166">
        <v>400</v>
      </c>
      <c r="O141" s="173">
        <v>0.1</v>
      </c>
      <c r="P141" s="166">
        <f t="shared" si="23"/>
        <v>360</v>
      </c>
      <c r="Q141" s="166">
        <f t="shared" si="24"/>
        <v>1440</v>
      </c>
      <c r="R141" s="206"/>
      <c r="S141" s="167">
        <f>Q141/$Q$150</f>
        <v>7.3684806791528643E-3</v>
      </c>
      <c r="T141" s="150">
        <f t="shared" si="26"/>
        <v>1440</v>
      </c>
      <c r="U141" s="282">
        <f t="shared" si="28"/>
        <v>1440</v>
      </c>
      <c r="Z141" s="280"/>
      <c r="AA141" s="171">
        <f>T141</f>
        <v>1440</v>
      </c>
      <c r="AE141" s="169">
        <f>T141</f>
        <v>1440</v>
      </c>
      <c r="AG141" s="152"/>
    </row>
    <row r="142" spans="1:33" x14ac:dyDescent="0.3">
      <c r="A142" s="157" t="s">
        <v>882</v>
      </c>
      <c r="B142" s="157" t="s">
        <v>413</v>
      </c>
      <c r="C142" s="157" t="s">
        <v>884</v>
      </c>
      <c r="D142" s="157" t="s">
        <v>26</v>
      </c>
      <c r="E142" s="157" t="s">
        <v>524</v>
      </c>
      <c r="F142" s="158" t="s">
        <v>890</v>
      </c>
      <c r="G142" s="157">
        <v>2</v>
      </c>
      <c r="H142" s="157" t="s">
        <v>24</v>
      </c>
      <c r="I142" s="159">
        <v>2</v>
      </c>
      <c r="J142" s="161"/>
      <c r="K142" s="161"/>
      <c r="L142" s="2209"/>
      <c r="M142" s="157">
        <v>1</v>
      </c>
      <c r="N142" s="166">
        <v>4200</v>
      </c>
      <c r="O142" s="173">
        <v>0.1</v>
      </c>
      <c r="P142" s="186">
        <f t="shared" si="23"/>
        <v>3780</v>
      </c>
      <c r="Q142" s="166">
        <f t="shared" si="24"/>
        <v>7560</v>
      </c>
      <c r="R142" s="206"/>
      <c r="S142" s="178">
        <f t="shared" ref="S142:S145" si="29">Q142/$Q$150</f>
        <v>3.8684523565552541E-2</v>
      </c>
      <c r="T142" s="150">
        <f t="shared" si="26"/>
        <v>7560</v>
      </c>
      <c r="U142" s="282">
        <f t="shared" si="28"/>
        <v>7560</v>
      </c>
      <c r="Z142" s="282">
        <f>T142</f>
        <v>7560</v>
      </c>
      <c r="AA142" s="152"/>
      <c r="AE142" s="169">
        <f>T142</f>
        <v>7560</v>
      </c>
      <c r="AG142" s="152"/>
    </row>
    <row r="143" spans="1:33" x14ac:dyDescent="0.3">
      <c r="A143" s="157" t="s">
        <v>882</v>
      </c>
      <c r="B143" s="157" t="s">
        <v>413</v>
      </c>
      <c r="C143" s="157" t="s">
        <v>884</v>
      </c>
      <c r="D143" s="157" t="s">
        <v>414</v>
      </c>
      <c r="E143" s="157" t="s">
        <v>520</v>
      </c>
      <c r="F143" s="158" t="s">
        <v>552</v>
      </c>
      <c r="G143" s="157">
        <v>15</v>
      </c>
      <c r="H143" s="157" t="s">
        <v>24</v>
      </c>
      <c r="I143" s="159">
        <v>15</v>
      </c>
      <c r="J143" s="161"/>
      <c r="K143" s="161"/>
      <c r="L143" s="2209"/>
      <c r="M143" s="157">
        <v>1</v>
      </c>
      <c r="N143" s="166">
        <v>550</v>
      </c>
      <c r="O143" s="173">
        <v>0.27</v>
      </c>
      <c r="P143" s="186">
        <f t="shared" si="23"/>
        <v>401.5</v>
      </c>
      <c r="Q143" s="166">
        <f t="shared" si="24"/>
        <v>6022.5</v>
      </c>
      <c r="R143" s="206"/>
      <c r="S143" s="178">
        <f t="shared" si="29"/>
        <v>3.0817135340415365E-2</v>
      </c>
      <c r="T143" s="150">
        <f t="shared" si="26"/>
        <v>6022.5</v>
      </c>
      <c r="U143" s="282"/>
      <c r="V143" s="169">
        <f>T143</f>
        <v>6022.5</v>
      </c>
      <c r="Z143" s="282">
        <f>T143</f>
        <v>6022.5</v>
      </c>
      <c r="AA143" s="152"/>
      <c r="AE143" s="169">
        <f>T143</f>
        <v>6022.5</v>
      </c>
      <c r="AG143" s="152"/>
    </row>
    <row r="144" spans="1:33" x14ac:dyDescent="0.3">
      <c r="A144" s="157" t="s">
        <v>882</v>
      </c>
      <c r="B144" s="157" t="s">
        <v>150</v>
      </c>
      <c r="C144" s="157" t="s">
        <v>886</v>
      </c>
      <c r="D144" s="157" t="s">
        <v>416</v>
      </c>
      <c r="E144" s="157" t="s">
        <v>520</v>
      </c>
      <c r="F144" s="158" t="s">
        <v>519</v>
      </c>
      <c r="G144" s="157">
        <v>10</v>
      </c>
      <c r="H144" s="157" t="s">
        <v>24</v>
      </c>
      <c r="I144" s="159">
        <v>10</v>
      </c>
      <c r="J144" s="161"/>
      <c r="K144" s="161"/>
      <c r="L144" s="2209"/>
      <c r="M144" s="157">
        <v>1</v>
      </c>
      <c r="N144" s="166">
        <v>4113</v>
      </c>
      <c r="O144" s="173">
        <v>0.4</v>
      </c>
      <c r="P144" s="186">
        <f t="shared" si="23"/>
        <v>2467.7999999999997</v>
      </c>
      <c r="Q144" s="166">
        <f t="shared" si="24"/>
        <v>24677.999999999996</v>
      </c>
      <c r="R144" s="206"/>
      <c r="S144" s="1054">
        <f t="shared" si="29"/>
        <v>0.12627733763898219</v>
      </c>
      <c r="T144" s="150">
        <f t="shared" si="26"/>
        <v>24677.999999999996</v>
      </c>
      <c r="U144" s="280"/>
      <c r="W144" s="169">
        <f>T144</f>
        <v>24677.999999999996</v>
      </c>
      <c r="Z144" s="282">
        <f>T144</f>
        <v>24677.999999999996</v>
      </c>
      <c r="AA144" s="171"/>
      <c r="AF144" s="169">
        <f>T144</f>
        <v>24677.999999999996</v>
      </c>
      <c r="AG144" s="152"/>
    </row>
    <row r="145" spans="1:33" x14ac:dyDescent="0.3">
      <c r="A145" s="157" t="s">
        <v>882</v>
      </c>
      <c r="B145" s="157" t="s">
        <v>41</v>
      </c>
      <c r="C145" s="1055" t="s">
        <v>887</v>
      </c>
      <c r="D145" s="157" t="s">
        <v>168</v>
      </c>
      <c r="E145" s="157" t="s">
        <v>520</v>
      </c>
      <c r="F145" s="158" t="s">
        <v>552</v>
      </c>
      <c r="G145" s="157">
        <v>15</v>
      </c>
      <c r="H145" s="157" t="s">
        <v>24</v>
      </c>
      <c r="I145" s="182">
        <v>15</v>
      </c>
      <c r="J145" s="183"/>
      <c r="K145" s="183"/>
      <c r="L145" s="2239"/>
      <c r="M145" s="157">
        <v>1</v>
      </c>
      <c r="N145" s="166">
        <v>1600</v>
      </c>
      <c r="O145" s="173">
        <v>0.7</v>
      </c>
      <c r="P145" s="186">
        <f t="shared" si="23"/>
        <v>480.00000000000006</v>
      </c>
      <c r="Q145" s="166">
        <f t="shared" si="24"/>
        <v>7200.0000000000009</v>
      </c>
      <c r="R145" s="206"/>
      <c r="S145" s="1054">
        <f t="shared" si="29"/>
        <v>3.6842403395764327E-2</v>
      </c>
      <c r="T145" s="150">
        <f t="shared" si="26"/>
        <v>7200.0000000000009</v>
      </c>
      <c r="U145" s="280"/>
      <c r="W145" s="169">
        <f>T145</f>
        <v>7200.0000000000009</v>
      </c>
      <c r="Z145" s="282">
        <f>T145</f>
        <v>7200.0000000000009</v>
      </c>
      <c r="AA145" s="171"/>
      <c r="AG145" s="171">
        <f>T145</f>
        <v>7200.0000000000009</v>
      </c>
    </row>
    <row r="146" spans="1:33" x14ac:dyDescent="0.3">
      <c r="A146" s="172"/>
      <c r="B146" s="157"/>
      <c r="C146" s="190"/>
      <c r="D146" s="190"/>
      <c r="E146" s="190"/>
      <c r="F146" s="191"/>
      <c r="G146" s="190"/>
      <c r="H146" s="190"/>
      <c r="I146" s="245"/>
      <c r="J146" s="245"/>
      <c r="K146" s="245"/>
      <c r="L146" s="287"/>
      <c r="M146" s="190"/>
      <c r="N146" s="194"/>
      <c r="O146" s="195"/>
      <c r="P146" s="288"/>
      <c r="Q146" s="166"/>
      <c r="R146" s="206"/>
      <c r="S146" s="393"/>
      <c r="T146" s="150"/>
      <c r="U146" s="280"/>
      <c r="Z146" s="280"/>
      <c r="AA146" s="152"/>
      <c r="AG146" s="152"/>
    </row>
    <row r="147" spans="1:33" x14ac:dyDescent="0.3">
      <c r="A147" s="108" t="s">
        <v>882</v>
      </c>
      <c r="B147" s="108" t="s">
        <v>528</v>
      </c>
      <c r="C147" s="192"/>
      <c r="D147" s="193"/>
      <c r="E147" s="193"/>
      <c r="F147" s="244"/>
      <c r="G147" s="193"/>
      <c r="H147" s="193"/>
      <c r="I147" s="245"/>
      <c r="J147" s="245"/>
      <c r="K147" s="245"/>
      <c r="L147" s="245"/>
      <c r="M147" s="193"/>
      <c r="N147" s="246"/>
      <c r="O147" s="196"/>
      <c r="P147" s="288"/>
      <c r="Q147" s="257"/>
      <c r="R147" s="290"/>
      <c r="S147" s="256">
        <f>Q147/Q150</f>
        <v>0</v>
      </c>
      <c r="T147" s="150">
        <f>Q147</f>
        <v>0</v>
      </c>
      <c r="U147" s="280"/>
      <c r="X147" s="169">
        <f>T147</f>
        <v>0</v>
      </c>
      <c r="Z147" s="280"/>
      <c r="AA147" s="152"/>
      <c r="AG147" s="152"/>
    </row>
    <row r="148" spans="1:33" x14ac:dyDescent="0.3">
      <c r="A148" s="108" t="s">
        <v>882</v>
      </c>
      <c r="B148" s="108" t="s">
        <v>529</v>
      </c>
      <c r="C148" s="289"/>
      <c r="D148" s="252"/>
      <c r="E148" s="252"/>
      <c r="F148" s="253"/>
      <c r="G148" s="252"/>
      <c r="H148" s="252"/>
      <c r="I148" s="254"/>
      <c r="J148" s="254"/>
      <c r="K148" s="254"/>
      <c r="L148" s="254"/>
      <c r="M148" s="252"/>
      <c r="N148" s="255"/>
      <c r="O148" s="256"/>
      <c r="P148" s="290"/>
      <c r="Q148" s="257">
        <v>30000</v>
      </c>
      <c r="R148" s="480"/>
      <c r="S148" s="291">
        <f>Q148/Q150</f>
        <v>0.15351001414901802</v>
      </c>
      <c r="T148" s="150">
        <f>Q148</f>
        <v>30000</v>
      </c>
      <c r="U148" s="280"/>
      <c r="Y148" s="169">
        <f>T148</f>
        <v>30000</v>
      </c>
      <c r="Z148" s="280"/>
      <c r="AA148" s="152"/>
      <c r="AG148" s="152"/>
    </row>
    <row r="149" spans="1:33" x14ac:dyDescent="0.3">
      <c r="I149" s="115">
        <f>I150/M150</f>
        <v>0.95238095238095233</v>
      </c>
      <c r="J149" s="115">
        <f>J150/M150</f>
        <v>4.7619047619047616E-2</v>
      </c>
      <c r="T149" s="283"/>
      <c r="U149" s="280"/>
      <c r="Z149" s="280"/>
      <c r="AA149" s="152"/>
      <c r="AB149" s="245"/>
      <c r="AC149" s="245"/>
      <c r="AD149" s="245"/>
      <c r="AE149" s="245"/>
      <c r="AF149" s="245"/>
      <c r="AG149" s="567"/>
    </row>
    <row r="150" spans="1:33" x14ac:dyDescent="0.3">
      <c r="A150" s="326" t="s">
        <v>531</v>
      </c>
      <c r="B150" s="327"/>
      <c r="C150" s="327"/>
      <c r="D150" s="327"/>
      <c r="E150" s="327"/>
      <c r="F150" s="328"/>
      <c r="G150" s="327"/>
      <c r="H150" s="327"/>
      <c r="I150" s="327">
        <f>I143+I142+I140+I139+I137+I136+I135+I138+I144+I145</f>
        <v>80</v>
      </c>
      <c r="J150" s="327">
        <f>J141</f>
        <v>4</v>
      </c>
      <c r="K150" s="327"/>
      <c r="L150" s="327"/>
      <c r="M150" s="327">
        <f>SUM(I150:L150)</f>
        <v>84</v>
      </c>
      <c r="N150" s="329"/>
      <c r="O150" s="330"/>
      <c r="P150" s="329"/>
      <c r="Q150" s="331">
        <f>SUM(Q134:Q149)</f>
        <v>195426.99</v>
      </c>
      <c r="R150" s="331"/>
      <c r="S150" s="332">
        <f>SUM(S134:S148)</f>
        <v>1</v>
      </c>
      <c r="T150" s="1072">
        <f>SUM(T134:T149)</f>
        <v>195426.99</v>
      </c>
      <c r="U150" s="584">
        <f t="shared" ref="U150:Y150" si="30">SUM(U134:U148)</f>
        <v>105062.49</v>
      </c>
      <c r="V150" s="585">
        <f t="shared" si="30"/>
        <v>28486.499999999996</v>
      </c>
      <c r="W150" s="585">
        <f t="shared" si="30"/>
        <v>31877.999999999996</v>
      </c>
      <c r="X150" s="585">
        <f t="shared" si="30"/>
        <v>0</v>
      </c>
      <c r="Y150" s="585">
        <f t="shared" si="30"/>
        <v>30000</v>
      </c>
      <c r="Z150" s="587">
        <f>SUM(Z134:Z148)</f>
        <v>113268.5</v>
      </c>
      <c r="AA150" s="586">
        <f>SUM(AA134:AA148)</f>
        <v>52158.490000000005</v>
      </c>
      <c r="AB150" s="589">
        <f t="shared" ref="AB150:AG150" si="31">SUM(AB134:AB149)</f>
        <v>51048</v>
      </c>
      <c r="AC150" s="589">
        <f t="shared" si="31"/>
        <v>38678.49</v>
      </c>
      <c r="AD150" s="589">
        <f t="shared" si="31"/>
        <v>28800</v>
      </c>
      <c r="AE150" s="589">
        <f t="shared" si="31"/>
        <v>15022.5</v>
      </c>
      <c r="AF150" s="589">
        <f t="shared" si="31"/>
        <v>24677.999999999996</v>
      </c>
      <c r="AG150" s="647">
        <f t="shared" si="31"/>
        <v>7200.0000000000009</v>
      </c>
    </row>
    <row r="151" spans="1:33" x14ac:dyDescent="0.3">
      <c r="A151" s="342" t="s">
        <v>532</v>
      </c>
      <c r="B151" s="343"/>
      <c r="C151" s="343"/>
      <c r="D151" s="343"/>
      <c r="E151" s="343"/>
      <c r="F151" s="344"/>
      <c r="G151" s="343"/>
      <c r="H151" s="343"/>
      <c r="I151" s="343">
        <f>I143+I142+I140+I139+I137+I136+I135+I145+I144</f>
        <v>78</v>
      </c>
      <c r="J151" s="343">
        <f>I143+I142+J141+I140+I139+I137+I136+I135+I144+I145</f>
        <v>82</v>
      </c>
      <c r="K151" s="343">
        <f>I143+I142+J141+I140+I139+I137+I136+I144+I145</f>
        <v>66</v>
      </c>
      <c r="L151" s="343"/>
      <c r="M151" s="343">
        <f>SUM(I151:L151)</f>
        <v>226</v>
      </c>
      <c r="N151" s="345"/>
      <c r="O151" s="346"/>
      <c r="P151" s="345"/>
      <c r="Q151" s="345"/>
      <c r="R151" s="345"/>
      <c r="S151" s="347"/>
      <c r="T151" s="1004"/>
      <c r="U151" s="349">
        <f>U150/T150</f>
        <v>0.53760481088103551</v>
      </c>
      <c r="V151" s="350">
        <f>V150/T150</f>
        <v>0.14576543393520003</v>
      </c>
      <c r="W151" s="350">
        <f>W150/T150</f>
        <v>0.16311974103474652</v>
      </c>
      <c r="X151" s="350">
        <f>X150/T150</f>
        <v>0</v>
      </c>
      <c r="Y151" s="350">
        <f>Y150/T150</f>
        <v>0.15351001414901802</v>
      </c>
      <c r="Z151" s="351">
        <f>Z150/T150</f>
        <v>0.57959496792126819</v>
      </c>
      <c r="AA151" s="352">
        <f>AA150/T150</f>
        <v>0.26689501792971382</v>
      </c>
      <c r="AB151" s="523"/>
      <c r="AC151" s="524"/>
      <c r="AD151" s="524"/>
      <c r="AE151" s="524"/>
      <c r="AF151" s="524"/>
      <c r="AG151" s="356"/>
    </row>
    <row r="152" spans="1:33" x14ac:dyDescent="0.3">
      <c r="A152" s="243" t="s">
        <v>533</v>
      </c>
      <c r="B152" s="193"/>
      <c r="C152" s="193"/>
      <c r="D152" s="193"/>
      <c r="E152" s="193"/>
      <c r="F152" s="244"/>
      <c r="G152" s="193"/>
      <c r="H152" s="193"/>
      <c r="I152" s="2182">
        <f>I151/$M$151</f>
        <v>0.34513274336283184</v>
      </c>
      <c r="J152" s="2182">
        <f t="shared" ref="J152:K152" si="32">J151/$M$151</f>
        <v>0.36283185840707965</v>
      </c>
      <c r="K152" s="2182">
        <f t="shared" si="32"/>
        <v>0.29203539823008851</v>
      </c>
      <c r="L152" s="245"/>
      <c r="M152" s="193"/>
      <c r="N152" s="246"/>
      <c r="O152" s="196"/>
      <c r="P152" s="246"/>
      <c r="Q152" s="194">
        <f>U150</f>
        <v>105062.49</v>
      </c>
      <c r="R152" s="288"/>
      <c r="S152" s="247">
        <f>Q152/Q157</f>
        <v>0.53760481088103551</v>
      </c>
      <c r="Y152" s="248"/>
      <c r="Z152" s="1048">
        <f>I135+I136+I140+I142+I143+I144+I145</f>
        <v>66</v>
      </c>
      <c r="AA152" s="1049">
        <f>I137+I138+I139+J141</f>
        <v>18</v>
      </c>
    </row>
    <row r="153" spans="1:33" x14ac:dyDescent="0.3">
      <c r="A153" s="251" t="s">
        <v>11</v>
      </c>
      <c r="B153" s="252"/>
      <c r="C153" s="252"/>
      <c r="D153" s="252"/>
      <c r="E153" s="252"/>
      <c r="F153" s="253"/>
      <c r="G153" s="252"/>
      <c r="H153" s="252"/>
      <c r="I153" s="254"/>
      <c r="J153" s="254"/>
      <c r="K153" s="254"/>
      <c r="L153" s="254"/>
      <c r="M153" s="252"/>
      <c r="N153" s="255"/>
      <c r="O153" s="256"/>
      <c r="P153" s="255"/>
      <c r="Q153" s="257">
        <f>V150</f>
        <v>28486.499999999996</v>
      </c>
      <c r="R153" s="290"/>
      <c r="S153" s="262">
        <f>Q153/Q157</f>
        <v>0.14576543393520003</v>
      </c>
      <c r="T153" s="1068">
        <f>Q150/M150</f>
        <v>2326.5117857142855</v>
      </c>
      <c r="U153" s="1069" t="s">
        <v>535</v>
      </c>
      <c r="Z153" s="260">
        <f>Z152/M150</f>
        <v>0.7857142857142857</v>
      </c>
      <c r="AA153" s="261">
        <f>AA152/M150</f>
        <v>0.21428571428571427</v>
      </c>
    </row>
    <row r="154" spans="1:33" x14ac:dyDescent="0.3">
      <c r="A154" s="251" t="s">
        <v>536</v>
      </c>
      <c r="B154" s="252"/>
      <c r="C154" s="252"/>
      <c r="D154" s="252"/>
      <c r="E154" s="252"/>
      <c r="F154" s="253"/>
      <c r="G154" s="252"/>
      <c r="H154" s="252"/>
      <c r="I154" s="254"/>
      <c r="J154" s="254"/>
      <c r="K154" s="254"/>
      <c r="L154" s="254"/>
      <c r="M154" s="252"/>
      <c r="N154" s="255"/>
      <c r="O154" s="256"/>
      <c r="P154" s="255"/>
      <c r="Q154" s="257">
        <f>W150</f>
        <v>31877.999999999996</v>
      </c>
      <c r="R154" s="290"/>
      <c r="S154" s="262">
        <f>Q154/Q157</f>
        <v>0.16311974103474652</v>
      </c>
      <c r="V154" s="263"/>
      <c r="X154" s="99"/>
      <c r="Z154" s="2551" t="s">
        <v>537</v>
      </c>
      <c r="AA154" s="2551"/>
    </row>
    <row r="155" spans="1:33" x14ac:dyDescent="0.3">
      <c r="A155" s="251" t="s">
        <v>529</v>
      </c>
      <c r="B155" s="252"/>
      <c r="C155" s="252"/>
      <c r="D155" s="252"/>
      <c r="E155" s="252"/>
      <c r="F155" s="253"/>
      <c r="G155" s="252"/>
      <c r="H155" s="252"/>
      <c r="I155" s="254"/>
      <c r="J155" s="254"/>
      <c r="K155" s="254"/>
      <c r="L155" s="254"/>
      <c r="M155" s="252"/>
      <c r="N155" s="255"/>
      <c r="O155" s="256"/>
      <c r="P155" s="255"/>
      <c r="Q155" s="257">
        <f>Y150</f>
        <v>30000</v>
      </c>
      <c r="R155" s="290"/>
      <c r="S155" s="262">
        <f>Q155/Q157</f>
        <v>0.15351001414901802</v>
      </c>
      <c r="U155" s="263"/>
      <c r="V155" s="263"/>
    </row>
    <row r="156" spans="1:33" x14ac:dyDescent="0.3">
      <c r="A156" s="251" t="s">
        <v>528</v>
      </c>
      <c r="B156" s="252"/>
      <c r="C156" s="252"/>
      <c r="D156" s="252"/>
      <c r="E156" s="252"/>
      <c r="F156" s="253"/>
      <c r="G156" s="252"/>
      <c r="H156" s="252"/>
      <c r="I156" s="254"/>
      <c r="J156" s="254"/>
      <c r="K156" s="254"/>
      <c r="L156" s="254"/>
      <c r="M156" s="252"/>
      <c r="N156" s="255"/>
      <c r="O156" s="256"/>
      <c r="P156" s="255"/>
      <c r="Q156" s="257">
        <f>X150</f>
        <v>0</v>
      </c>
      <c r="R156" s="290"/>
      <c r="S156" s="262">
        <f>Q156/Q157</f>
        <v>0</v>
      </c>
    </row>
    <row r="157" spans="1:33" x14ac:dyDescent="0.3">
      <c r="A157" s="251"/>
      <c r="B157" s="252"/>
      <c r="C157" s="252"/>
      <c r="D157" s="252"/>
      <c r="E157" s="252"/>
      <c r="F157" s="253"/>
      <c r="G157" s="252"/>
      <c r="H157" s="252"/>
      <c r="I157" s="254"/>
      <c r="J157" s="254"/>
      <c r="K157" s="254"/>
      <c r="L157" s="254"/>
      <c r="M157" s="252"/>
      <c r="N157" s="255"/>
      <c r="O157" s="256"/>
      <c r="P157" s="255"/>
      <c r="Q157" s="264">
        <f>SUM(Q152:Q156)</f>
        <v>195426.99</v>
      </c>
      <c r="R157" s="490"/>
      <c r="S157" s="262">
        <f>SUM(S152:S156)</f>
        <v>1</v>
      </c>
    </row>
    <row r="162" spans="1:33" x14ac:dyDescent="0.3">
      <c r="E162" s="1" t="s">
        <v>562</v>
      </c>
      <c r="F162" s="2" t="s">
        <v>850</v>
      </c>
    </row>
    <row r="163" spans="1:33" x14ac:dyDescent="0.3">
      <c r="E163" s="1" t="s">
        <v>473</v>
      </c>
      <c r="F163" s="2" t="s">
        <v>170</v>
      </c>
    </row>
    <row r="164" spans="1:33" x14ac:dyDescent="0.3">
      <c r="E164" s="1" t="s">
        <v>475</v>
      </c>
      <c r="F164" s="2" t="s">
        <v>892</v>
      </c>
    </row>
    <row r="165" spans="1:33" x14ac:dyDescent="0.3">
      <c r="E165" s="1" t="s">
        <v>477</v>
      </c>
      <c r="F165" s="2" t="s">
        <v>893</v>
      </c>
    </row>
    <row r="167" spans="1:33" ht="18" x14ac:dyDescent="0.35">
      <c r="A167" s="1037" t="s">
        <v>567</v>
      </c>
      <c r="S167" s="98"/>
    </row>
    <row r="168" spans="1:33" ht="18" x14ac:dyDescent="0.35">
      <c r="A168" s="1037"/>
      <c r="S168" s="98"/>
    </row>
    <row r="169" spans="1:33" x14ac:dyDescent="0.3">
      <c r="A169" s="2560" t="s">
        <v>480</v>
      </c>
      <c r="B169" s="2561"/>
      <c r="C169" s="2561"/>
      <c r="D169" s="2561"/>
      <c r="E169" s="2561"/>
      <c r="F169" s="2561"/>
      <c r="G169" s="2561"/>
      <c r="H169" s="2561"/>
      <c r="I169" s="2561"/>
      <c r="J169" s="2561"/>
      <c r="K169" s="2561"/>
      <c r="L169" s="2561"/>
      <c r="M169" s="2561"/>
      <c r="N169" s="2561"/>
      <c r="O169" s="2561"/>
      <c r="P169" s="2561"/>
      <c r="Q169" s="2561"/>
      <c r="R169" s="2561"/>
      <c r="S169" s="2562"/>
      <c r="T169" s="2563" t="s">
        <v>584</v>
      </c>
      <c r="U169" s="2564"/>
      <c r="V169" s="2564"/>
      <c r="W169" s="2564"/>
      <c r="X169" s="2564"/>
      <c r="Y169" s="2564"/>
      <c r="Z169" s="2564"/>
      <c r="AA169" s="2564"/>
      <c r="AB169" s="2565"/>
      <c r="AC169" s="2565"/>
      <c r="AD169" s="2565"/>
      <c r="AE169" s="2565"/>
      <c r="AF169" s="2565"/>
      <c r="AG169" s="2566"/>
    </row>
    <row r="170" spans="1:33" ht="18" x14ac:dyDescent="0.3">
      <c r="A170" s="2227" t="s">
        <v>482</v>
      </c>
      <c r="B170" s="2215" t="s">
        <v>483</v>
      </c>
      <c r="C170" s="2215" t="s">
        <v>484</v>
      </c>
      <c r="D170" s="2215" t="s">
        <v>555</v>
      </c>
      <c r="E170" s="2215" t="s">
        <v>556</v>
      </c>
      <c r="F170" s="2213" t="s">
        <v>487</v>
      </c>
      <c r="G170" s="2215" t="s">
        <v>557</v>
      </c>
      <c r="H170" s="2215" t="s">
        <v>489</v>
      </c>
      <c r="I170" s="2217" t="s">
        <v>490</v>
      </c>
      <c r="J170" s="373"/>
      <c r="K170" s="373"/>
      <c r="L170" s="2218"/>
      <c r="M170" s="374" t="s">
        <v>491</v>
      </c>
      <c r="N170" s="375" t="s">
        <v>558</v>
      </c>
      <c r="O170" s="376" t="s">
        <v>493</v>
      </c>
      <c r="P170" s="375" t="s">
        <v>558</v>
      </c>
      <c r="Q170" s="375" t="s">
        <v>559</v>
      </c>
      <c r="R170" s="534" t="s">
        <v>585</v>
      </c>
      <c r="S170" s="2327" t="s">
        <v>495</v>
      </c>
      <c r="T170" s="1073" t="s">
        <v>496</v>
      </c>
      <c r="U170" s="2552" t="s">
        <v>497</v>
      </c>
      <c r="V170" s="2553"/>
      <c r="W170" s="2553"/>
      <c r="X170" s="2553"/>
      <c r="Y170" s="2553"/>
      <c r="Z170" s="2552" t="s">
        <v>498</v>
      </c>
      <c r="AA170" s="2553"/>
      <c r="AB170" s="2552" t="s">
        <v>499</v>
      </c>
      <c r="AC170" s="2553"/>
      <c r="AD170" s="2553"/>
      <c r="AE170" s="2553"/>
      <c r="AF170" s="2553"/>
      <c r="AG170" s="2556"/>
    </row>
    <row r="171" spans="1:33" ht="18" x14ac:dyDescent="0.3">
      <c r="A171" s="2341"/>
      <c r="B171" s="2326"/>
      <c r="C171" s="2326"/>
      <c r="D171" s="2326"/>
      <c r="E171" s="2326"/>
      <c r="F171" s="2342"/>
      <c r="G171" s="2326"/>
      <c r="H171" s="2326"/>
      <c r="I171" s="536" t="s">
        <v>500</v>
      </c>
      <c r="J171" s="536" t="s">
        <v>501</v>
      </c>
      <c r="K171" s="536" t="s">
        <v>502</v>
      </c>
      <c r="L171" s="536" t="s">
        <v>503</v>
      </c>
      <c r="M171" s="537" t="s">
        <v>504</v>
      </c>
      <c r="N171" s="538" t="s">
        <v>505</v>
      </c>
      <c r="O171" s="539" t="s">
        <v>506</v>
      </c>
      <c r="P171" s="538" t="s">
        <v>507</v>
      </c>
      <c r="Q171" s="538" t="s">
        <v>560</v>
      </c>
      <c r="R171" s="538"/>
      <c r="S171" s="2328"/>
      <c r="T171" s="1074" t="s">
        <v>508</v>
      </c>
      <c r="U171" s="2554"/>
      <c r="V171" s="2555"/>
      <c r="W171" s="2555"/>
      <c r="X171" s="2555"/>
      <c r="Y171" s="2555"/>
      <c r="Z171" s="2554"/>
      <c r="AA171" s="2555"/>
      <c r="AB171" s="2557"/>
      <c r="AC171" s="2558"/>
      <c r="AD171" s="2558"/>
      <c r="AE171" s="2558"/>
      <c r="AF171" s="2558"/>
      <c r="AG171" s="2559"/>
    </row>
    <row r="172" spans="1:33" ht="18" x14ac:dyDescent="0.35">
      <c r="A172" s="2323" t="s">
        <v>568</v>
      </c>
      <c r="B172" s="2324"/>
      <c r="C172" s="2324"/>
      <c r="D172" s="2324"/>
      <c r="E172" s="2324"/>
      <c r="F172" s="2324"/>
      <c r="G172" s="2324"/>
      <c r="H172" s="2324"/>
      <c r="I172" s="2324"/>
      <c r="J172" s="2324"/>
      <c r="K172" s="2324"/>
      <c r="L172" s="2324"/>
      <c r="M172" s="2324"/>
      <c r="N172" s="2324"/>
      <c r="O172" s="2324"/>
      <c r="P172" s="2324"/>
      <c r="Q172" s="2324"/>
      <c r="R172" s="2324"/>
      <c r="S172" s="2324"/>
      <c r="T172" s="1039"/>
      <c r="U172" s="1040" t="s">
        <v>510</v>
      </c>
      <c r="V172" s="1041" t="s">
        <v>11</v>
      </c>
      <c r="W172" s="1041" t="s">
        <v>511</v>
      </c>
      <c r="X172" s="1041" t="s">
        <v>512</v>
      </c>
      <c r="Y172" s="1041" t="s">
        <v>513</v>
      </c>
      <c r="Z172" s="1042" t="s">
        <v>514</v>
      </c>
      <c r="AA172" s="1041" t="s">
        <v>515</v>
      </c>
      <c r="AB172" s="1040" t="s">
        <v>163</v>
      </c>
      <c r="AC172" s="1041" t="s">
        <v>12</v>
      </c>
      <c r="AD172" s="1053" t="s">
        <v>164</v>
      </c>
      <c r="AE172" s="1044" t="s">
        <v>165</v>
      </c>
      <c r="AF172" s="1044" t="s">
        <v>139</v>
      </c>
      <c r="AG172" s="1045" t="s">
        <v>5</v>
      </c>
    </row>
    <row r="173" spans="1:33" x14ac:dyDescent="0.3">
      <c r="A173" s="154"/>
      <c r="B173" s="462"/>
      <c r="C173" s="462"/>
      <c r="D173" s="462"/>
      <c r="E173" s="462"/>
      <c r="F173" s="463"/>
      <c r="G173" s="462"/>
      <c r="H173" s="462"/>
      <c r="I173" s="465"/>
      <c r="J173" s="465"/>
      <c r="K173" s="465"/>
      <c r="L173" s="465"/>
      <c r="M173" s="462"/>
      <c r="N173" s="468"/>
      <c r="O173" s="469"/>
      <c r="P173" s="468"/>
      <c r="Q173" s="468"/>
      <c r="R173" s="468"/>
      <c r="S173" s="532"/>
      <c r="T173" s="283"/>
      <c r="U173" s="280"/>
      <c r="Z173" s="280"/>
      <c r="AB173" s="280"/>
      <c r="AG173" s="152"/>
    </row>
    <row r="174" spans="1:33" x14ac:dyDescent="0.3">
      <c r="A174" s="157" t="s">
        <v>882</v>
      </c>
      <c r="B174" s="157" t="s">
        <v>407</v>
      </c>
      <c r="C174" s="157" t="s">
        <v>883</v>
      </c>
      <c r="D174" s="157" t="s">
        <v>166</v>
      </c>
      <c r="E174" s="157" t="s">
        <v>520</v>
      </c>
      <c r="F174" s="158" t="s">
        <v>519</v>
      </c>
      <c r="G174" s="157">
        <v>8</v>
      </c>
      <c r="H174" s="157" t="s">
        <v>63</v>
      </c>
      <c r="I174" s="159">
        <v>8</v>
      </c>
      <c r="J174" s="161"/>
      <c r="L174" s="286"/>
      <c r="M174" s="163">
        <v>1</v>
      </c>
      <c r="N174" s="166">
        <v>1700</v>
      </c>
      <c r="O174" s="173">
        <v>0.06</v>
      </c>
      <c r="P174" s="166">
        <f t="shared" ref="P174:P182" si="33">N174*(1-O174)</f>
        <v>1598</v>
      </c>
      <c r="Q174" s="166">
        <f t="shared" ref="Q174:Q182" si="34">P174*M174*G174</f>
        <v>12784</v>
      </c>
      <c r="R174" s="206" t="e">
        <f>(Q174+Q178)/E154*1000</f>
        <v>#DIV/0!</v>
      </c>
      <c r="S174" s="178">
        <f>Q174/$Q$150</f>
        <v>6.5415734029368205E-2</v>
      </c>
      <c r="T174" s="150">
        <f>Q174*4</f>
        <v>51136</v>
      </c>
      <c r="U174" s="282">
        <f t="shared" ref="U174:U177" si="35">T174</f>
        <v>51136</v>
      </c>
      <c r="Z174" s="282">
        <f>T174</f>
        <v>51136</v>
      </c>
      <c r="AA174" s="169"/>
      <c r="AB174" s="282">
        <f>T174</f>
        <v>51136</v>
      </c>
      <c r="AG174" s="152"/>
    </row>
    <row r="175" spans="1:33" x14ac:dyDescent="0.3">
      <c r="A175" s="157" t="s">
        <v>882</v>
      </c>
      <c r="B175" s="157" t="s">
        <v>408</v>
      </c>
      <c r="C175" s="157" t="s">
        <v>884</v>
      </c>
      <c r="D175" s="157" t="s">
        <v>26</v>
      </c>
      <c r="E175" s="157" t="s">
        <v>520</v>
      </c>
      <c r="F175" s="158" t="s">
        <v>894</v>
      </c>
      <c r="G175" s="157">
        <v>2</v>
      </c>
      <c r="H175" s="157" t="s">
        <v>24</v>
      </c>
      <c r="I175" s="175">
        <v>4</v>
      </c>
      <c r="J175" s="176"/>
      <c r="K175" s="176"/>
      <c r="L175" s="177"/>
      <c r="M175" s="163">
        <v>1</v>
      </c>
      <c r="N175" s="166">
        <v>3500</v>
      </c>
      <c r="O175" s="173">
        <v>0.04</v>
      </c>
      <c r="P175" s="166">
        <f t="shared" si="33"/>
        <v>3360</v>
      </c>
      <c r="Q175" s="166">
        <f t="shared" si="34"/>
        <v>6720</v>
      </c>
      <c r="R175" s="206" t="e">
        <f>(Q175+Q182)/E154*1000</f>
        <v>#DIV/0!</v>
      </c>
      <c r="S175" s="178">
        <f>Q175/$Q$150</f>
        <v>3.4386243169380035E-2</v>
      </c>
      <c r="T175" s="150">
        <f t="shared" ref="T175:T182" si="36">Q175*4</f>
        <v>26880</v>
      </c>
      <c r="U175" s="282">
        <f t="shared" si="35"/>
        <v>26880</v>
      </c>
      <c r="W175" s="169"/>
      <c r="Z175" s="283">
        <f>T175</f>
        <v>26880</v>
      </c>
      <c r="AA175" s="169"/>
      <c r="AB175" s="282">
        <f>T175</f>
        <v>26880</v>
      </c>
      <c r="AG175" s="152"/>
    </row>
    <row r="176" spans="1:33" x14ac:dyDescent="0.3">
      <c r="A176" s="157" t="s">
        <v>882</v>
      </c>
      <c r="B176" s="157" t="s">
        <v>407</v>
      </c>
      <c r="C176" s="157" t="s">
        <v>884</v>
      </c>
      <c r="D176" s="157" t="s">
        <v>21</v>
      </c>
      <c r="E176" s="157" t="s">
        <v>518</v>
      </c>
      <c r="F176" s="158" t="s">
        <v>591</v>
      </c>
      <c r="G176" s="157">
        <v>2</v>
      </c>
      <c r="H176" s="157" t="s">
        <v>24</v>
      </c>
      <c r="I176" s="159">
        <v>2</v>
      </c>
      <c r="J176" s="161"/>
      <c r="K176" s="161"/>
      <c r="L176" s="2209"/>
      <c r="M176" s="163">
        <v>1</v>
      </c>
      <c r="N176" s="166">
        <v>7000</v>
      </c>
      <c r="O176" s="173">
        <v>0.14000000000000001</v>
      </c>
      <c r="P176" s="166">
        <f t="shared" si="33"/>
        <v>6020</v>
      </c>
      <c r="Q176" s="166">
        <f t="shared" si="34"/>
        <v>12040</v>
      </c>
      <c r="R176" s="206"/>
      <c r="S176" s="167">
        <f>Q176/$Q$150</f>
        <v>6.1608685678472559E-2</v>
      </c>
      <c r="T176" s="150">
        <f t="shared" si="36"/>
        <v>48160</v>
      </c>
      <c r="U176" s="282">
        <f t="shared" si="35"/>
        <v>48160</v>
      </c>
      <c r="Z176" s="282"/>
      <c r="AA176" s="169">
        <f>T176</f>
        <v>48160</v>
      </c>
      <c r="AB176" s="282">
        <f>T176</f>
        <v>48160</v>
      </c>
      <c r="AG176" s="152"/>
    </row>
    <row r="177" spans="1:33" x14ac:dyDescent="0.3">
      <c r="A177" s="157" t="s">
        <v>882</v>
      </c>
      <c r="B177" s="157" t="s">
        <v>409</v>
      </c>
      <c r="C177" s="157" t="s">
        <v>884</v>
      </c>
      <c r="D177" s="157" t="s">
        <v>21</v>
      </c>
      <c r="E177" s="157" t="s">
        <v>518</v>
      </c>
      <c r="F177" s="158" t="s">
        <v>591</v>
      </c>
      <c r="G177" s="157">
        <v>2</v>
      </c>
      <c r="H177" s="157" t="s">
        <v>24</v>
      </c>
      <c r="I177" s="175">
        <v>2</v>
      </c>
      <c r="J177" s="176"/>
      <c r="K177" s="176"/>
      <c r="L177" s="177"/>
      <c r="M177" s="163">
        <v>1</v>
      </c>
      <c r="N177" s="166">
        <v>27024.15</v>
      </c>
      <c r="O177" s="173">
        <v>0.7</v>
      </c>
      <c r="P177" s="166">
        <f t="shared" si="33"/>
        <v>8107.2450000000017</v>
      </c>
      <c r="Q177" s="166">
        <f t="shared" si="34"/>
        <v>16214.490000000003</v>
      </c>
      <c r="R177" s="206"/>
      <c r="S177" s="167">
        <f t="shared" ref="S177:S178" si="37">Q177/$Q$150</f>
        <v>8.2969552977303726E-2</v>
      </c>
      <c r="T177" s="150">
        <f t="shared" si="36"/>
        <v>64857.960000000014</v>
      </c>
      <c r="U177" s="282">
        <f t="shared" si="35"/>
        <v>64857.960000000014</v>
      </c>
      <c r="Z177" s="282"/>
      <c r="AA177" s="169">
        <f>T177</f>
        <v>64857.960000000014</v>
      </c>
      <c r="AB177" s="280"/>
      <c r="AC177" s="169">
        <f>T177</f>
        <v>64857.960000000014</v>
      </c>
      <c r="AG177" s="152"/>
    </row>
    <row r="178" spans="1:33" x14ac:dyDescent="0.3">
      <c r="A178" s="157" t="s">
        <v>882</v>
      </c>
      <c r="B178" s="157" t="s">
        <v>409</v>
      </c>
      <c r="C178" s="157" t="s">
        <v>883</v>
      </c>
      <c r="D178" s="157" t="s">
        <v>411</v>
      </c>
      <c r="E178" s="157" t="s">
        <v>518</v>
      </c>
      <c r="F178" s="158" t="s">
        <v>521</v>
      </c>
      <c r="G178" s="157">
        <v>5</v>
      </c>
      <c r="H178" s="157" t="s">
        <v>24</v>
      </c>
      <c r="I178" s="175">
        <v>5</v>
      </c>
      <c r="J178" s="176"/>
      <c r="K178" s="176"/>
      <c r="L178" s="177"/>
      <c r="M178" s="163">
        <v>1</v>
      </c>
      <c r="N178" s="166">
        <v>7020</v>
      </c>
      <c r="O178" s="173">
        <v>0.68</v>
      </c>
      <c r="P178" s="166">
        <f t="shared" si="33"/>
        <v>2246.3999999999996</v>
      </c>
      <c r="Q178" s="166">
        <f t="shared" si="34"/>
        <v>11231.999999999998</v>
      </c>
      <c r="R178" s="206"/>
      <c r="S178" s="167">
        <f t="shared" si="37"/>
        <v>5.7474149297392335E-2</v>
      </c>
      <c r="T178" s="150">
        <f t="shared" si="36"/>
        <v>44927.999999999993</v>
      </c>
      <c r="U178" s="282"/>
      <c r="V178" s="169">
        <f>T178</f>
        <v>44927.999999999993</v>
      </c>
      <c r="Z178" s="282"/>
      <c r="AA178" s="169">
        <f>T178</f>
        <v>44927.999999999993</v>
      </c>
      <c r="AB178" s="280"/>
      <c r="AC178" s="169">
        <f>T178</f>
        <v>44927.999999999993</v>
      </c>
      <c r="AG178" s="152"/>
    </row>
    <row r="179" spans="1:33" x14ac:dyDescent="0.3">
      <c r="A179" s="157" t="s">
        <v>882</v>
      </c>
      <c r="B179" s="157" t="s">
        <v>412</v>
      </c>
      <c r="C179" s="157" t="s">
        <v>884</v>
      </c>
      <c r="D179" s="157" t="s">
        <v>26</v>
      </c>
      <c r="E179" s="157" t="s">
        <v>524</v>
      </c>
      <c r="F179" s="158" t="s">
        <v>894</v>
      </c>
      <c r="G179" s="157">
        <v>2</v>
      </c>
      <c r="H179" s="157" t="s">
        <v>24</v>
      </c>
      <c r="I179" s="159">
        <v>4</v>
      </c>
      <c r="J179" s="161"/>
      <c r="K179" s="161"/>
      <c r="L179" s="2209"/>
      <c r="M179" s="157">
        <v>1</v>
      </c>
      <c r="N179" s="166">
        <v>9000</v>
      </c>
      <c r="O179" s="173">
        <v>0.2</v>
      </c>
      <c r="P179" s="166">
        <f t="shared" si="33"/>
        <v>7200</v>
      </c>
      <c r="Q179" s="166">
        <f t="shared" si="34"/>
        <v>14400</v>
      </c>
      <c r="R179" s="206"/>
      <c r="S179" s="178">
        <f>Q179/$Q$150</f>
        <v>7.368480679152864E-2</v>
      </c>
      <c r="T179" s="150">
        <f t="shared" si="36"/>
        <v>57600</v>
      </c>
      <c r="U179" s="282">
        <f t="shared" ref="U179:U181" si="38">T179</f>
        <v>57600</v>
      </c>
      <c r="Z179" s="282">
        <f>T179</f>
        <v>57600</v>
      </c>
      <c r="AB179" s="280"/>
      <c r="AD179" s="169">
        <f>T179</f>
        <v>57600</v>
      </c>
      <c r="AG179" s="152"/>
    </row>
    <row r="180" spans="1:33" x14ac:dyDescent="0.3">
      <c r="A180" s="157" t="s">
        <v>882</v>
      </c>
      <c r="B180" s="157" t="s">
        <v>413</v>
      </c>
      <c r="C180" s="157" t="s">
        <v>884</v>
      </c>
      <c r="D180" s="157" t="s">
        <v>21</v>
      </c>
      <c r="E180" s="157" t="s">
        <v>518</v>
      </c>
      <c r="F180" s="158" t="s">
        <v>591</v>
      </c>
      <c r="G180" s="157">
        <v>2</v>
      </c>
      <c r="H180" s="157" t="s">
        <v>167</v>
      </c>
      <c r="I180" s="185"/>
      <c r="J180" s="176">
        <v>2</v>
      </c>
      <c r="K180" s="176"/>
      <c r="L180" s="286"/>
      <c r="M180" s="157">
        <v>1</v>
      </c>
      <c r="N180" s="166">
        <v>400</v>
      </c>
      <c r="O180" s="173">
        <v>0.1</v>
      </c>
      <c r="P180" s="166">
        <f t="shared" si="33"/>
        <v>360</v>
      </c>
      <c r="Q180" s="166">
        <f t="shared" si="34"/>
        <v>720</v>
      </c>
      <c r="R180" s="206"/>
      <c r="S180" s="167">
        <f>Q180/$Q$150</f>
        <v>3.6842403395764322E-3</v>
      </c>
      <c r="T180" s="150">
        <f t="shared" si="36"/>
        <v>2880</v>
      </c>
      <c r="U180" s="282">
        <f t="shared" si="38"/>
        <v>2880</v>
      </c>
      <c r="Z180" s="280"/>
      <c r="AA180" s="169">
        <f>T180</f>
        <v>2880</v>
      </c>
      <c r="AB180" s="280"/>
      <c r="AE180" s="169">
        <f>T180</f>
        <v>2880</v>
      </c>
      <c r="AG180" s="152"/>
    </row>
    <row r="181" spans="1:33" x14ac:dyDescent="0.3">
      <c r="A181" s="157" t="s">
        <v>882</v>
      </c>
      <c r="B181" s="157" t="s">
        <v>413</v>
      </c>
      <c r="C181" s="157" t="s">
        <v>884</v>
      </c>
      <c r="D181" s="157" t="s">
        <v>26</v>
      </c>
      <c r="E181" s="157" t="s">
        <v>524</v>
      </c>
      <c r="F181" s="158" t="s">
        <v>894</v>
      </c>
      <c r="G181" s="157">
        <v>2</v>
      </c>
      <c r="H181" s="157" t="s">
        <v>24</v>
      </c>
      <c r="I181" s="159">
        <v>2</v>
      </c>
      <c r="J181" s="161"/>
      <c r="K181" s="161"/>
      <c r="L181" s="2209"/>
      <c r="M181" s="157">
        <v>1</v>
      </c>
      <c r="N181" s="166">
        <v>4200</v>
      </c>
      <c r="O181" s="173">
        <v>0.1</v>
      </c>
      <c r="P181" s="186">
        <f t="shared" si="33"/>
        <v>3780</v>
      </c>
      <c r="Q181" s="166">
        <f t="shared" si="34"/>
        <v>7560</v>
      </c>
      <c r="R181" s="206"/>
      <c r="S181" s="178">
        <f>Q181/$Q$150</f>
        <v>3.8684523565552541E-2</v>
      </c>
      <c r="T181" s="150">
        <f t="shared" si="36"/>
        <v>30240</v>
      </c>
      <c r="U181" s="282">
        <f t="shared" si="38"/>
        <v>30240</v>
      </c>
      <c r="Z181" s="282">
        <f>T181</f>
        <v>30240</v>
      </c>
      <c r="AB181" s="280"/>
      <c r="AE181" s="169">
        <f>T181</f>
        <v>30240</v>
      </c>
      <c r="AG181" s="152"/>
    </row>
    <row r="182" spans="1:33" x14ac:dyDescent="0.3">
      <c r="A182" s="157" t="s">
        <v>882</v>
      </c>
      <c r="B182" s="157" t="s">
        <v>413</v>
      </c>
      <c r="C182" s="157" t="s">
        <v>884</v>
      </c>
      <c r="D182" s="157" t="s">
        <v>414</v>
      </c>
      <c r="E182" s="157" t="s">
        <v>520</v>
      </c>
      <c r="F182" s="158" t="s">
        <v>895</v>
      </c>
      <c r="G182" s="157">
        <v>6</v>
      </c>
      <c r="H182" s="157" t="s">
        <v>24</v>
      </c>
      <c r="I182" s="159">
        <v>6</v>
      </c>
      <c r="J182" s="161"/>
      <c r="K182" s="161"/>
      <c r="L182" s="2209"/>
      <c r="M182" s="157">
        <v>1</v>
      </c>
      <c r="N182" s="166">
        <v>550</v>
      </c>
      <c r="O182" s="173">
        <v>0.27</v>
      </c>
      <c r="P182" s="186">
        <f t="shared" si="33"/>
        <v>401.5</v>
      </c>
      <c r="Q182" s="166">
        <f t="shared" si="34"/>
        <v>2409</v>
      </c>
      <c r="R182" s="206"/>
      <c r="S182" s="178">
        <f>Q182/$Q$150</f>
        <v>1.2326854136166146E-2</v>
      </c>
      <c r="T182" s="150">
        <f t="shared" si="36"/>
        <v>9636</v>
      </c>
      <c r="U182" s="282"/>
      <c r="V182" s="169">
        <f>T182</f>
        <v>9636</v>
      </c>
      <c r="Z182" s="282">
        <f>T182</f>
        <v>9636</v>
      </c>
      <c r="AB182" s="280"/>
      <c r="AE182" s="169">
        <f>T182</f>
        <v>9636</v>
      </c>
      <c r="AG182" s="152"/>
    </row>
    <row r="183" spans="1:33" x14ac:dyDescent="0.3">
      <c r="A183" s="172"/>
      <c r="B183" s="157"/>
      <c r="C183" s="190"/>
      <c r="D183" s="190"/>
      <c r="E183" s="190"/>
      <c r="F183" s="191"/>
      <c r="G183" s="190"/>
      <c r="H183" s="190"/>
      <c r="I183" s="245"/>
      <c r="J183" s="245"/>
      <c r="K183" s="245"/>
      <c r="L183" s="287"/>
      <c r="M183" s="190"/>
      <c r="N183" s="194"/>
      <c r="O183" s="195"/>
      <c r="P183" s="288"/>
      <c r="Q183" s="166"/>
      <c r="R183" s="206"/>
      <c r="S183" s="393"/>
      <c r="T183" s="150"/>
      <c r="U183" s="280"/>
      <c r="Z183" s="280"/>
      <c r="AB183" s="280"/>
      <c r="AG183" s="152"/>
    </row>
    <row r="184" spans="1:33" x14ac:dyDescent="0.3">
      <c r="A184" s="108" t="s">
        <v>882</v>
      </c>
      <c r="B184" s="108" t="s">
        <v>528</v>
      </c>
      <c r="C184" s="192"/>
      <c r="D184" s="193"/>
      <c r="E184" s="193"/>
      <c r="F184" s="244"/>
      <c r="G184" s="193"/>
      <c r="H184" s="193"/>
      <c r="I184" s="245"/>
      <c r="J184" s="245"/>
      <c r="K184" s="245"/>
      <c r="L184" s="245"/>
      <c r="M184" s="193"/>
      <c r="N184" s="246"/>
      <c r="O184" s="196"/>
      <c r="P184" s="288"/>
      <c r="Q184" s="257"/>
      <c r="R184" s="290"/>
      <c r="S184" s="256">
        <f>Q184/Q187</f>
        <v>0</v>
      </c>
      <c r="T184" s="150">
        <f>Q184</f>
        <v>0</v>
      </c>
      <c r="U184" s="280"/>
      <c r="X184" s="169">
        <f>T184</f>
        <v>0</v>
      </c>
      <c r="Z184" s="280"/>
      <c r="AB184" s="280"/>
      <c r="AG184" s="152"/>
    </row>
    <row r="185" spans="1:33" x14ac:dyDescent="0.3">
      <c r="A185" s="108" t="s">
        <v>882</v>
      </c>
      <c r="B185" s="108" t="s">
        <v>529</v>
      </c>
      <c r="C185" s="289"/>
      <c r="D185" s="252"/>
      <c r="E185" s="252"/>
      <c r="F185" s="253"/>
      <c r="G185" s="252"/>
      <c r="H185" s="252"/>
      <c r="I185" s="254"/>
      <c r="J185" s="254"/>
      <c r="K185" s="254"/>
      <c r="L185" s="254"/>
      <c r="M185" s="252"/>
      <c r="N185" s="255"/>
      <c r="O185" s="256"/>
      <c r="P185" s="290"/>
      <c r="Q185" s="257">
        <v>20000</v>
      </c>
      <c r="R185" s="480"/>
      <c r="S185" s="291">
        <f>Q185/Q187</f>
        <v>0.19216081862046017</v>
      </c>
      <c r="T185" s="150">
        <f>Q185*4</f>
        <v>80000</v>
      </c>
      <c r="U185" s="280"/>
      <c r="Y185" s="169">
        <f>T185</f>
        <v>80000</v>
      </c>
      <c r="Z185" s="280"/>
      <c r="AB185" s="280"/>
      <c r="AG185" s="152"/>
    </row>
    <row r="186" spans="1:33" x14ac:dyDescent="0.3">
      <c r="I186" s="115">
        <f>I187/M187</f>
        <v>0.94285714285714284</v>
      </c>
      <c r="J186" s="115">
        <f>J187/M187</f>
        <v>5.7142857142857141E-2</v>
      </c>
      <c r="T186" s="1075"/>
      <c r="U186" s="566"/>
      <c r="V186" s="245"/>
      <c r="W186" s="245"/>
      <c r="X186" s="245"/>
      <c r="Y186" s="245"/>
      <c r="Z186" s="566"/>
      <c r="AA186" s="245"/>
      <c r="AB186" s="566"/>
      <c r="AC186" s="245"/>
      <c r="AD186" s="245"/>
      <c r="AE186" s="245"/>
      <c r="AF186" s="245"/>
      <c r="AG186" s="567"/>
    </row>
    <row r="187" spans="1:33" x14ac:dyDescent="0.3">
      <c r="A187" s="396" t="s">
        <v>531</v>
      </c>
      <c r="B187" s="373"/>
      <c r="C187" s="373"/>
      <c r="D187" s="373"/>
      <c r="E187" s="373"/>
      <c r="F187" s="397"/>
      <c r="G187" s="373"/>
      <c r="H187" s="373"/>
      <c r="I187" s="373">
        <f>I182+I181+I179+I178+I176+I175+I174+I177</f>
        <v>33</v>
      </c>
      <c r="J187" s="373">
        <f>J180</f>
        <v>2</v>
      </c>
      <c r="K187" s="373"/>
      <c r="L187" s="373"/>
      <c r="M187" s="373">
        <f>SUM(I187:L187)</f>
        <v>35</v>
      </c>
      <c r="N187" s="398"/>
      <c r="O187" s="399"/>
      <c r="P187" s="398"/>
      <c r="Q187" s="400">
        <f>SUM(Q173:Q186)</f>
        <v>104079.49</v>
      </c>
      <c r="R187" s="400"/>
      <c r="S187" s="399">
        <f>SUM(S173:S185)</f>
        <v>0.62239560860520082</v>
      </c>
      <c r="T187" s="1076">
        <f>SUM(T173:T186)</f>
        <v>416317.96</v>
      </c>
      <c r="U187" s="754">
        <f t="shared" ref="U187:Y187" si="39">SUM(U173:U185)</f>
        <v>281753.96000000002</v>
      </c>
      <c r="V187" s="652">
        <f t="shared" si="39"/>
        <v>54563.999999999993</v>
      </c>
      <c r="W187" s="652">
        <f t="shared" si="39"/>
        <v>0</v>
      </c>
      <c r="X187" s="652">
        <f t="shared" si="39"/>
        <v>0</v>
      </c>
      <c r="Y187" s="652">
        <f t="shared" si="39"/>
        <v>80000</v>
      </c>
      <c r="Z187" s="653">
        <f>SUM(Z173:Z185)</f>
        <v>175492</v>
      </c>
      <c r="AA187" s="652">
        <f>SUM(AA173:AA185)</f>
        <v>160825.96000000002</v>
      </c>
      <c r="AB187" s="754">
        <f>SUM(AB173:AB186)</f>
        <v>126176</v>
      </c>
      <c r="AC187" s="652">
        <f>SUM(AC173:AC186)</f>
        <v>109785.96</v>
      </c>
      <c r="AD187" s="652">
        <f>SUM(AD173:AD186)</f>
        <v>57600</v>
      </c>
      <c r="AE187" s="652">
        <f>SUM(AE173:AE186)</f>
        <v>42756</v>
      </c>
      <c r="AF187" s="378"/>
      <c r="AG187" s="800"/>
    </row>
    <row r="188" spans="1:33" x14ac:dyDescent="0.3">
      <c r="A188" s="410" t="s">
        <v>532</v>
      </c>
      <c r="B188" s="411"/>
      <c r="C188" s="411"/>
      <c r="D188" s="411"/>
      <c r="E188" s="411"/>
      <c r="F188" s="412"/>
      <c r="G188" s="411"/>
      <c r="H188" s="411"/>
      <c r="I188" s="411">
        <f>I182+I181+I179+I178+I176+I175+I174</f>
        <v>31</v>
      </c>
      <c r="J188" s="411">
        <f>I182+I181+J180+I179+I178+I176+I175+I174</f>
        <v>33</v>
      </c>
      <c r="K188" s="411">
        <f>I182+I181+J180+I179+I178+I176+I175</f>
        <v>25</v>
      </c>
      <c r="L188" s="411"/>
      <c r="M188" s="411">
        <f>SUM(I188:L188)</f>
        <v>89</v>
      </c>
      <c r="N188" s="413"/>
      <c r="O188" s="414"/>
      <c r="P188" s="413"/>
      <c r="Q188" s="413"/>
      <c r="R188" s="413"/>
      <c r="S188" s="414"/>
      <c r="T188" s="1034"/>
      <c r="U188" s="417">
        <f>U187/T187</f>
        <v>0.67677589503945501</v>
      </c>
      <c r="V188" s="418">
        <f>V187/T187</f>
        <v>0.13106328634008485</v>
      </c>
      <c r="W188" s="418">
        <f>W187/T187</f>
        <v>0</v>
      </c>
      <c r="X188" s="418">
        <f>X187/T187</f>
        <v>0</v>
      </c>
      <c r="Y188" s="418">
        <f>Y187/T187</f>
        <v>0.19216081862046017</v>
      </c>
      <c r="Z188" s="420">
        <f>Z187/T187</f>
        <v>0.42153357976677247</v>
      </c>
      <c r="AA188" s="418">
        <f>AA187/T187</f>
        <v>0.38630560161276734</v>
      </c>
      <c r="AB188" s="599"/>
      <c r="AC188" s="550"/>
      <c r="AD188" s="550"/>
      <c r="AE188" s="550"/>
      <c r="AF188" s="550"/>
      <c r="AG188" s="424"/>
    </row>
    <row r="189" spans="1:33" x14ac:dyDescent="0.3">
      <c r="A189" s="243" t="s">
        <v>533</v>
      </c>
      <c r="B189" s="193"/>
      <c r="C189" s="193"/>
      <c r="D189" s="193"/>
      <c r="E189" s="193"/>
      <c r="F189" s="244"/>
      <c r="G189" s="193"/>
      <c r="H189" s="193"/>
      <c r="I189" s="2182">
        <f>I188/$M$188</f>
        <v>0.34831460674157305</v>
      </c>
      <c r="J189" s="2182">
        <f t="shared" ref="J189:L189" si="40">J188/$M$188</f>
        <v>0.3707865168539326</v>
      </c>
      <c r="K189" s="2182">
        <f t="shared" si="40"/>
        <v>0.2808988764044944</v>
      </c>
      <c r="L189" s="245">
        <f t="shared" si="40"/>
        <v>0</v>
      </c>
      <c r="M189" s="193"/>
      <c r="N189" s="246"/>
      <c r="O189" s="196"/>
      <c r="P189" s="246"/>
      <c r="Q189" s="194">
        <f>U187/4</f>
        <v>70438.490000000005</v>
      </c>
      <c r="R189" s="288"/>
      <c r="S189" s="247">
        <f>Q189/Q194</f>
        <v>0.67677589503945501</v>
      </c>
      <c r="Y189" s="248"/>
      <c r="Z189" s="1048">
        <f>I174+I175+I179+I181+I182</f>
        <v>24</v>
      </c>
      <c r="AA189" s="1049">
        <f>I176+I177+I178+J180</f>
        <v>11</v>
      </c>
    </row>
    <row r="190" spans="1:33" x14ac:dyDescent="0.3">
      <c r="A190" s="251" t="s">
        <v>11</v>
      </c>
      <c r="B190" s="252"/>
      <c r="C190" s="252"/>
      <c r="D190" s="252"/>
      <c r="E190" s="252"/>
      <c r="F190" s="253"/>
      <c r="G190" s="252"/>
      <c r="H190" s="252"/>
      <c r="I190" s="254"/>
      <c r="J190" s="254"/>
      <c r="K190" s="254"/>
      <c r="L190" s="254"/>
      <c r="M190" s="252"/>
      <c r="N190" s="255"/>
      <c r="O190" s="256"/>
      <c r="P190" s="255"/>
      <c r="Q190" s="257">
        <f>V187/4</f>
        <v>13640.999999999998</v>
      </c>
      <c r="R190" s="290"/>
      <c r="S190" s="262">
        <f>Q190/Q194</f>
        <v>0.13106328634008485</v>
      </c>
      <c r="T190" s="1077">
        <f>Q187/M187</f>
        <v>2973.6997142857144</v>
      </c>
      <c r="U190" s="1078" t="s">
        <v>535</v>
      </c>
      <c r="Z190" s="260">
        <f>Z189/M187</f>
        <v>0.68571428571428572</v>
      </c>
      <c r="AA190" s="261">
        <f>AA189/M187</f>
        <v>0.31428571428571428</v>
      </c>
    </row>
    <row r="191" spans="1:33" x14ac:dyDescent="0.3">
      <c r="A191" s="251" t="s">
        <v>536</v>
      </c>
      <c r="B191" s="252"/>
      <c r="C191" s="252"/>
      <c r="D191" s="252"/>
      <c r="E191" s="252"/>
      <c r="F191" s="253"/>
      <c r="G191" s="252"/>
      <c r="H191" s="252"/>
      <c r="I191" s="254"/>
      <c r="J191" s="254"/>
      <c r="K191" s="254"/>
      <c r="L191" s="254"/>
      <c r="M191" s="252"/>
      <c r="N191" s="255"/>
      <c r="O191" s="256"/>
      <c r="P191" s="255"/>
      <c r="Q191" s="257">
        <f>W187/4</f>
        <v>0</v>
      </c>
      <c r="R191" s="290"/>
      <c r="S191" s="262">
        <f>Q191/Q194</f>
        <v>0</v>
      </c>
      <c r="V191" s="263"/>
      <c r="X191" s="99"/>
      <c r="Z191" s="2551" t="s">
        <v>537</v>
      </c>
      <c r="AA191" s="2551"/>
    </row>
    <row r="192" spans="1:33" x14ac:dyDescent="0.3">
      <c r="A192" s="251" t="s">
        <v>529</v>
      </c>
      <c r="B192" s="252"/>
      <c r="C192" s="252"/>
      <c r="D192" s="252"/>
      <c r="E192" s="252"/>
      <c r="F192" s="253"/>
      <c r="G192" s="252"/>
      <c r="H192" s="252"/>
      <c r="I192" s="254"/>
      <c r="J192" s="254"/>
      <c r="K192" s="254"/>
      <c r="L192" s="254"/>
      <c r="M192" s="252"/>
      <c r="N192" s="255"/>
      <c r="O192" s="256"/>
      <c r="P192" s="255"/>
      <c r="Q192" s="257">
        <f>Y187/4</f>
        <v>20000</v>
      </c>
      <c r="R192" s="290"/>
      <c r="S192" s="262">
        <f>Q192/Q194</f>
        <v>0.19216081862046017</v>
      </c>
      <c r="U192" s="263"/>
      <c r="V192" s="263"/>
    </row>
    <row r="193" spans="1:33" x14ac:dyDescent="0.3">
      <c r="A193" s="251" t="s">
        <v>528</v>
      </c>
      <c r="B193" s="252"/>
      <c r="C193" s="252"/>
      <c r="D193" s="252"/>
      <c r="E193" s="252"/>
      <c r="F193" s="253"/>
      <c r="G193" s="252"/>
      <c r="H193" s="252"/>
      <c r="I193" s="254"/>
      <c r="J193" s="254"/>
      <c r="K193" s="254"/>
      <c r="L193" s="254"/>
      <c r="M193" s="252"/>
      <c r="N193" s="255"/>
      <c r="O193" s="256"/>
      <c r="P193" s="255"/>
      <c r="Q193" s="257">
        <f>X187/4</f>
        <v>0</v>
      </c>
      <c r="R193" s="290"/>
      <c r="S193" s="262">
        <f>Q193/Q194</f>
        <v>0</v>
      </c>
    </row>
    <row r="194" spans="1:33" x14ac:dyDescent="0.3">
      <c r="A194" s="251"/>
      <c r="B194" s="252"/>
      <c r="C194" s="252"/>
      <c r="D194" s="252"/>
      <c r="E194" s="252"/>
      <c r="F194" s="253"/>
      <c r="G194" s="252"/>
      <c r="H194" s="252"/>
      <c r="I194" s="254"/>
      <c r="J194" s="254"/>
      <c r="K194" s="254"/>
      <c r="L194" s="254"/>
      <c r="M194" s="252"/>
      <c r="N194" s="255"/>
      <c r="O194" s="256"/>
      <c r="P194" s="255"/>
      <c r="Q194" s="264">
        <f>SUM(Q189:Q193)</f>
        <v>104079.49</v>
      </c>
      <c r="R194" s="490"/>
      <c r="S194" s="262">
        <f>SUM(S189:S193)</f>
        <v>1</v>
      </c>
    </row>
    <row r="195" spans="1:33" x14ac:dyDescent="0.3">
      <c r="A195" s="188"/>
      <c r="N195" s="5"/>
      <c r="O195" s="6"/>
      <c r="P195" s="5"/>
      <c r="Q195" s="5"/>
      <c r="R195" s="5"/>
      <c r="S195" s="6"/>
      <c r="T195" s="600"/>
      <c r="AA195" s="303">
        <f>SUM(AB196:AG196)</f>
        <v>1754864.54</v>
      </c>
      <c r="AB195" s="1079" t="s">
        <v>163</v>
      </c>
      <c r="AC195" s="1080" t="s">
        <v>12</v>
      </c>
      <c r="AD195" s="1081" t="s">
        <v>164</v>
      </c>
      <c r="AE195" s="1082" t="s">
        <v>165</v>
      </c>
      <c r="AF195" s="1082" t="s">
        <v>139</v>
      </c>
      <c r="AG195" s="1081" t="s">
        <v>5</v>
      </c>
    </row>
    <row r="196" spans="1:33" ht="18" x14ac:dyDescent="0.35">
      <c r="A196" s="430" t="s">
        <v>569</v>
      </c>
      <c r="B196" s="431"/>
      <c r="C196" s="431"/>
      <c r="D196" s="432"/>
      <c r="E196" s="432"/>
      <c r="F196" s="433"/>
      <c r="G196" s="432"/>
      <c r="H196" s="432"/>
      <c r="I196" s="434"/>
      <c r="J196" s="434"/>
      <c r="K196" s="434"/>
      <c r="L196" s="434"/>
      <c r="M196" s="431"/>
      <c r="N196" s="435"/>
      <c r="O196" s="436"/>
      <c r="P196" s="435"/>
      <c r="Q196" s="435"/>
      <c r="R196" s="763" t="s">
        <v>878</v>
      </c>
      <c r="S196" s="763"/>
      <c r="T196" s="763">
        <f>T187+T150+T117+T81+T50</f>
        <v>2089864.54</v>
      </c>
      <c r="AA196" t="s">
        <v>601</v>
      </c>
      <c r="AB196" s="1083">
        <f>AB187+AB150+AB117+AB81+AB50</f>
        <v>558356</v>
      </c>
      <c r="AC196" s="1035">
        <f t="shared" ref="AC196:AG196" si="41">AC187+AC150+AC117+AC81+AC50</f>
        <v>650174.04</v>
      </c>
      <c r="AD196" s="1035">
        <f t="shared" si="41"/>
        <v>288000</v>
      </c>
      <c r="AE196" s="1035">
        <f t="shared" si="41"/>
        <v>192178.5</v>
      </c>
      <c r="AF196" s="1035">
        <f t="shared" si="41"/>
        <v>49355.999999999993</v>
      </c>
      <c r="AG196" s="1084">
        <f t="shared" si="41"/>
        <v>16800.000000000004</v>
      </c>
    </row>
    <row r="197" spans="1:33" x14ac:dyDescent="0.3">
      <c r="Q197" s="120"/>
      <c r="S197" s="3" t="s">
        <v>571</v>
      </c>
      <c r="T197" s="99">
        <f>D19-T196</f>
        <v>-195171.41500000004</v>
      </c>
    </row>
    <row r="198" spans="1:33" x14ac:dyDescent="0.3">
      <c r="Q198" s="116"/>
      <c r="R198" s="116"/>
      <c r="S198" s="626"/>
    </row>
    <row r="199" spans="1:33" x14ac:dyDescent="0.3">
      <c r="A199" s="4"/>
      <c r="D199" s="95"/>
      <c r="S199" s="98"/>
    </row>
    <row r="200" spans="1:33" x14ac:dyDescent="0.3">
      <c r="Q200" s="116"/>
      <c r="R200" s="116"/>
      <c r="S200" s="626"/>
    </row>
    <row r="201" spans="1:33" x14ac:dyDescent="0.3">
      <c r="D201" s="98"/>
      <c r="E201" s="98"/>
      <c r="F201" s="98"/>
      <c r="G201" s="427"/>
      <c r="H201" s="427"/>
    </row>
    <row r="202" spans="1:33" x14ac:dyDescent="0.3">
      <c r="D202" s="304"/>
      <c r="E202" s="304"/>
      <c r="G202" s="304"/>
      <c r="H202" s="304"/>
    </row>
    <row r="203" spans="1:33" x14ac:dyDescent="0.3">
      <c r="D203" s="304"/>
      <c r="E203" s="304"/>
      <c r="G203" s="304"/>
      <c r="H203" s="304"/>
    </row>
    <row r="204" spans="1:33" x14ac:dyDescent="0.3">
      <c r="D204" s="304"/>
      <c r="E204" s="304"/>
      <c r="G204" s="304"/>
      <c r="H204" s="304"/>
    </row>
    <row r="205" spans="1:33" x14ac:dyDescent="0.3">
      <c r="D205" s="304"/>
      <c r="E205" s="304"/>
      <c r="G205" s="304"/>
      <c r="H205" s="304"/>
    </row>
    <row r="206" spans="1:33" x14ac:dyDescent="0.3">
      <c r="D206" s="30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F84"/>
  <sheetViews>
    <sheetView topLeftCell="A42" workbookViewId="0">
      <selection activeCell="H48" sqref="H48:H56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394</v>
      </c>
      <c r="C2" t="s">
        <v>405</v>
      </c>
      <c r="D2" t="s">
        <v>406</v>
      </c>
      <c r="E2" s="1" t="s">
        <v>407</v>
      </c>
      <c r="F2" s="1" t="s">
        <v>166</v>
      </c>
      <c r="G2" s="2191">
        <v>1</v>
      </c>
      <c r="H2" s="2186">
        <f>VLOOKUP(G2,Pesos!A:B,2,0)</f>
        <v>0.9</v>
      </c>
      <c r="I2" s="1" t="s">
        <v>305</v>
      </c>
      <c r="J2" s="1"/>
      <c r="K2" s="1">
        <v>15</v>
      </c>
      <c r="L2" s="1">
        <v>30</v>
      </c>
      <c r="M2" s="1">
        <v>20</v>
      </c>
      <c r="N2" s="1" t="s">
        <v>63</v>
      </c>
      <c r="O2" s="1">
        <v>20</v>
      </c>
      <c r="P2" s="74"/>
      <c r="Q2" s="1"/>
      <c r="R2" s="1"/>
      <c r="S2" s="1">
        <v>1</v>
      </c>
      <c r="T2" s="5">
        <v>1700</v>
      </c>
      <c r="U2" s="24">
        <v>0.06</v>
      </c>
      <c r="V2" s="25">
        <f>T2*(1-U2)</f>
        <v>1598</v>
      </c>
      <c r="W2" s="25">
        <f>V2*S2*M2</f>
        <v>31960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394</v>
      </c>
      <c r="C3" t="s">
        <v>405</v>
      </c>
      <c r="D3" t="s">
        <v>406</v>
      </c>
      <c r="E3" s="1" t="s">
        <v>408</v>
      </c>
      <c r="F3" s="1" t="s">
        <v>26</v>
      </c>
      <c r="G3" s="2192">
        <v>4</v>
      </c>
      <c r="H3" s="2186">
        <f>VLOOKUP(G3,Pesos!A:B,2,0)</f>
        <v>0.6</v>
      </c>
      <c r="I3" s="1" t="s">
        <v>305</v>
      </c>
      <c r="K3" s="1">
        <v>5</v>
      </c>
      <c r="L3" s="1">
        <v>13</v>
      </c>
      <c r="M3" s="1">
        <v>4</v>
      </c>
      <c r="N3" s="1" t="s">
        <v>24</v>
      </c>
      <c r="O3" s="1">
        <v>4</v>
      </c>
      <c r="P3" s="13"/>
      <c r="S3" s="1">
        <v>1</v>
      </c>
      <c r="T3" s="5">
        <v>3500</v>
      </c>
      <c r="U3" s="24">
        <v>0.04</v>
      </c>
      <c r="V3" s="26">
        <f>T3*(1-U3)</f>
        <v>3360</v>
      </c>
      <c r="W3" s="25">
        <f t="shared" ref="W3:W46" si="0">V3*S3*M3</f>
        <v>13440</v>
      </c>
      <c r="X3" s="6"/>
      <c r="Y3" s="22"/>
      <c r="Z3" s="1"/>
    </row>
    <row r="4" spans="1:32" x14ac:dyDescent="0.3">
      <c r="A4" t="s">
        <v>327</v>
      </c>
      <c r="B4" t="s">
        <v>394</v>
      </c>
      <c r="C4" t="s">
        <v>405</v>
      </c>
      <c r="D4" t="s">
        <v>406</v>
      </c>
      <c r="E4" s="1" t="s">
        <v>407</v>
      </c>
      <c r="F4" s="1" t="s">
        <v>21</v>
      </c>
      <c r="G4" s="2192">
        <v>2</v>
      </c>
      <c r="H4" s="2186">
        <f>VLOOKUP(G4,Pesos!A:B,2,0)</f>
        <v>0.8</v>
      </c>
      <c r="J4" s="1" t="s">
        <v>305</v>
      </c>
      <c r="K4" s="1">
        <v>6</v>
      </c>
      <c r="L4" s="1">
        <v>15</v>
      </c>
      <c r="M4" s="1">
        <v>3</v>
      </c>
      <c r="N4" s="1" t="s">
        <v>24</v>
      </c>
      <c r="O4" s="1">
        <v>3</v>
      </c>
      <c r="P4" s="13"/>
      <c r="S4" s="1">
        <v>1</v>
      </c>
      <c r="T4" s="5">
        <v>7000</v>
      </c>
      <c r="U4" s="24">
        <v>0.14000000000000001</v>
      </c>
      <c r="V4" s="26">
        <f t="shared" ref="V4" si="1">T4*(1-U4)</f>
        <v>6020</v>
      </c>
      <c r="W4" s="25">
        <f t="shared" si="0"/>
        <v>18060</v>
      </c>
      <c r="X4" s="6"/>
      <c r="Y4" s="22"/>
      <c r="Z4" s="1"/>
    </row>
    <row r="5" spans="1:32" x14ac:dyDescent="0.3">
      <c r="A5" t="s">
        <v>327</v>
      </c>
      <c r="B5" t="s">
        <v>394</v>
      </c>
      <c r="C5" t="s">
        <v>405</v>
      </c>
      <c r="D5" t="s">
        <v>406</v>
      </c>
      <c r="E5" s="1" t="s">
        <v>409</v>
      </c>
      <c r="F5" s="1" t="s">
        <v>21</v>
      </c>
      <c r="G5" s="2192">
        <v>2</v>
      </c>
      <c r="H5" s="2186">
        <f>VLOOKUP(G5,Pesos!A:B,2,0)</f>
        <v>0.8</v>
      </c>
      <c r="J5" s="1" t="s">
        <v>305</v>
      </c>
      <c r="K5" s="1">
        <v>6</v>
      </c>
      <c r="L5" s="1">
        <v>15</v>
      </c>
      <c r="M5" s="1">
        <v>2</v>
      </c>
      <c r="N5" s="1" t="s">
        <v>24</v>
      </c>
      <c r="O5" s="1">
        <v>2</v>
      </c>
      <c r="P5" s="13"/>
      <c r="S5" s="1">
        <v>1</v>
      </c>
      <c r="T5" s="5">
        <v>27024.15</v>
      </c>
      <c r="U5" s="24">
        <v>0.7</v>
      </c>
      <c r="V5" s="26">
        <f>T5*(1-U5)</f>
        <v>8107.2450000000017</v>
      </c>
      <c r="W5" s="25">
        <f t="shared" si="0"/>
        <v>16214.490000000003</v>
      </c>
      <c r="X5" s="18"/>
      <c r="Y5" s="22"/>
      <c r="Z5" s="1"/>
    </row>
    <row r="6" spans="1:32" x14ac:dyDescent="0.3">
      <c r="A6" t="s">
        <v>327</v>
      </c>
      <c r="B6" t="s">
        <v>394</v>
      </c>
      <c r="C6" t="s">
        <v>405</v>
      </c>
      <c r="D6" t="s">
        <v>406</v>
      </c>
      <c r="E6" s="1" t="s">
        <v>409</v>
      </c>
      <c r="F6" s="1" t="s">
        <v>410</v>
      </c>
      <c r="G6" s="2192">
        <v>3</v>
      </c>
      <c r="H6" s="2186">
        <f>VLOOKUP(G6,Pesos!A:B,2,0)</f>
        <v>0.7</v>
      </c>
      <c r="J6" s="1" t="s">
        <v>305</v>
      </c>
      <c r="K6" s="1">
        <v>1</v>
      </c>
      <c r="L6" s="1">
        <v>3</v>
      </c>
      <c r="M6" s="1">
        <v>1</v>
      </c>
      <c r="N6" s="1" t="s">
        <v>24</v>
      </c>
      <c r="O6" s="1">
        <v>1</v>
      </c>
      <c r="P6" s="13"/>
      <c r="S6" s="1">
        <v>1</v>
      </c>
      <c r="T6" s="5">
        <v>61819.199999999997</v>
      </c>
      <c r="U6" s="24">
        <v>0.45</v>
      </c>
      <c r="V6" s="26">
        <f>T6*(1-U6)</f>
        <v>34000.559999999998</v>
      </c>
      <c r="W6" s="25">
        <f t="shared" si="0"/>
        <v>34000.559999999998</v>
      </c>
      <c r="X6" s="6"/>
      <c r="Y6" s="22"/>
      <c r="Z6" s="1"/>
    </row>
    <row r="7" spans="1:32" x14ac:dyDescent="0.3">
      <c r="A7" t="s">
        <v>327</v>
      </c>
      <c r="B7" t="s">
        <v>394</v>
      </c>
      <c r="C7" t="s">
        <v>405</v>
      </c>
      <c r="D7" t="s">
        <v>406</v>
      </c>
      <c r="E7" s="1" t="s">
        <v>409</v>
      </c>
      <c r="F7" s="1" t="s">
        <v>411</v>
      </c>
      <c r="G7" s="2192">
        <v>5</v>
      </c>
      <c r="H7" s="2186">
        <f>VLOOKUP(G7,Pesos!A:B,2,0)</f>
        <v>0.5</v>
      </c>
      <c r="J7" s="1" t="s">
        <v>305</v>
      </c>
      <c r="K7" s="1">
        <v>8</v>
      </c>
      <c r="L7" s="1">
        <v>18</v>
      </c>
      <c r="M7" s="1">
        <v>14</v>
      </c>
      <c r="N7" s="1" t="s">
        <v>24</v>
      </c>
      <c r="O7" s="1">
        <v>14</v>
      </c>
      <c r="P7" s="13"/>
      <c r="S7" s="1">
        <v>1</v>
      </c>
      <c r="T7" s="5">
        <v>7020</v>
      </c>
      <c r="U7" s="24">
        <v>0.68</v>
      </c>
      <c r="V7" s="26">
        <f t="shared" ref="V7:V17" si="2">T7*(1-U7)</f>
        <v>2246.3999999999996</v>
      </c>
      <c r="W7" s="25">
        <f t="shared" si="0"/>
        <v>31449.599999999995</v>
      </c>
      <c r="X7" s="6"/>
      <c r="Y7" s="22"/>
      <c r="Z7" s="1"/>
    </row>
    <row r="8" spans="1:32" x14ac:dyDescent="0.3">
      <c r="A8" t="s">
        <v>327</v>
      </c>
      <c r="B8" t="s">
        <v>394</v>
      </c>
      <c r="C8" t="s">
        <v>405</v>
      </c>
      <c r="D8" t="s">
        <v>406</v>
      </c>
      <c r="E8" s="1" t="s">
        <v>412</v>
      </c>
      <c r="F8" s="1" t="s">
        <v>26</v>
      </c>
      <c r="G8" s="2192">
        <v>4</v>
      </c>
      <c r="H8" s="2186">
        <f>VLOOKUP(G8,Pesos!A:B,2,0)</f>
        <v>0.6</v>
      </c>
      <c r="I8" s="1" t="s">
        <v>305</v>
      </c>
      <c r="K8" s="1">
        <v>5</v>
      </c>
      <c r="L8" s="1">
        <v>13</v>
      </c>
      <c r="M8" s="1">
        <v>4</v>
      </c>
      <c r="N8" s="1" t="s">
        <v>24</v>
      </c>
      <c r="O8" s="1">
        <v>4</v>
      </c>
      <c r="P8" s="13"/>
      <c r="S8" s="1">
        <v>1</v>
      </c>
      <c r="T8" s="5">
        <v>9000</v>
      </c>
      <c r="U8" s="24">
        <v>0.2</v>
      </c>
      <c r="V8" s="26">
        <f t="shared" si="2"/>
        <v>7200</v>
      </c>
      <c r="W8" s="25">
        <f t="shared" si="0"/>
        <v>28800</v>
      </c>
      <c r="X8" s="6"/>
      <c r="Y8" s="22"/>
      <c r="Z8" s="1"/>
    </row>
    <row r="9" spans="1:32" x14ac:dyDescent="0.3">
      <c r="A9" t="s">
        <v>327</v>
      </c>
      <c r="B9" t="s">
        <v>394</v>
      </c>
      <c r="C9" t="s">
        <v>405</v>
      </c>
      <c r="D9" t="s">
        <v>406</v>
      </c>
      <c r="E9" s="1" t="s">
        <v>413</v>
      </c>
      <c r="F9" s="1" t="s">
        <v>21</v>
      </c>
      <c r="G9" s="2186">
        <v>2</v>
      </c>
      <c r="H9" s="2186">
        <f>VLOOKUP(G9,Pesos!A:B,2,0)</f>
        <v>0.8</v>
      </c>
      <c r="J9" s="1" t="s">
        <v>305</v>
      </c>
      <c r="K9" s="1">
        <v>6</v>
      </c>
      <c r="L9" s="1">
        <v>15</v>
      </c>
      <c r="M9" s="1">
        <v>15</v>
      </c>
      <c r="N9" s="1" t="s">
        <v>167</v>
      </c>
      <c r="P9" s="13">
        <v>1</v>
      </c>
      <c r="Q9" s="1">
        <v>1</v>
      </c>
      <c r="S9" s="1">
        <v>2</v>
      </c>
      <c r="T9" s="5">
        <v>400</v>
      </c>
      <c r="U9" s="24">
        <v>0.1</v>
      </c>
      <c r="V9" s="26">
        <f t="shared" si="2"/>
        <v>360</v>
      </c>
      <c r="W9" s="25">
        <f t="shared" si="0"/>
        <v>10800</v>
      </c>
      <c r="X9" s="6"/>
      <c r="Y9" s="22"/>
      <c r="Z9" s="1"/>
    </row>
    <row r="10" spans="1:32" x14ac:dyDescent="0.3">
      <c r="A10" t="s">
        <v>327</v>
      </c>
      <c r="B10" t="s">
        <v>394</v>
      </c>
      <c r="C10" t="s">
        <v>405</v>
      </c>
      <c r="D10" t="s">
        <v>406</v>
      </c>
      <c r="E10" s="1" t="s">
        <v>413</v>
      </c>
      <c r="F10" s="1" t="s">
        <v>26</v>
      </c>
      <c r="G10" s="2192">
        <v>4</v>
      </c>
      <c r="H10" s="2186">
        <f>VLOOKUP(G10,Pesos!A:B,2,0)</f>
        <v>0.6</v>
      </c>
      <c r="I10" s="1" t="s">
        <v>305</v>
      </c>
      <c r="K10" s="1">
        <v>5</v>
      </c>
      <c r="L10" s="1">
        <v>13</v>
      </c>
      <c r="M10" s="1">
        <v>3</v>
      </c>
      <c r="N10" s="1" t="s">
        <v>24</v>
      </c>
      <c r="O10" s="1">
        <v>3</v>
      </c>
      <c r="S10" s="1">
        <v>1</v>
      </c>
      <c r="T10" s="5">
        <v>4200</v>
      </c>
      <c r="U10" s="24">
        <v>0.1</v>
      </c>
      <c r="V10" s="26">
        <f t="shared" si="2"/>
        <v>3780</v>
      </c>
      <c r="W10" s="25">
        <f t="shared" si="0"/>
        <v>11340</v>
      </c>
      <c r="X10" s="6"/>
      <c r="Y10" s="22"/>
      <c r="Z10" s="1"/>
    </row>
    <row r="11" spans="1:32" x14ac:dyDescent="0.3">
      <c r="A11" t="s">
        <v>327</v>
      </c>
      <c r="B11" t="s">
        <v>394</v>
      </c>
      <c r="C11" t="s">
        <v>405</v>
      </c>
      <c r="D11" t="s">
        <v>406</v>
      </c>
      <c r="E11" s="1" t="s">
        <v>413</v>
      </c>
      <c r="F11" s="1" t="s">
        <v>414</v>
      </c>
      <c r="G11" s="2192">
        <v>6</v>
      </c>
      <c r="H11" s="2186">
        <f>VLOOKUP(G11,Pesos!A:B,2,0)</f>
        <v>0.4</v>
      </c>
      <c r="I11" s="1" t="s">
        <v>305</v>
      </c>
      <c r="K11" s="1">
        <v>10</v>
      </c>
      <c r="L11" s="1">
        <v>20</v>
      </c>
      <c r="M11" s="1">
        <v>20</v>
      </c>
      <c r="N11" s="1" t="s">
        <v>24</v>
      </c>
      <c r="O11" s="1">
        <v>29</v>
      </c>
      <c r="P11" s="13"/>
      <c r="S11" s="1">
        <v>1</v>
      </c>
      <c r="T11" s="5">
        <v>550</v>
      </c>
      <c r="U11" s="24">
        <v>0.27</v>
      </c>
      <c r="V11" s="26">
        <f t="shared" si="2"/>
        <v>401.5</v>
      </c>
      <c r="W11" s="25">
        <f t="shared" si="0"/>
        <v>8030</v>
      </c>
      <c r="X11" s="6"/>
      <c r="Y11" s="22"/>
      <c r="Z11" s="1"/>
    </row>
    <row r="12" spans="1:32" x14ac:dyDescent="0.3">
      <c r="E12" s="13"/>
      <c r="F12" s="13"/>
      <c r="G12" s="2192"/>
      <c r="H12" s="2192"/>
      <c r="M12" s="13"/>
      <c r="N12" s="13"/>
      <c r="T12" s="75"/>
      <c r="U12" s="41"/>
      <c r="V12" s="26"/>
      <c r="W12" s="26"/>
      <c r="X12" s="6"/>
      <c r="Y12" s="22"/>
      <c r="Z12" s="1"/>
    </row>
    <row r="13" spans="1:32" x14ac:dyDescent="0.3">
      <c r="A13" t="s">
        <v>340</v>
      </c>
      <c r="B13" t="s">
        <v>394</v>
      </c>
      <c r="C13" t="s">
        <v>405</v>
      </c>
      <c r="D13" t="s">
        <v>406</v>
      </c>
      <c r="E13" s="1" t="s">
        <v>407</v>
      </c>
      <c r="F13" s="1" t="s">
        <v>166</v>
      </c>
      <c r="G13" s="2192">
        <v>3</v>
      </c>
      <c r="H13" s="2186">
        <f>VLOOKUP(G13,Pesos!A:B,2,0)</f>
        <v>0.7</v>
      </c>
      <c r="I13" s="1" t="s">
        <v>305</v>
      </c>
      <c r="K13" s="1">
        <v>15</v>
      </c>
      <c r="L13" s="2" t="s">
        <v>185</v>
      </c>
      <c r="M13" s="1">
        <v>20</v>
      </c>
      <c r="N13" s="1" t="s">
        <v>63</v>
      </c>
      <c r="O13" s="13">
        <v>20</v>
      </c>
      <c r="S13" s="1">
        <v>1</v>
      </c>
      <c r="T13" s="5">
        <v>1700</v>
      </c>
      <c r="U13" s="24">
        <v>0.06</v>
      </c>
      <c r="V13" s="26">
        <f t="shared" si="2"/>
        <v>1598</v>
      </c>
      <c r="W13" s="25">
        <f t="shared" si="0"/>
        <v>31960</v>
      </c>
      <c r="X13" s="6"/>
      <c r="Y13" s="22"/>
      <c r="Z13" s="1"/>
    </row>
    <row r="14" spans="1:32" x14ac:dyDescent="0.3">
      <c r="A14" t="s">
        <v>340</v>
      </c>
      <c r="B14" t="s">
        <v>394</v>
      </c>
      <c r="C14" t="s">
        <v>405</v>
      </c>
      <c r="D14" t="s">
        <v>406</v>
      </c>
      <c r="E14" s="1" t="s">
        <v>408</v>
      </c>
      <c r="F14" s="1" t="s">
        <v>26</v>
      </c>
      <c r="G14" s="2192">
        <v>6</v>
      </c>
      <c r="H14" s="2186">
        <f>VLOOKUP(G14,Pesos!A:B,2,0)</f>
        <v>0.4</v>
      </c>
      <c r="I14" s="1" t="s">
        <v>305</v>
      </c>
      <c r="K14" s="1">
        <v>5</v>
      </c>
      <c r="L14" s="2" t="s">
        <v>415</v>
      </c>
      <c r="M14" s="1">
        <v>4</v>
      </c>
      <c r="N14" s="1" t="s">
        <v>24</v>
      </c>
      <c r="O14">
        <v>4</v>
      </c>
      <c r="S14" s="1">
        <v>1</v>
      </c>
      <c r="T14" s="5">
        <v>3500</v>
      </c>
      <c r="U14" s="24">
        <v>0.04</v>
      </c>
      <c r="V14" s="26">
        <f t="shared" si="2"/>
        <v>3360</v>
      </c>
      <c r="W14" s="25">
        <f t="shared" si="0"/>
        <v>13440</v>
      </c>
      <c r="X14" s="6"/>
      <c r="Y14" s="22"/>
      <c r="Z14" s="1"/>
    </row>
    <row r="15" spans="1:32" x14ac:dyDescent="0.3">
      <c r="A15" t="s">
        <v>340</v>
      </c>
      <c r="B15" t="s">
        <v>394</v>
      </c>
      <c r="C15" t="s">
        <v>405</v>
      </c>
      <c r="D15" t="s">
        <v>406</v>
      </c>
      <c r="E15" s="1" t="s">
        <v>407</v>
      </c>
      <c r="F15" s="1" t="s">
        <v>21</v>
      </c>
      <c r="G15" s="2192">
        <v>1</v>
      </c>
      <c r="H15" s="2186">
        <f>VLOOKUP(G15,Pesos!A:B,2,0)</f>
        <v>0.9</v>
      </c>
      <c r="J15" s="1" t="s">
        <v>305</v>
      </c>
      <c r="K15" s="1">
        <v>6</v>
      </c>
      <c r="L15" s="2" t="s">
        <v>256</v>
      </c>
      <c r="M15" s="1">
        <v>3</v>
      </c>
      <c r="N15" s="1" t="s">
        <v>24</v>
      </c>
      <c r="O15">
        <v>3</v>
      </c>
      <c r="S15" s="1">
        <v>1</v>
      </c>
      <c r="T15" s="5">
        <v>7000</v>
      </c>
      <c r="U15" s="24">
        <v>0.14000000000000001</v>
      </c>
      <c r="V15" s="26">
        <f t="shared" si="2"/>
        <v>6020</v>
      </c>
      <c r="W15" s="25">
        <f t="shared" si="0"/>
        <v>18060</v>
      </c>
      <c r="X15" s="6"/>
      <c r="Y15" s="22"/>
      <c r="Z15" s="1"/>
    </row>
    <row r="16" spans="1:32" x14ac:dyDescent="0.3">
      <c r="A16" t="s">
        <v>340</v>
      </c>
      <c r="B16" t="s">
        <v>394</v>
      </c>
      <c r="C16" t="s">
        <v>405</v>
      </c>
      <c r="D16" t="s">
        <v>406</v>
      </c>
      <c r="E16" s="1" t="s">
        <v>409</v>
      </c>
      <c r="F16" s="1" t="s">
        <v>21</v>
      </c>
      <c r="G16" s="2192">
        <v>1</v>
      </c>
      <c r="H16" s="2186">
        <f>VLOOKUP(G16,Pesos!A:B,2,0)</f>
        <v>0.9</v>
      </c>
      <c r="J16" s="1" t="s">
        <v>305</v>
      </c>
      <c r="K16" s="1">
        <v>6</v>
      </c>
      <c r="L16" s="2" t="s">
        <v>256</v>
      </c>
      <c r="M16" s="1">
        <v>2</v>
      </c>
      <c r="N16" s="1" t="s">
        <v>24</v>
      </c>
      <c r="O16" s="1">
        <v>2</v>
      </c>
      <c r="S16" s="1">
        <v>1</v>
      </c>
      <c r="T16" s="5">
        <v>27024.15</v>
      </c>
      <c r="U16" s="24">
        <v>0.7</v>
      </c>
      <c r="V16" s="26">
        <f t="shared" si="2"/>
        <v>8107.2450000000017</v>
      </c>
      <c r="W16" s="25">
        <f t="shared" si="0"/>
        <v>16214.490000000003</v>
      </c>
      <c r="X16" s="6"/>
      <c r="Y16" s="22"/>
      <c r="Z16" s="1"/>
    </row>
    <row r="17" spans="1:30" x14ac:dyDescent="0.3">
      <c r="A17" t="s">
        <v>340</v>
      </c>
      <c r="B17" t="s">
        <v>394</v>
      </c>
      <c r="C17" t="s">
        <v>405</v>
      </c>
      <c r="D17" t="s">
        <v>406</v>
      </c>
      <c r="E17" s="1" t="s">
        <v>409</v>
      </c>
      <c r="F17" s="1" t="s">
        <v>411</v>
      </c>
      <c r="G17" s="2192">
        <v>2</v>
      </c>
      <c r="H17" s="2186">
        <f>VLOOKUP(G17,Pesos!A:B,2,0)</f>
        <v>0.8</v>
      </c>
      <c r="J17" s="1" t="s">
        <v>305</v>
      </c>
      <c r="K17" s="1">
        <v>8</v>
      </c>
      <c r="L17" s="2" t="s">
        <v>52</v>
      </c>
      <c r="M17" s="1">
        <v>14</v>
      </c>
      <c r="N17" s="1" t="s">
        <v>24</v>
      </c>
      <c r="O17" s="1">
        <v>14</v>
      </c>
      <c r="S17" s="1">
        <v>1</v>
      </c>
      <c r="T17" s="5">
        <v>7020</v>
      </c>
      <c r="U17" s="24">
        <v>0.68</v>
      </c>
      <c r="V17" s="26">
        <f t="shared" si="2"/>
        <v>2246.3999999999996</v>
      </c>
      <c r="W17" s="25">
        <f t="shared" si="0"/>
        <v>31449.599999999995</v>
      </c>
      <c r="X17" s="6"/>
      <c r="Y17" s="22"/>
      <c r="Z17" s="1"/>
    </row>
    <row r="18" spans="1:30" x14ac:dyDescent="0.3">
      <c r="A18" t="s">
        <v>340</v>
      </c>
      <c r="B18" t="s">
        <v>394</v>
      </c>
      <c r="C18" t="s">
        <v>405</v>
      </c>
      <c r="D18" t="s">
        <v>406</v>
      </c>
      <c r="E18" s="1" t="s">
        <v>412</v>
      </c>
      <c r="F18" s="1" t="s">
        <v>26</v>
      </c>
      <c r="G18" s="2192">
        <v>6</v>
      </c>
      <c r="H18" s="2186">
        <f>VLOOKUP(G18,Pesos!A:B,2,0)</f>
        <v>0.4</v>
      </c>
      <c r="I18" s="1" t="s">
        <v>305</v>
      </c>
      <c r="K18" s="1">
        <v>5</v>
      </c>
      <c r="L18" s="2" t="s">
        <v>415</v>
      </c>
      <c r="M18" s="1">
        <v>4</v>
      </c>
      <c r="N18" s="1" t="s">
        <v>24</v>
      </c>
      <c r="O18">
        <v>4</v>
      </c>
      <c r="S18" s="1">
        <v>1</v>
      </c>
      <c r="T18" s="5">
        <v>9000</v>
      </c>
      <c r="U18" s="24">
        <v>0.2</v>
      </c>
      <c r="V18" s="25">
        <f>T18*(1-U18)</f>
        <v>7200</v>
      </c>
      <c r="W18" s="25">
        <f t="shared" si="0"/>
        <v>28800</v>
      </c>
      <c r="X18" s="18"/>
    </row>
    <row r="19" spans="1:30" x14ac:dyDescent="0.3">
      <c r="A19" t="s">
        <v>340</v>
      </c>
      <c r="B19" t="s">
        <v>394</v>
      </c>
      <c r="C19" t="s">
        <v>405</v>
      </c>
      <c r="D19" t="s">
        <v>406</v>
      </c>
      <c r="E19" s="1" t="s">
        <v>413</v>
      </c>
      <c r="F19" s="1" t="s">
        <v>21</v>
      </c>
      <c r="G19" s="2186">
        <v>1</v>
      </c>
      <c r="H19" s="2186">
        <f>VLOOKUP(G19,Pesos!A:B,2,0)</f>
        <v>0.9</v>
      </c>
      <c r="I19" s="1"/>
      <c r="J19" s="16" t="s">
        <v>305</v>
      </c>
      <c r="K19" s="79">
        <v>6</v>
      </c>
      <c r="L19" s="2" t="s">
        <v>256</v>
      </c>
      <c r="M19" s="1">
        <v>15</v>
      </c>
      <c r="N19" s="1" t="s">
        <v>167</v>
      </c>
      <c r="O19" s="13"/>
      <c r="P19" s="13">
        <v>15</v>
      </c>
      <c r="Q19" s="1">
        <v>15</v>
      </c>
      <c r="R19" s="1"/>
      <c r="S19" s="1">
        <v>2</v>
      </c>
      <c r="T19" s="5">
        <v>400</v>
      </c>
      <c r="U19" s="24">
        <v>0.1</v>
      </c>
      <c r="V19" s="25">
        <f>T19*(1-U19)</f>
        <v>360</v>
      </c>
      <c r="W19" s="25">
        <f t="shared" si="0"/>
        <v>10800</v>
      </c>
      <c r="X19" s="6"/>
      <c r="AB19" s="1"/>
      <c r="AD19" s="1"/>
    </row>
    <row r="20" spans="1:30" x14ac:dyDescent="0.3">
      <c r="A20" t="s">
        <v>340</v>
      </c>
      <c r="B20" t="s">
        <v>394</v>
      </c>
      <c r="C20" t="s">
        <v>405</v>
      </c>
      <c r="D20" t="s">
        <v>406</v>
      </c>
      <c r="E20" s="1" t="s">
        <v>413</v>
      </c>
      <c r="F20" s="1" t="s">
        <v>26</v>
      </c>
      <c r="G20" s="2192">
        <v>6</v>
      </c>
      <c r="H20" s="2186">
        <f>VLOOKUP(G20,Pesos!A:B,2,0)</f>
        <v>0.4</v>
      </c>
      <c r="I20" s="1" t="s">
        <v>305</v>
      </c>
      <c r="K20" s="79">
        <v>5</v>
      </c>
      <c r="L20" s="2" t="s">
        <v>415</v>
      </c>
      <c r="M20" s="1">
        <v>3</v>
      </c>
      <c r="N20" s="1" t="s">
        <v>24</v>
      </c>
      <c r="O20" s="79">
        <v>3</v>
      </c>
      <c r="P20" s="79"/>
      <c r="Q20" s="79"/>
      <c r="R20" s="79"/>
      <c r="S20" s="1">
        <v>1</v>
      </c>
      <c r="T20" s="5">
        <v>4200</v>
      </c>
      <c r="U20" s="24">
        <v>0.1</v>
      </c>
      <c r="V20" s="26">
        <f t="shared" ref="V20:V46" si="3">T20*(1-U20)</f>
        <v>3780</v>
      </c>
      <c r="W20" s="25">
        <f t="shared" si="0"/>
        <v>11340</v>
      </c>
      <c r="X20" s="6"/>
      <c r="AB20" s="1"/>
      <c r="AD20" s="1"/>
    </row>
    <row r="21" spans="1:30" x14ac:dyDescent="0.3">
      <c r="A21" t="s">
        <v>340</v>
      </c>
      <c r="B21" t="s">
        <v>394</v>
      </c>
      <c r="C21" t="s">
        <v>405</v>
      </c>
      <c r="D21" t="s">
        <v>406</v>
      </c>
      <c r="E21" s="1" t="s">
        <v>413</v>
      </c>
      <c r="F21" s="1" t="s">
        <v>414</v>
      </c>
      <c r="G21" s="2192">
        <v>5</v>
      </c>
      <c r="H21" s="2186">
        <f>VLOOKUP(G21,Pesos!A:B,2,0)</f>
        <v>0.5</v>
      </c>
      <c r="I21" s="1" t="s">
        <v>305</v>
      </c>
      <c r="K21" s="79">
        <v>10</v>
      </c>
      <c r="L21" s="2" t="s">
        <v>51</v>
      </c>
      <c r="M21" s="1">
        <v>20</v>
      </c>
      <c r="N21" s="1" t="s">
        <v>24</v>
      </c>
      <c r="O21" s="79">
        <v>20</v>
      </c>
      <c r="P21" s="79"/>
      <c r="Q21" s="79"/>
      <c r="R21" s="80"/>
      <c r="S21" s="1">
        <v>1</v>
      </c>
      <c r="T21" s="5">
        <v>550</v>
      </c>
      <c r="U21" s="24">
        <v>0.27</v>
      </c>
      <c r="V21" s="26">
        <f t="shared" si="3"/>
        <v>401.5</v>
      </c>
      <c r="W21" s="25">
        <f t="shared" si="0"/>
        <v>8030</v>
      </c>
      <c r="X21" s="6"/>
      <c r="AB21" s="1"/>
      <c r="AD21" s="1"/>
    </row>
    <row r="22" spans="1:30" x14ac:dyDescent="0.3">
      <c r="A22" t="s">
        <v>340</v>
      </c>
      <c r="B22" t="s">
        <v>394</v>
      </c>
      <c r="C22" t="s">
        <v>405</v>
      </c>
      <c r="D22" t="s">
        <v>406</v>
      </c>
      <c r="E22" s="1" t="s">
        <v>150</v>
      </c>
      <c r="F22" s="1" t="s">
        <v>416</v>
      </c>
      <c r="G22" s="2192">
        <v>4</v>
      </c>
      <c r="H22" s="2186">
        <f>VLOOKUP(G22,Pesos!A:B,2,0)</f>
        <v>0.6</v>
      </c>
      <c r="I22" s="1" t="s">
        <v>305</v>
      </c>
      <c r="K22" s="79">
        <v>8</v>
      </c>
      <c r="L22" s="2" t="s">
        <v>256</v>
      </c>
      <c r="M22" s="1">
        <v>10</v>
      </c>
      <c r="N22" s="1" t="s">
        <v>24</v>
      </c>
      <c r="O22" s="79">
        <v>10</v>
      </c>
      <c r="P22" s="79"/>
      <c r="Q22" s="79"/>
      <c r="R22" s="81"/>
      <c r="S22" s="1">
        <v>1</v>
      </c>
      <c r="T22" s="5">
        <v>4113</v>
      </c>
      <c r="U22" s="24">
        <v>0.4</v>
      </c>
      <c r="V22" s="26">
        <f t="shared" si="3"/>
        <v>2467.7999999999997</v>
      </c>
      <c r="W22" s="25">
        <f t="shared" si="0"/>
        <v>24677.999999999996</v>
      </c>
      <c r="X22" s="6"/>
      <c r="AB22" s="1"/>
      <c r="AD22" s="1"/>
    </row>
    <row r="23" spans="1:30" x14ac:dyDescent="0.3">
      <c r="A23" t="s">
        <v>340</v>
      </c>
      <c r="B23" t="s">
        <v>394</v>
      </c>
      <c r="C23" t="s">
        <v>405</v>
      </c>
      <c r="D23" t="s">
        <v>406</v>
      </c>
      <c r="E23" s="1" t="s">
        <v>41</v>
      </c>
      <c r="F23" s="1" t="s">
        <v>168</v>
      </c>
      <c r="G23" s="2192">
        <v>7</v>
      </c>
      <c r="H23" s="2186">
        <f>VLOOKUP(G23,Pesos!A:B,2,0)</f>
        <v>0.3</v>
      </c>
      <c r="I23" s="1" t="s">
        <v>305</v>
      </c>
      <c r="K23" s="79">
        <v>15</v>
      </c>
      <c r="L23" s="2" t="s">
        <v>83</v>
      </c>
      <c r="M23" s="1">
        <v>20</v>
      </c>
      <c r="N23" s="1" t="s">
        <v>24</v>
      </c>
      <c r="O23" s="79">
        <v>20</v>
      </c>
      <c r="P23" s="79"/>
      <c r="Q23" s="79"/>
      <c r="R23" s="81"/>
      <c r="S23" s="1">
        <v>1</v>
      </c>
      <c r="T23" s="5">
        <v>1600</v>
      </c>
      <c r="U23" s="24">
        <v>0.7</v>
      </c>
      <c r="V23" s="26">
        <f t="shared" si="3"/>
        <v>480.00000000000006</v>
      </c>
      <c r="W23" s="25">
        <f t="shared" si="0"/>
        <v>9600.0000000000018</v>
      </c>
      <c r="X23" s="6"/>
      <c r="AB23" s="1"/>
      <c r="AD23" s="1"/>
    </row>
    <row r="24" spans="1:30" x14ac:dyDescent="0.3">
      <c r="E24" s="13"/>
      <c r="F24" s="13"/>
      <c r="G24" s="2192"/>
      <c r="H24" s="2192"/>
      <c r="I24" s="1"/>
      <c r="J24" s="1"/>
      <c r="K24" s="1"/>
      <c r="L24" s="2"/>
      <c r="M24" s="13"/>
      <c r="N24" s="13"/>
      <c r="O24" s="79"/>
      <c r="P24" s="79"/>
      <c r="Q24" s="79"/>
      <c r="R24" s="80"/>
      <c r="S24" s="1"/>
      <c r="T24" s="76"/>
      <c r="U24" s="42"/>
      <c r="V24" s="26"/>
      <c r="W24" s="26"/>
      <c r="X24" s="6"/>
      <c r="AB24" s="1"/>
      <c r="AD24" s="1"/>
    </row>
    <row r="25" spans="1:30" x14ac:dyDescent="0.3">
      <c r="A25" t="s">
        <v>342</v>
      </c>
      <c r="B25" t="s">
        <v>394</v>
      </c>
      <c r="C25" t="s">
        <v>405</v>
      </c>
      <c r="D25" t="s">
        <v>406</v>
      </c>
      <c r="E25" s="1" t="s">
        <v>407</v>
      </c>
      <c r="F25" s="1" t="s">
        <v>166</v>
      </c>
      <c r="G25" s="2192">
        <v>1</v>
      </c>
      <c r="H25" s="2186">
        <f>VLOOKUP(G25,Pesos!A:B,2,0)</f>
        <v>0.9</v>
      </c>
      <c r="I25" s="1" t="s">
        <v>305</v>
      </c>
      <c r="K25" s="79">
        <v>10</v>
      </c>
      <c r="L25" s="2" t="s">
        <v>51</v>
      </c>
      <c r="M25" s="1">
        <v>16</v>
      </c>
      <c r="N25" s="1" t="s">
        <v>63</v>
      </c>
      <c r="O25" s="79">
        <v>16</v>
      </c>
      <c r="P25" s="79"/>
      <c r="Q25" s="79"/>
      <c r="R25" s="80"/>
      <c r="S25" s="1">
        <v>1</v>
      </c>
      <c r="T25" s="5">
        <v>1700</v>
      </c>
      <c r="U25" s="24">
        <v>0.06</v>
      </c>
      <c r="V25" s="26">
        <f t="shared" si="3"/>
        <v>1598</v>
      </c>
      <c r="W25" s="25">
        <f t="shared" si="0"/>
        <v>25568</v>
      </c>
      <c r="X25" s="6"/>
      <c r="AB25" s="1"/>
      <c r="AD25" s="1"/>
    </row>
    <row r="26" spans="1:30" x14ac:dyDescent="0.3">
      <c r="A26" t="s">
        <v>342</v>
      </c>
      <c r="B26" t="s">
        <v>394</v>
      </c>
      <c r="C26" t="s">
        <v>405</v>
      </c>
      <c r="D26" t="s">
        <v>406</v>
      </c>
      <c r="E26" s="1" t="s">
        <v>408</v>
      </c>
      <c r="F26" s="1" t="s">
        <v>26</v>
      </c>
      <c r="G26" s="2186">
        <v>4</v>
      </c>
      <c r="H26" s="2186">
        <f>VLOOKUP(G26,Pesos!A:B,2,0)</f>
        <v>0.6</v>
      </c>
      <c r="I26" s="1" t="s">
        <v>305</v>
      </c>
      <c r="K26" s="79">
        <v>4</v>
      </c>
      <c r="L26" s="2" t="s">
        <v>331</v>
      </c>
      <c r="M26" s="1">
        <v>3</v>
      </c>
      <c r="N26" s="1" t="s">
        <v>24</v>
      </c>
      <c r="O26" s="1">
        <v>4</v>
      </c>
      <c r="P26" s="1"/>
      <c r="Q26" s="1"/>
      <c r="R26" s="1"/>
      <c r="S26" s="1">
        <v>1</v>
      </c>
      <c r="T26" s="5">
        <v>3500</v>
      </c>
      <c r="U26" s="24">
        <v>0.04</v>
      </c>
      <c r="V26" s="26">
        <f t="shared" si="3"/>
        <v>3360</v>
      </c>
      <c r="W26" s="25">
        <f t="shared" si="0"/>
        <v>10080</v>
      </c>
      <c r="AB26" s="1"/>
      <c r="AD26" s="1"/>
    </row>
    <row r="27" spans="1:30" x14ac:dyDescent="0.3">
      <c r="A27" t="s">
        <v>342</v>
      </c>
      <c r="B27" t="s">
        <v>394</v>
      </c>
      <c r="C27" t="s">
        <v>405</v>
      </c>
      <c r="D27" t="s">
        <v>406</v>
      </c>
      <c r="E27" s="1" t="s">
        <v>407</v>
      </c>
      <c r="F27" s="1" t="s">
        <v>21</v>
      </c>
      <c r="G27" s="2192">
        <v>2</v>
      </c>
      <c r="H27" s="2186">
        <f>VLOOKUP(G27,Pesos!A:B,2,0)</f>
        <v>0.8</v>
      </c>
      <c r="I27" s="1"/>
      <c r="J27" s="16" t="s">
        <v>305</v>
      </c>
      <c r="K27" s="79">
        <v>5</v>
      </c>
      <c r="L27" s="2" t="s">
        <v>256</v>
      </c>
      <c r="M27" s="1">
        <v>2</v>
      </c>
      <c r="N27" s="1" t="s">
        <v>24</v>
      </c>
      <c r="O27" s="1">
        <v>2</v>
      </c>
      <c r="P27" s="1"/>
      <c r="Q27" s="1"/>
      <c r="R27" s="1"/>
      <c r="S27" s="1">
        <v>1</v>
      </c>
      <c r="T27" s="5">
        <v>7000</v>
      </c>
      <c r="U27" s="24">
        <v>0.14000000000000001</v>
      </c>
      <c r="V27" s="26">
        <f t="shared" si="3"/>
        <v>6020</v>
      </c>
      <c r="W27" s="25">
        <f t="shared" si="0"/>
        <v>12040</v>
      </c>
      <c r="AB27" s="1"/>
      <c r="AD27" s="1"/>
    </row>
    <row r="28" spans="1:30" x14ac:dyDescent="0.3">
      <c r="A28" t="s">
        <v>342</v>
      </c>
      <c r="B28" t="s">
        <v>394</v>
      </c>
      <c r="C28" t="s">
        <v>405</v>
      </c>
      <c r="D28" t="s">
        <v>406</v>
      </c>
      <c r="E28" s="1" t="s">
        <v>409</v>
      </c>
      <c r="F28" s="1" t="s">
        <v>21</v>
      </c>
      <c r="G28" s="2192">
        <v>2</v>
      </c>
      <c r="H28" s="2186">
        <f>VLOOKUP(G28,Pesos!A:B,2,0)</f>
        <v>0.8</v>
      </c>
      <c r="I28" s="1"/>
      <c r="J28" s="16" t="s">
        <v>305</v>
      </c>
      <c r="K28" s="79">
        <v>5</v>
      </c>
      <c r="L28" s="2" t="s">
        <v>256</v>
      </c>
      <c r="M28" s="1">
        <v>2</v>
      </c>
      <c r="N28" s="1" t="s">
        <v>24</v>
      </c>
      <c r="O28" s="1">
        <v>2</v>
      </c>
      <c r="P28" s="1"/>
      <c r="Q28" s="1"/>
      <c r="R28" s="1"/>
      <c r="S28" s="1">
        <v>1</v>
      </c>
      <c r="T28" s="5">
        <v>27024.15</v>
      </c>
      <c r="U28" s="24">
        <v>0.7</v>
      </c>
      <c r="V28" s="26">
        <f t="shared" si="3"/>
        <v>8107.2450000000017</v>
      </c>
      <c r="W28" s="25">
        <f t="shared" si="0"/>
        <v>16214.490000000003</v>
      </c>
      <c r="AB28" s="1"/>
      <c r="AD28" s="1"/>
    </row>
    <row r="29" spans="1:30" x14ac:dyDescent="0.3">
      <c r="A29" t="s">
        <v>342</v>
      </c>
      <c r="B29" t="s">
        <v>394</v>
      </c>
      <c r="C29" t="s">
        <v>405</v>
      </c>
      <c r="D29" t="s">
        <v>406</v>
      </c>
      <c r="E29" s="1" t="s">
        <v>409</v>
      </c>
      <c r="F29" s="1" t="s">
        <v>410</v>
      </c>
      <c r="G29" s="2192">
        <v>3</v>
      </c>
      <c r="H29" s="2186">
        <f>VLOOKUP(G29,Pesos!A:B,2,0)</f>
        <v>0.7</v>
      </c>
      <c r="I29" s="1"/>
      <c r="J29" s="16" t="s">
        <v>305</v>
      </c>
      <c r="K29" s="79">
        <v>1</v>
      </c>
      <c r="L29" s="2" t="s">
        <v>332</v>
      </c>
      <c r="M29" s="1">
        <v>1</v>
      </c>
      <c r="N29" s="1" t="s">
        <v>24</v>
      </c>
      <c r="O29" s="1">
        <v>1</v>
      </c>
      <c r="P29" s="1"/>
      <c r="Q29" s="1"/>
      <c r="R29" s="1"/>
      <c r="S29" s="1">
        <v>1</v>
      </c>
      <c r="T29" s="5">
        <v>61819.199999999997</v>
      </c>
      <c r="U29" s="24">
        <v>0.45</v>
      </c>
      <c r="V29" s="26">
        <f t="shared" si="3"/>
        <v>34000.559999999998</v>
      </c>
      <c r="W29" s="25">
        <f t="shared" si="0"/>
        <v>34000.559999999998</v>
      </c>
      <c r="AB29" s="1"/>
      <c r="AD29" s="1"/>
    </row>
    <row r="30" spans="1:30" x14ac:dyDescent="0.3">
      <c r="A30" t="s">
        <v>342</v>
      </c>
      <c r="B30" t="s">
        <v>394</v>
      </c>
      <c r="C30" t="s">
        <v>405</v>
      </c>
      <c r="D30" t="s">
        <v>406</v>
      </c>
      <c r="E30" s="1" t="s">
        <v>409</v>
      </c>
      <c r="F30" s="1" t="s">
        <v>411</v>
      </c>
      <c r="G30" s="2192">
        <v>5</v>
      </c>
      <c r="H30" s="2186">
        <f>VLOOKUP(G30,Pesos!A:B,2,0)</f>
        <v>0.5</v>
      </c>
      <c r="I30" s="1"/>
      <c r="J30" s="16" t="s">
        <v>305</v>
      </c>
      <c r="K30" s="79">
        <v>6</v>
      </c>
      <c r="L30" s="2" t="s">
        <v>351</v>
      </c>
      <c r="M30" s="1">
        <v>10</v>
      </c>
      <c r="N30" s="1" t="s">
        <v>24</v>
      </c>
      <c r="O30" s="1">
        <v>10</v>
      </c>
      <c r="P30" s="1"/>
      <c r="Q30" s="1"/>
      <c r="R30" s="1"/>
      <c r="S30" s="1">
        <v>1</v>
      </c>
      <c r="T30" s="5">
        <v>7020</v>
      </c>
      <c r="U30" s="24">
        <v>0.68</v>
      </c>
      <c r="V30" s="26">
        <f t="shared" si="3"/>
        <v>2246.3999999999996</v>
      </c>
      <c r="W30" s="25">
        <f t="shared" si="0"/>
        <v>22463.999999999996</v>
      </c>
      <c r="AB30" s="1"/>
      <c r="AD30" s="1"/>
    </row>
    <row r="31" spans="1:30" x14ac:dyDescent="0.3">
      <c r="A31" t="s">
        <v>342</v>
      </c>
      <c r="B31" t="s">
        <v>394</v>
      </c>
      <c r="C31" t="s">
        <v>405</v>
      </c>
      <c r="D31" t="s">
        <v>406</v>
      </c>
      <c r="E31" s="1" t="s">
        <v>412</v>
      </c>
      <c r="F31" s="1" t="s">
        <v>26</v>
      </c>
      <c r="G31" s="2192">
        <v>4</v>
      </c>
      <c r="H31" s="2186">
        <f>VLOOKUP(G31,Pesos!A:B,2,0)</f>
        <v>0.6</v>
      </c>
      <c r="I31" s="1" t="s">
        <v>305</v>
      </c>
      <c r="K31" s="79">
        <v>4</v>
      </c>
      <c r="L31" s="2" t="s">
        <v>331</v>
      </c>
      <c r="M31" s="1">
        <v>4</v>
      </c>
      <c r="N31" s="1" t="s">
        <v>24</v>
      </c>
      <c r="O31" s="1">
        <v>4</v>
      </c>
      <c r="P31" s="1"/>
      <c r="Q31" s="1"/>
      <c r="R31" s="1"/>
      <c r="S31" s="1">
        <v>1</v>
      </c>
      <c r="T31" s="5">
        <v>9000</v>
      </c>
      <c r="U31" s="24">
        <v>0.2</v>
      </c>
      <c r="V31" s="26">
        <f t="shared" si="3"/>
        <v>7200</v>
      </c>
      <c r="W31" s="25">
        <f t="shared" si="0"/>
        <v>28800</v>
      </c>
      <c r="AB31" s="1"/>
      <c r="AD31" s="1"/>
    </row>
    <row r="32" spans="1:30" x14ac:dyDescent="0.3">
      <c r="A32" t="s">
        <v>342</v>
      </c>
      <c r="B32" t="s">
        <v>394</v>
      </c>
      <c r="C32" t="s">
        <v>405</v>
      </c>
      <c r="D32" t="s">
        <v>406</v>
      </c>
      <c r="E32" s="1" t="s">
        <v>413</v>
      </c>
      <c r="F32" s="1" t="s">
        <v>21</v>
      </c>
      <c r="G32" s="2192">
        <v>2</v>
      </c>
      <c r="H32" s="2186">
        <f>VLOOKUP(G32,Pesos!A:B,2,0)</f>
        <v>0.8</v>
      </c>
      <c r="I32" s="1"/>
      <c r="J32" s="16" t="s">
        <v>305</v>
      </c>
      <c r="K32" s="79">
        <v>5</v>
      </c>
      <c r="L32" s="2" t="s">
        <v>256</v>
      </c>
      <c r="M32" s="1">
        <v>4</v>
      </c>
      <c r="N32" s="1" t="s">
        <v>167</v>
      </c>
      <c r="O32" s="1"/>
      <c r="P32" s="1">
        <v>4</v>
      </c>
      <c r="Q32" s="1">
        <v>4</v>
      </c>
      <c r="R32" s="1"/>
      <c r="S32" s="1">
        <v>2</v>
      </c>
      <c r="T32" s="5">
        <v>400</v>
      </c>
      <c r="U32" s="24">
        <v>0.1</v>
      </c>
      <c r="V32" s="26">
        <f t="shared" si="3"/>
        <v>360</v>
      </c>
      <c r="W32" s="25">
        <f t="shared" si="0"/>
        <v>2880</v>
      </c>
      <c r="AB32" s="1"/>
      <c r="AD32" s="1"/>
    </row>
    <row r="33" spans="1:30" x14ac:dyDescent="0.3">
      <c r="A33" t="s">
        <v>342</v>
      </c>
      <c r="B33" t="s">
        <v>394</v>
      </c>
      <c r="C33" t="s">
        <v>405</v>
      </c>
      <c r="D33" t="s">
        <v>406</v>
      </c>
      <c r="E33" s="1" t="s">
        <v>413</v>
      </c>
      <c r="F33" s="1" t="s">
        <v>26</v>
      </c>
      <c r="G33" s="2192">
        <v>4</v>
      </c>
      <c r="H33" s="2186">
        <f>VLOOKUP(G33,Pesos!A:B,2,0)</f>
        <v>0.6</v>
      </c>
      <c r="I33" s="1" t="s">
        <v>305</v>
      </c>
      <c r="K33" s="79">
        <v>4</v>
      </c>
      <c r="L33" s="2" t="s">
        <v>331</v>
      </c>
      <c r="M33" s="1">
        <v>2</v>
      </c>
      <c r="N33" s="1" t="s">
        <v>24</v>
      </c>
      <c r="O33" s="1">
        <v>3</v>
      </c>
      <c r="P33" s="1"/>
      <c r="Q33" s="1"/>
      <c r="R33" s="1"/>
      <c r="S33" s="1">
        <v>1</v>
      </c>
      <c r="T33" s="5">
        <v>4200</v>
      </c>
      <c r="U33" s="24">
        <v>0.1</v>
      </c>
      <c r="V33" s="26">
        <f t="shared" si="3"/>
        <v>3780</v>
      </c>
      <c r="W33" s="25">
        <f t="shared" si="0"/>
        <v>7560</v>
      </c>
      <c r="AB33" s="1"/>
      <c r="AD33" s="1"/>
    </row>
    <row r="34" spans="1:30" x14ac:dyDescent="0.3">
      <c r="A34" t="s">
        <v>342</v>
      </c>
      <c r="B34" t="s">
        <v>394</v>
      </c>
      <c r="C34" t="s">
        <v>405</v>
      </c>
      <c r="D34" t="s">
        <v>406</v>
      </c>
      <c r="E34" s="1" t="s">
        <v>413</v>
      </c>
      <c r="F34" s="1" t="s">
        <v>414</v>
      </c>
      <c r="G34" s="2186">
        <v>6</v>
      </c>
      <c r="H34" s="2186">
        <f>VLOOKUP(G34,Pesos!A:B,2,0)</f>
        <v>0.4</v>
      </c>
      <c r="I34" s="1" t="s">
        <v>305</v>
      </c>
      <c r="K34" s="79">
        <v>10</v>
      </c>
      <c r="L34" s="2" t="s">
        <v>51</v>
      </c>
      <c r="M34" s="1">
        <v>15</v>
      </c>
      <c r="N34" s="1" t="s">
        <v>24</v>
      </c>
      <c r="O34" s="1">
        <v>15</v>
      </c>
      <c r="P34" s="1"/>
      <c r="Q34" s="1"/>
      <c r="R34" s="1"/>
      <c r="S34" s="1">
        <v>1</v>
      </c>
      <c r="T34" s="5">
        <v>550</v>
      </c>
      <c r="U34" s="24">
        <v>0.27</v>
      </c>
      <c r="V34" s="26">
        <f t="shared" si="3"/>
        <v>401.5</v>
      </c>
      <c r="W34" s="25">
        <f t="shared" si="0"/>
        <v>6022.5</v>
      </c>
      <c r="AB34" s="1"/>
      <c r="AD34" s="1"/>
    </row>
    <row r="35" spans="1:30" x14ac:dyDescent="0.3">
      <c r="E35" s="13"/>
      <c r="F35" s="13"/>
      <c r="G35" s="2192"/>
      <c r="H35" s="2192"/>
      <c r="I35" s="13"/>
      <c r="J35" s="77"/>
      <c r="K35" s="79"/>
      <c r="L35" s="79"/>
      <c r="M35" s="13"/>
      <c r="N35" s="13"/>
      <c r="O35" s="1"/>
      <c r="P35" s="1"/>
      <c r="Q35" s="1"/>
      <c r="R35" s="1"/>
      <c r="S35" s="1"/>
      <c r="T35" s="76"/>
      <c r="U35" s="42"/>
      <c r="V35" s="26"/>
      <c r="W35" s="26"/>
      <c r="AB35" s="1"/>
      <c r="AD35" s="1"/>
    </row>
    <row r="36" spans="1:30" x14ac:dyDescent="0.3">
      <c r="A36" t="s">
        <v>343</v>
      </c>
      <c r="B36" t="s">
        <v>394</v>
      </c>
      <c r="C36" t="s">
        <v>405</v>
      </c>
      <c r="D36" t="s">
        <v>406</v>
      </c>
      <c r="E36" s="1" t="s">
        <v>407</v>
      </c>
      <c r="F36" s="1" t="s">
        <v>166</v>
      </c>
      <c r="G36" s="2192">
        <v>3</v>
      </c>
      <c r="H36" s="2186">
        <f>VLOOKUP(G36,Pesos!A:B,2,0)</f>
        <v>0.7</v>
      </c>
      <c r="I36" s="1" t="s">
        <v>305</v>
      </c>
      <c r="K36" s="79">
        <v>10</v>
      </c>
      <c r="L36" s="2" t="s">
        <v>51</v>
      </c>
      <c r="M36" s="1">
        <v>16</v>
      </c>
      <c r="N36" s="1" t="s">
        <v>63</v>
      </c>
      <c r="O36" s="1">
        <v>16</v>
      </c>
      <c r="P36" s="1"/>
      <c r="Q36" s="1"/>
      <c r="R36" s="1"/>
      <c r="S36" s="1">
        <v>1</v>
      </c>
      <c r="T36" s="5">
        <v>1700</v>
      </c>
      <c r="U36" s="24">
        <v>0.06</v>
      </c>
      <c r="V36" s="26">
        <f t="shared" si="3"/>
        <v>1598</v>
      </c>
      <c r="W36" s="25">
        <f t="shared" si="0"/>
        <v>25568</v>
      </c>
      <c r="AB36" s="1"/>
      <c r="AD36" s="1"/>
    </row>
    <row r="37" spans="1:30" x14ac:dyDescent="0.3">
      <c r="A37" t="s">
        <v>343</v>
      </c>
      <c r="B37" t="s">
        <v>394</v>
      </c>
      <c r="C37" t="s">
        <v>405</v>
      </c>
      <c r="D37" t="s">
        <v>406</v>
      </c>
      <c r="E37" s="1" t="s">
        <v>408</v>
      </c>
      <c r="F37" s="1" t="s">
        <v>26</v>
      </c>
      <c r="G37" s="2192">
        <v>6</v>
      </c>
      <c r="H37" s="2186">
        <f>VLOOKUP(G37,Pesos!A:B,2,0)</f>
        <v>0.4</v>
      </c>
      <c r="I37" s="1" t="s">
        <v>305</v>
      </c>
      <c r="K37" s="79">
        <v>4</v>
      </c>
      <c r="L37" s="2" t="s">
        <v>331</v>
      </c>
      <c r="M37" s="1">
        <v>4</v>
      </c>
      <c r="N37" s="1" t="s">
        <v>24</v>
      </c>
      <c r="O37" s="2" t="s">
        <v>346</v>
      </c>
      <c r="P37" s="1"/>
      <c r="Q37" s="1"/>
      <c r="R37" s="1"/>
      <c r="S37" s="1">
        <v>1</v>
      </c>
      <c r="T37" s="5">
        <v>3500</v>
      </c>
      <c r="U37" s="24">
        <v>0.04</v>
      </c>
      <c r="V37" s="26">
        <f t="shared" si="3"/>
        <v>3360</v>
      </c>
      <c r="W37" s="25">
        <f t="shared" si="0"/>
        <v>13440</v>
      </c>
      <c r="AB37" s="1"/>
      <c r="AD37" s="1"/>
    </row>
    <row r="38" spans="1:30" x14ac:dyDescent="0.3">
      <c r="A38" t="s">
        <v>343</v>
      </c>
      <c r="B38" t="s">
        <v>394</v>
      </c>
      <c r="C38" t="s">
        <v>405</v>
      </c>
      <c r="D38" t="s">
        <v>406</v>
      </c>
      <c r="E38" s="1" t="s">
        <v>407</v>
      </c>
      <c r="F38" s="1" t="s">
        <v>21</v>
      </c>
      <c r="G38" s="2192">
        <v>1</v>
      </c>
      <c r="H38" s="2186">
        <f>VLOOKUP(G38,Pesos!A:B,2,0)</f>
        <v>0.9</v>
      </c>
      <c r="I38" s="1"/>
      <c r="J38" s="16" t="s">
        <v>305</v>
      </c>
      <c r="K38" s="79">
        <v>5</v>
      </c>
      <c r="L38" s="2" t="s">
        <v>256</v>
      </c>
      <c r="M38" s="1">
        <v>2</v>
      </c>
      <c r="N38" s="1" t="s">
        <v>24</v>
      </c>
      <c r="O38" s="2" t="s">
        <v>332</v>
      </c>
      <c r="P38" s="1"/>
      <c r="Q38" s="1"/>
      <c r="R38" s="1"/>
      <c r="S38" s="1">
        <v>1</v>
      </c>
      <c r="T38" s="5">
        <v>7000</v>
      </c>
      <c r="U38" s="24">
        <v>0.14000000000000001</v>
      </c>
      <c r="V38" s="26">
        <f t="shared" si="3"/>
        <v>6020</v>
      </c>
      <c r="W38" s="25">
        <f t="shared" si="0"/>
        <v>12040</v>
      </c>
      <c r="AB38" s="1"/>
      <c r="AD38" s="1"/>
    </row>
    <row r="39" spans="1:30" x14ac:dyDescent="0.3">
      <c r="A39" t="s">
        <v>343</v>
      </c>
      <c r="B39" t="s">
        <v>394</v>
      </c>
      <c r="C39" t="s">
        <v>405</v>
      </c>
      <c r="D39" t="s">
        <v>406</v>
      </c>
      <c r="E39" s="1" t="s">
        <v>409</v>
      </c>
      <c r="F39" s="1" t="s">
        <v>21</v>
      </c>
      <c r="G39" s="2192">
        <v>1</v>
      </c>
      <c r="H39" s="2186">
        <f>VLOOKUP(G39,Pesos!A:B,2,0)</f>
        <v>0.9</v>
      </c>
      <c r="I39" s="1"/>
      <c r="J39" s="16" t="s">
        <v>305</v>
      </c>
      <c r="K39" s="79">
        <v>5</v>
      </c>
      <c r="L39" s="2" t="s">
        <v>256</v>
      </c>
      <c r="M39" s="1">
        <v>2</v>
      </c>
      <c r="N39" s="1" t="s">
        <v>24</v>
      </c>
      <c r="O39" s="1">
        <v>2</v>
      </c>
      <c r="P39" s="1"/>
      <c r="Q39" s="1"/>
      <c r="R39" s="1"/>
      <c r="S39" s="1">
        <v>1</v>
      </c>
      <c r="T39" s="5">
        <v>27024.15</v>
      </c>
      <c r="U39" s="24">
        <v>0.7</v>
      </c>
      <c r="V39" s="26">
        <f t="shared" si="3"/>
        <v>8107.2450000000017</v>
      </c>
      <c r="W39" s="25">
        <f t="shared" si="0"/>
        <v>16214.490000000003</v>
      </c>
      <c r="AB39" s="1"/>
      <c r="AD39" s="1"/>
    </row>
    <row r="40" spans="1:30" x14ac:dyDescent="0.3">
      <c r="A40" t="s">
        <v>343</v>
      </c>
      <c r="B40" t="s">
        <v>394</v>
      </c>
      <c r="C40" t="s">
        <v>405</v>
      </c>
      <c r="D40" t="s">
        <v>406</v>
      </c>
      <c r="E40" s="1" t="s">
        <v>409</v>
      </c>
      <c r="F40" s="1" t="s">
        <v>411</v>
      </c>
      <c r="G40" s="2192">
        <v>2</v>
      </c>
      <c r="H40" s="2186">
        <f>VLOOKUP(G40,Pesos!A:B,2,0)</f>
        <v>0.8</v>
      </c>
      <c r="J40" s="1" t="s">
        <v>305</v>
      </c>
      <c r="K40" s="79">
        <v>6</v>
      </c>
      <c r="L40" s="2" t="s">
        <v>351</v>
      </c>
      <c r="M40" s="1">
        <v>10</v>
      </c>
      <c r="N40" s="1" t="s">
        <v>24</v>
      </c>
      <c r="O40" s="1">
        <v>10</v>
      </c>
      <c r="S40" s="1">
        <v>1</v>
      </c>
      <c r="T40" s="5">
        <v>7020</v>
      </c>
      <c r="U40" s="24">
        <v>0.68</v>
      </c>
      <c r="V40" s="26">
        <f t="shared" si="3"/>
        <v>2246.3999999999996</v>
      </c>
      <c r="W40" s="25">
        <f t="shared" si="0"/>
        <v>22463.999999999996</v>
      </c>
    </row>
    <row r="41" spans="1:30" x14ac:dyDescent="0.3">
      <c r="A41" t="s">
        <v>343</v>
      </c>
      <c r="B41" t="s">
        <v>394</v>
      </c>
      <c r="C41" t="s">
        <v>405</v>
      </c>
      <c r="D41" t="s">
        <v>406</v>
      </c>
      <c r="E41" s="1" t="s">
        <v>412</v>
      </c>
      <c r="F41" s="1" t="s">
        <v>26</v>
      </c>
      <c r="G41" s="2192">
        <v>6</v>
      </c>
      <c r="H41" s="2186">
        <f>VLOOKUP(G41,Pesos!A:B,2,0)</f>
        <v>0.4</v>
      </c>
      <c r="I41" s="1" t="s">
        <v>305</v>
      </c>
      <c r="K41" s="79">
        <v>4</v>
      </c>
      <c r="L41" s="2" t="s">
        <v>331</v>
      </c>
      <c r="M41" s="1">
        <v>4</v>
      </c>
      <c r="N41" s="1" t="s">
        <v>24</v>
      </c>
      <c r="O41" s="1">
        <v>4</v>
      </c>
      <c r="P41" s="1"/>
      <c r="Q41" s="1"/>
      <c r="R41" s="1"/>
      <c r="S41" s="1">
        <v>1</v>
      </c>
      <c r="T41" s="5">
        <v>9000</v>
      </c>
      <c r="U41" s="24">
        <v>0.2</v>
      </c>
      <c r="V41" s="26">
        <f t="shared" si="3"/>
        <v>7200</v>
      </c>
      <c r="W41" s="25">
        <f t="shared" si="0"/>
        <v>28800</v>
      </c>
      <c r="AB41" s="1"/>
      <c r="AD41" s="1"/>
    </row>
    <row r="42" spans="1:30" x14ac:dyDescent="0.3">
      <c r="A42" t="s">
        <v>343</v>
      </c>
      <c r="B42" t="s">
        <v>394</v>
      </c>
      <c r="C42" t="s">
        <v>405</v>
      </c>
      <c r="D42" t="s">
        <v>406</v>
      </c>
      <c r="E42" s="1" t="s">
        <v>413</v>
      </c>
      <c r="F42" s="1" t="s">
        <v>21</v>
      </c>
      <c r="G42" s="2192">
        <v>1</v>
      </c>
      <c r="H42" s="2186">
        <f>VLOOKUP(G42,Pesos!A:B,2,0)</f>
        <v>0.9</v>
      </c>
      <c r="I42" s="1"/>
      <c r="J42" s="16" t="s">
        <v>305</v>
      </c>
      <c r="K42" s="79">
        <v>5</v>
      </c>
      <c r="L42" s="2" t="s">
        <v>256</v>
      </c>
      <c r="M42" s="1">
        <v>4</v>
      </c>
      <c r="N42" s="1" t="s">
        <v>167</v>
      </c>
      <c r="O42" s="1"/>
      <c r="P42" s="1">
        <v>4</v>
      </c>
      <c r="Q42" s="1">
        <v>4</v>
      </c>
      <c r="R42" s="1"/>
      <c r="S42" s="1">
        <v>2</v>
      </c>
      <c r="T42" s="5">
        <v>400</v>
      </c>
      <c r="U42" s="24">
        <v>0.1</v>
      </c>
      <c r="V42" s="26">
        <f t="shared" si="3"/>
        <v>360</v>
      </c>
      <c r="W42" s="25">
        <f t="shared" si="0"/>
        <v>2880</v>
      </c>
      <c r="AB42" s="1"/>
      <c r="AD42" s="1"/>
    </row>
    <row r="43" spans="1:30" x14ac:dyDescent="0.3">
      <c r="A43" t="s">
        <v>343</v>
      </c>
      <c r="B43" t="s">
        <v>394</v>
      </c>
      <c r="C43" t="s">
        <v>405</v>
      </c>
      <c r="D43" t="s">
        <v>406</v>
      </c>
      <c r="E43" s="1" t="s">
        <v>413</v>
      </c>
      <c r="F43" s="1" t="s">
        <v>26</v>
      </c>
      <c r="G43" s="2192">
        <v>6</v>
      </c>
      <c r="H43" s="2186">
        <f>VLOOKUP(G43,Pesos!A:B,2,0)</f>
        <v>0.4</v>
      </c>
      <c r="I43" s="1" t="s">
        <v>305</v>
      </c>
      <c r="K43" s="79">
        <v>4</v>
      </c>
      <c r="L43" s="2" t="s">
        <v>331</v>
      </c>
      <c r="M43" s="1">
        <v>2</v>
      </c>
      <c r="N43" s="1" t="s">
        <v>24</v>
      </c>
      <c r="O43" s="1">
        <v>2</v>
      </c>
      <c r="P43" s="1"/>
      <c r="Q43" s="1"/>
      <c r="R43" s="1"/>
      <c r="S43" s="1">
        <v>1</v>
      </c>
      <c r="T43" s="5">
        <v>4200</v>
      </c>
      <c r="U43" s="24">
        <v>0.1</v>
      </c>
      <c r="V43" s="26">
        <f t="shared" si="3"/>
        <v>3780</v>
      </c>
      <c r="W43" s="25">
        <f t="shared" si="0"/>
        <v>7560</v>
      </c>
      <c r="AB43" s="1"/>
      <c r="AD43" s="1"/>
    </row>
    <row r="44" spans="1:30" x14ac:dyDescent="0.3">
      <c r="A44" t="s">
        <v>343</v>
      </c>
      <c r="B44" t="s">
        <v>394</v>
      </c>
      <c r="C44" t="s">
        <v>405</v>
      </c>
      <c r="D44" t="s">
        <v>406</v>
      </c>
      <c r="E44" s="1" t="s">
        <v>413</v>
      </c>
      <c r="F44" s="1" t="s">
        <v>414</v>
      </c>
      <c r="G44" s="2192">
        <v>5</v>
      </c>
      <c r="H44" s="2186">
        <f>VLOOKUP(G44,Pesos!A:B,2,0)</f>
        <v>0.5</v>
      </c>
      <c r="I44" s="1" t="s">
        <v>305</v>
      </c>
      <c r="K44" s="79">
        <v>10</v>
      </c>
      <c r="L44" s="2" t="s">
        <v>51</v>
      </c>
      <c r="M44" s="1">
        <v>15</v>
      </c>
      <c r="N44" s="1" t="s">
        <v>24</v>
      </c>
      <c r="O44" s="1">
        <v>15</v>
      </c>
      <c r="P44" s="1"/>
      <c r="Q44" s="1"/>
      <c r="R44" s="1"/>
      <c r="S44" s="1">
        <v>1</v>
      </c>
      <c r="T44" s="5">
        <v>550</v>
      </c>
      <c r="U44" s="24">
        <v>0.27</v>
      </c>
      <c r="V44" s="26">
        <f t="shared" si="3"/>
        <v>401.5</v>
      </c>
      <c r="W44" s="25">
        <f t="shared" si="0"/>
        <v>6022.5</v>
      </c>
      <c r="AB44" s="1"/>
      <c r="AD44" s="1"/>
    </row>
    <row r="45" spans="1:30" x14ac:dyDescent="0.3">
      <c r="A45" t="s">
        <v>343</v>
      </c>
      <c r="B45" t="s">
        <v>394</v>
      </c>
      <c r="C45" t="s">
        <v>405</v>
      </c>
      <c r="D45" t="s">
        <v>406</v>
      </c>
      <c r="E45" s="1" t="s">
        <v>150</v>
      </c>
      <c r="F45" s="1" t="s">
        <v>416</v>
      </c>
      <c r="G45" s="2192">
        <v>4</v>
      </c>
      <c r="H45" s="2186">
        <f>VLOOKUP(G45,Pesos!A:B,2,0)</f>
        <v>0.6</v>
      </c>
      <c r="I45" s="1" t="s">
        <v>305</v>
      </c>
      <c r="K45" s="79">
        <v>6</v>
      </c>
      <c r="L45" s="2" t="s">
        <v>331</v>
      </c>
      <c r="M45" s="1">
        <v>10</v>
      </c>
      <c r="N45" s="1" t="s">
        <v>24</v>
      </c>
      <c r="O45" s="1">
        <v>10</v>
      </c>
      <c r="P45" s="1"/>
      <c r="Q45" s="1"/>
      <c r="R45" s="1"/>
      <c r="S45" s="1">
        <v>1</v>
      </c>
      <c r="T45" s="5">
        <v>4113</v>
      </c>
      <c r="U45" s="24">
        <v>0.4</v>
      </c>
      <c r="V45" s="26">
        <f t="shared" si="3"/>
        <v>2467.7999999999997</v>
      </c>
      <c r="W45" s="25">
        <f t="shared" si="0"/>
        <v>24677.999999999996</v>
      </c>
      <c r="AB45" s="1"/>
      <c r="AD45" s="1"/>
    </row>
    <row r="46" spans="1:30" x14ac:dyDescent="0.3">
      <c r="A46" t="s">
        <v>343</v>
      </c>
      <c r="B46" t="s">
        <v>394</v>
      </c>
      <c r="C46" t="s">
        <v>405</v>
      </c>
      <c r="D46" t="s">
        <v>406</v>
      </c>
      <c r="E46" s="1" t="s">
        <v>41</v>
      </c>
      <c r="F46" s="1" t="s">
        <v>168</v>
      </c>
      <c r="G46" s="2192">
        <v>7</v>
      </c>
      <c r="H46" s="2186">
        <f>VLOOKUP(G46,Pesos!A:B,2,0)</f>
        <v>0.3</v>
      </c>
      <c r="I46" s="1" t="s">
        <v>305</v>
      </c>
      <c r="K46" s="79">
        <v>10</v>
      </c>
      <c r="L46" s="2" t="s">
        <v>51</v>
      </c>
      <c r="M46" s="1">
        <v>15</v>
      </c>
      <c r="N46" s="1" t="s">
        <v>24</v>
      </c>
      <c r="O46" s="1">
        <v>15</v>
      </c>
      <c r="P46" s="1"/>
      <c r="Q46" s="1"/>
      <c r="R46" s="1"/>
      <c r="S46" s="1">
        <v>1</v>
      </c>
      <c r="T46" s="5">
        <v>1600</v>
      </c>
      <c r="U46" s="24">
        <v>0.7</v>
      </c>
      <c r="V46" s="26">
        <f t="shared" si="3"/>
        <v>480.00000000000006</v>
      </c>
      <c r="W46" s="25">
        <f t="shared" si="0"/>
        <v>7200.0000000000009</v>
      </c>
      <c r="AB46" s="1"/>
      <c r="AD46" s="1"/>
    </row>
    <row r="47" spans="1:30" x14ac:dyDescent="0.3">
      <c r="E47" s="1"/>
      <c r="F47" s="1"/>
      <c r="G47" s="2192"/>
      <c r="H47" s="219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"/>
      <c r="U47" s="29"/>
      <c r="V47" s="26"/>
      <c r="W47" s="26"/>
      <c r="AB47" s="1"/>
      <c r="AD47" s="1"/>
    </row>
    <row r="48" spans="1:30" x14ac:dyDescent="0.3">
      <c r="A48" t="s">
        <v>326</v>
      </c>
      <c r="B48" t="s">
        <v>394</v>
      </c>
      <c r="C48" t="s">
        <v>405</v>
      </c>
      <c r="D48" t="s">
        <v>406</v>
      </c>
      <c r="E48" s="1" t="s">
        <v>407</v>
      </c>
      <c r="F48" s="1" t="s">
        <v>166</v>
      </c>
      <c r="G48" s="2192">
        <v>4</v>
      </c>
      <c r="H48" s="2186">
        <f>VLOOKUP(G48,Pesos!A:B,2,0)</f>
        <v>0.6</v>
      </c>
      <c r="I48" s="1" t="s">
        <v>305</v>
      </c>
      <c r="K48" s="79">
        <v>6</v>
      </c>
      <c r="L48" s="2" t="s">
        <v>331</v>
      </c>
      <c r="M48" s="1">
        <v>8</v>
      </c>
      <c r="N48" s="1" t="s">
        <v>63</v>
      </c>
      <c r="O48" s="1">
        <v>8</v>
      </c>
      <c r="P48" s="1"/>
      <c r="Q48" s="1"/>
      <c r="R48" s="1"/>
      <c r="S48" s="1">
        <v>1</v>
      </c>
      <c r="T48" s="5">
        <v>1700</v>
      </c>
      <c r="U48" s="24">
        <v>0.06</v>
      </c>
      <c r="V48" s="26">
        <f t="shared" ref="V48:V56" si="4">T48*(1-U48)</f>
        <v>1598</v>
      </c>
      <c r="W48" s="25">
        <f t="shared" ref="W48:W56" si="5">V48*S48*M48</f>
        <v>12784</v>
      </c>
      <c r="AB48" s="1"/>
      <c r="AD48" s="1"/>
    </row>
    <row r="49" spans="1:30" x14ac:dyDescent="0.3">
      <c r="A49" t="s">
        <v>326</v>
      </c>
      <c r="B49" t="s">
        <v>394</v>
      </c>
      <c r="C49" t="s">
        <v>405</v>
      </c>
      <c r="D49" t="s">
        <v>406</v>
      </c>
      <c r="E49" s="1" t="s">
        <v>408</v>
      </c>
      <c r="F49" s="1" t="s">
        <v>26</v>
      </c>
      <c r="G49" s="2192">
        <v>5</v>
      </c>
      <c r="H49" s="2186">
        <f>VLOOKUP(G49,Pesos!A:B,2,0)</f>
        <v>0.5</v>
      </c>
      <c r="I49" s="1" t="s">
        <v>305</v>
      </c>
      <c r="K49" s="79">
        <v>2</v>
      </c>
      <c r="L49" s="2" t="s">
        <v>203</v>
      </c>
      <c r="M49" s="1">
        <v>2</v>
      </c>
      <c r="N49" s="1" t="s">
        <v>24</v>
      </c>
      <c r="O49" s="1">
        <v>4</v>
      </c>
      <c r="P49" s="1"/>
      <c r="Q49" s="1"/>
      <c r="R49" s="1"/>
      <c r="S49" s="1">
        <v>1</v>
      </c>
      <c r="T49" s="5">
        <v>3500</v>
      </c>
      <c r="U49" s="24">
        <v>0.04</v>
      </c>
      <c r="V49" s="26">
        <f t="shared" si="4"/>
        <v>3360</v>
      </c>
      <c r="W49" s="25">
        <f t="shared" si="5"/>
        <v>6720</v>
      </c>
      <c r="AB49" s="1"/>
      <c r="AD49" s="1"/>
    </row>
    <row r="50" spans="1:30" x14ac:dyDescent="0.3">
      <c r="A50" t="s">
        <v>326</v>
      </c>
      <c r="B50" t="s">
        <v>394</v>
      </c>
      <c r="C50" t="s">
        <v>405</v>
      </c>
      <c r="D50" t="s">
        <v>406</v>
      </c>
      <c r="E50" s="1" t="s">
        <v>407</v>
      </c>
      <c r="F50" s="1" t="s">
        <v>21</v>
      </c>
      <c r="G50" s="2192">
        <v>1</v>
      </c>
      <c r="H50" s="2186">
        <f>VLOOKUP(G50,Pesos!A:B,2,0)</f>
        <v>0.9</v>
      </c>
      <c r="J50" s="1" t="s">
        <v>305</v>
      </c>
      <c r="K50" s="79">
        <v>3</v>
      </c>
      <c r="L50" s="2" t="s">
        <v>330</v>
      </c>
      <c r="M50" s="1">
        <v>2</v>
      </c>
      <c r="N50" s="1" t="s">
        <v>24</v>
      </c>
      <c r="O50" s="1">
        <v>2</v>
      </c>
      <c r="S50" s="1">
        <v>1</v>
      </c>
      <c r="T50" s="5">
        <v>7000</v>
      </c>
      <c r="U50" s="24">
        <v>0.14000000000000001</v>
      </c>
      <c r="V50" s="26">
        <f t="shared" si="4"/>
        <v>6020</v>
      </c>
      <c r="W50" s="25">
        <f t="shared" si="5"/>
        <v>12040</v>
      </c>
    </row>
    <row r="51" spans="1:30" x14ac:dyDescent="0.3">
      <c r="A51" t="s">
        <v>326</v>
      </c>
      <c r="B51" t="s">
        <v>394</v>
      </c>
      <c r="C51" t="s">
        <v>405</v>
      </c>
      <c r="D51" t="s">
        <v>406</v>
      </c>
      <c r="E51" s="1" t="s">
        <v>409</v>
      </c>
      <c r="F51" s="1" t="s">
        <v>21</v>
      </c>
      <c r="G51" s="2192">
        <v>1</v>
      </c>
      <c r="H51" s="2186">
        <f>VLOOKUP(G51,Pesos!A:B,2,0)</f>
        <v>0.9</v>
      </c>
      <c r="J51" s="1" t="s">
        <v>305</v>
      </c>
      <c r="K51" s="79">
        <v>3</v>
      </c>
      <c r="L51" s="2" t="s">
        <v>330</v>
      </c>
      <c r="M51" s="1">
        <v>2</v>
      </c>
      <c r="N51" s="1" t="s">
        <v>24</v>
      </c>
      <c r="O51" s="1">
        <v>2</v>
      </c>
      <c r="S51" s="1">
        <v>1</v>
      </c>
      <c r="T51" s="5">
        <v>27024.15</v>
      </c>
      <c r="U51" s="24">
        <v>0.7</v>
      </c>
      <c r="V51" s="26">
        <f t="shared" si="4"/>
        <v>8107.2450000000017</v>
      </c>
      <c r="W51" s="25">
        <f t="shared" si="5"/>
        <v>16214.490000000003</v>
      </c>
    </row>
    <row r="52" spans="1:30" x14ac:dyDescent="0.3">
      <c r="A52" t="s">
        <v>326</v>
      </c>
      <c r="B52" t="s">
        <v>394</v>
      </c>
      <c r="C52" t="s">
        <v>405</v>
      </c>
      <c r="D52" t="s">
        <v>406</v>
      </c>
      <c r="E52" s="1" t="s">
        <v>409</v>
      </c>
      <c r="F52" s="1" t="s">
        <v>411</v>
      </c>
      <c r="G52" s="2192">
        <v>2</v>
      </c>
      <c r="H52" s="2186">
        <f>VLOOKUP(G52,Pesos!A:B,2,0)</f>
        <v>0.8</v>
      </c>
      <c r="J52" s="1" t="s">
        <v>305</v>
      </c>
      <c r="K52" s="79">
        <v>4</v>
      </c>
      <c r="L52" s="2" t="s">
        <v>330</v>
      </c>
      <c r="M52" s="1">
        <v>5</v>
      </c>
      <c r="N52" s="1" t="s">
        <v>24</v>
      </c>
      <c r="O52" s="1">
        <v>5</v>
      </c>
      <c r="S52" s="1">
        <v>1</v>
      </c>
      <c r="T52" s="5">
        <v>7020</v>
      </c>
      <c r="U52" s="24">
        <v>0.68</v>
      </c>
      <c r="V52" s="26">
        <f t="shared" si="4"/>
        <v>2246.3999999999996</v>
      </c>
      <c r="W52" s="25">
        <f t="shared" si="5"/>
        <v>11231.999999999998</v>
      </c>
    </row>
    <row r="53" spans="1:30" x14ac:dyDescent="0.3">
      <c r="A53" t="s">
        <v>326</v>
      </c>
      <c r="B53" t="s">
        <v>394</v>
      </c>
      <c r="C53" t="s">
        <v>405</v>
      </c>
      <c r="D53" t="s">
        <v>406</v>
      </c>
      <c r="E53" s="1" t="s">
        <v>412</v>
      </c>
      <c r="F53" s="1" t="s">
        <v>26</v>
      </c>
      <c r="G53" s="2192">
        <v>5</v>
      </c>
      <c r="H53" s="2186">
        <f>VLOOKUP(G53,Pesos!A:B,2,0)</f>
        <v>0.5</v>
      </c>
      <c r="I53" s="1" t="s">
        <v>305</v>
      </c>
      <c r="K53" s="79">
        <v>2</v>
      </c>
      <c r="L53" s="2" t="s">
        <v>203</v>
      </c>
      <c r="M53" s="1">
        <v>2</v>
      </c>
      <c r="N53" s="1" t="s">
        <v>24</v>
      </c>
      <c r="O53" s="1">
        <v>4</v>
      </c>
      <c r="S53" s="1">
        <v>1</v>
      </c>
      <c r="T53" s="5">
        <v>9000</v>
      </c>
      <c r="U53" s="24">
        <v>0.2</v>
      </c>
      <c r="V53" s="26">
        <f t="shared" si="4"/>
        <v>7200</v>
      </c>
      <c r="W53" s="25">
        <f t="shared" si="5"/>
        <v>14400</v>
      </c>
    </row>
    <row r="54" spans="1:30" x14ac:dyDescent="0.3">
      <c r="A54" t="s">
        <v>326</v>
      </c>
      <c r="B54" t="s">
        <v>394</v>
      </c>
      <c r="C54" t="s">
        <v>405</v>
      </c>
      <c r="D54" t="s">
        <v>406</v>
      </c>
      <c r="E54" s="1" t="s">
        <v>413</v>
      </c>
      <c r="F54" s="1" t="s">
        <v>21</v>
      </c>
      <c r="G54" s="2192">
        <v>1</v>
      </c>
      <c r="H54" s="2186">
        <f>VLOOKUP(G54,Pesos!A:B,2,0)</f>
        <v>0.9</v>
      </c>
      <c r="J54" s="1" t="s">
        <v>305</v>
      </c>
      <c r="K54" s="79">
        <v>3</v>
      </c>
      <c r="L54" s="2" t="s">
        <v>330</v>
      </c>
      <c r="M54" s="1">
        <v>2</v>
      </c>
      <c r="N54" s="1" t="s">
        <v>167</v>
      </c>
      <c r="P54" s="1">
        <v>2</v>
      </c>
      <c r="Q54" s="1">
        <v>2</v>
      </c>
      <c r="S54" s="1">
        <v>2</v>
      </c>
      <c r="T54" s="5">
        <v>400</v>
      </c>
      <c r="U54" s="24">
        <v>0.1</v>
      </c>
      <c r="V54" s="26">
        <f t="shared" si="4"/>
        <v>360</v>
      </c>
      <c r="W54" s="25">
        <f t="shared" si="5"/>
        <v>1440</v>
      </c>
    </row>
    <row r="55" spans="1:30" x14ac:dyDescent="0.3">
      <c r="A55" t="s">
        <v>326</v>
      </c>
      <c r="B55" t="s">
        <v>394</v>
      </c>
      <c r="C55" t="s">
        <v>405</v>
      </c>
      <c r="D55" t="s">
        <v>406</v>
      </c>
      <c r="E55" s="1" t="s">
        <v>413</v>
      </c>
      <c r="F55" s="1" t="s">
        <v>26</v>
      </c>
      <c r="G55" s="2192">
        <v>5</v>
      </c>
      <c r="H55" s="2186">
        <f>VLOOKUP(G55,Pesos!A:B,2,0)</f>
        <v>0.5</v>
      </c>
      <c r="I55" s="1" t="s">
        <v>305</v>
      </c>
      <c r="K55" s="1">
        <v>2</v>
      </c>
      <c r="L55" s="2" t="s">
        <v>203</v>
      </c>
      <c r="M55" s="1">
        <v>2</v>
      </c>
      <c r="N55" s="1" t="s">
        <v>24</v>
      </c>
      <c r="O55" s="1">
        <v>2</v>
      </c>
      <c r="S55" s="1">
        <v>1</v>
      </c>
      <c r="T55" s="5">
        <v>4200</v>
      </c>
      <c r="U55" s="24">
        <v>0.1</v>
      </c>
      <c r="V55" s="26">
        <f t="shared" si="4"/>
        <v>3780</v>
      </c>
      <c r="W55" s="25">
        <f t="shared" si="5"/>
        <v>7560</v>
      </c>
    </row>
    <row r="56" spans="1:30" x14ac:dyDescent="0.3">
      <c r="A56" t="s">
        <v>326</v>
      </c>
      <c r="B56" t="s">
        <v>394</v>
      </c>
      <c r="C56" t="s">
        <v>405</v>
      </c>
      <c r="D56" t="s">
        <v>406</v>
      </c>
      <c r="E56" s="1" t="s">
        <v>413</v>
      </c>
      <c r="F56" s="1" t="s">
        <v>414</v>
      </c>
      <c r="G56" s="2192">
        <v>3</v>
      </c>
      <c r="H56" s="2186">
        <f>VLOOKUP(G56,Pesos!A:B,2,0)</f>
        <v>0.7</v>
      </c>
      <c r="I56" s="1" t="s">
        <v>305</v>
      </c>
      <c r="K56" s="1">
        <v>5</v>
      </c>
      <c r="L56" s="2" t="s">
        <v>331</v>
      </c>
      <c r="M56" s="1">
        <v>6</v>
      </c>
      <c r="N56" s="1" t="s">
        <v>24</v>
      </c>
      <c r="O56" s="1">
        <v>6</v>
      </c>
      <c r="S56" s="1">
        <v>1</v>
      </c>
      <c r="T56" s="5">
        <v>550</v>
      </c>
      <c r="U56" s="24">
        <v>0.27</v>
      </c>
      <c r="V56" s="26">
        <f t="shared" si="4"/>
        <v>401.5</v>
      </c>
      <c r="W56" s="25">
        <f t="shared" si="5"/>
        <v>2409</v>
      </c>
    </row>
    <row r="60" spans="1:30" x14ac:dyDescent="0.3">
      <c r="G60" s="2175"/>
    </row>
    <row r="61" spans="1:30" x14ac:dyDescent="0.3">
      <c r="G61" s="2175"/>
    </row>
    <row r="62" spans="1:30" x14ac:dyDescent="0.3">
      <c r="G62" s="2175"/>
    </row>
    <row r="63" spans="1:30" x14ac:dyDescent="0.3">
      <c r="A63" s="47"/>
      <c r="D63" s="43" t="s">
        <v>1158</v>
      </c>
      <c r="E63" s="43" t="s">
        <v>1159</v>
      </c>
      <c r="F63" s="43" t="s">
        <v>1160</v>
      </c>
      <c r="G63" s="4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9"/>
      <c r="U63" s="29"/>
      <c r="V63" s="26"/>
      <c r="W63" s="26"/>
      <c r="AB63" s="1"/>
      <c r="AD63" s="1"/>
    </row>
    <row r="64" spans="1:30" x14ac:dyDescent="0.3">
      <c r="A64" s="47" t="s">
        <v>1161</v>
      </c>
      <c r="B64" s="2174"/>
      <c r="C64" s="2174"/>
      <c r="D64" s="2181">
        <f>E64*(1-10%)</f>
        <v>2921.183125</v>
      </c>
      <c r="E64" s="427">
        <f>'CAMPO GRANDE'!T53</f>
        <v>3245.7590277777776</v>
      </c>
      <c r="F64" s="427">
        <f>E64*(1+15%)</f>
        <v>3732.6228819444441</v>
      </c>
      <c r="G64" s="427"/>
    </row>
    <row r="65" spans="1:30" x14ac:dyDescent="0.3">
      <c r="A65" s="47" t="s">
        <v>1162</v>
      </c>
      <c r="B65" s="2174"/>
      <c r="C65" s="2174"/>
      <c r="D65" s="2181">
        <f>E65*(1-25%)</f>
        <v>1525.9049347826087</v>
      </c>
      <c r="E65" s="427">
        <f>'CAMPO GRANDE'!T84</f>
        <v>2034.5399130434782</v>
      </c>
      <c r="F65" s="427">
        <f>E65*(1+5%)</f>
        <v>2136.2669086956521</v>
      </c>
      <c r="G65" s="42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24"/>
      <c r="V65" s="26"/>
      <c r="W65" s="26"/>
      <c r="AB65" s="1"/>
      <c r="AD65" s="1"/>
    </row>
    <row r="66" spans="1:30" x14ac:dyDescent="0.3">
      <c r="A66" s="47" t="s">
        <v>550</v>
      </c>
      <c r="B66" s="2174"/>
      <c r="C66" s="2174"/>
      <c r="D66" s="2181">
        <f>E66*(1-15%)</f>
        <v>2705.919959016393</v>
      </c>
      <c r="E66" s="427">
        <f>'CAMPO GRANDE'!T120</f>
        <v>3183.4352459016391</v>
      </c>
      <c r="F66" s="427">
        <f>E66*(1+15%)</f>
        <v>3660.9505327868847</v>
      </c>
      <c r="G66" s="42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5"/>
      <c r="U66" s="24"/>
      <c r="V66" s="26"/>
      <c r="W66" s="26"/>
      <c r="AB66" s="1"/>
      <c r="AD66" s="1"/>
    </row>
    <row r="67" spans="1:30" x14ac:dyDescent="0.3">
      <c r="A67" s="47" t="s">
        <v>679</v>
      </c>
      <c r="B67" s="2174"/>
      <c r="C67" s="2174"/>
      <c r="D67" s="2181">
        <f>E67*(1-25%)</f>
        <v>1744.8838392857142</v>
      </c>
      <c r="E67" s="427">
        <f>'CAMPO GRANDE'!T153</f>
        <v>2326.5117857142855</v>
      </c>
      <c r="F67" s="427">
        <f>E67*(1+5%)</f>
        <v>2442.8373749999996</v>
      </c>
      <c r="G67" s="42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5"/>
      <c r="U67" s="24"/>
      <c r="V67" s="26"/>
      <c r="W67" s="26"/>
      <c r="AB67" s="1"/>
      <c r="AD67" s="1"/>
    </row>
    <row r="68" spans="1:30" x14ac:dyDescent="0.3">
      <c r="A68" s="47" t="s">
        <v>568</v>
      </c>
      <c r="B68" s="2174"/>
      <c r="C68" s="2174"/>
      <c r="D68" s="2181"/>
      <c r="E68" s="427">
        <f>'CAMPO GRANDE'!T190</f>
        <v>2973.6997142857144</v>
      </c>
      <c r="F68" s="427"/>
      <c r="G68" s="42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5"/>
      <c r="U68" s="24"/>
      <c r="V68" s="26"/>
      <c r="W68" s="26"/>
      <c r="AB68" s="1"/>
      <c r="AD68" s="1"/>
    </row>
    <row r="69" spans="1:30" x14ac:dyDescent="0.3">
      <c r="A69" s="47"/>
      <c r="B69" s="47"/>
      <c r="C69" s="47"/>
      <c r="D69" s="4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5"/>
      <c r="U69" s="24"/>
      <c r="V69" s="26"/>
      <c r="W69" s="26"/>
      <c r="AB69" s="1"/>
      <c r="AD69" s="1"/>
    </row>
    <row r="70" spans="1:30" x14ac:dyDescent="0.3">
      <c r="A70" s="47"/>
      <c r="B70" s="46"/>
      <c r="C70" s="46"/>
      <c r="D70" s="2314" t="s">
        <v>1163</v>
      </c>
      <c r="E70" s="2315"/>
      <c r="F70" s="2315"/>
      <c r="G70" s="231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5"/>
      <c r="U70" s="24"/>
      <c r="V70" s="26"/>
      <c r="W70" s="26"/>
      <c r="AB70" s="1"/>
      <c r="AD70" s="1"/>
    </row>
    <row r="71" spans="1:30" x14ac:dyDescent="0.3">
      <c r="A71" s="47" t="s">
        <v>1161</v>
      </c>
      <c r="B71" s="2175"/>
      <c r="C71" s="2175"/>
      <c r="D71" s="3">
        <v>0.98611111111111116</v>
      </c>
      <c r="E71" s="3">
        <v>1.3888888888888888E-2</v>
      </c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29"/>
      <c r="V71" s="26"/>
      <c r="W71" s="26"/>
      <c r="AB71" s="1"/>
      <c r="AD71" s="1"/>
    </row>
    <row r="72" spans="1:30" x14ac:dyDescent="0.3">
      <c r="A72" s="47" t="s">
        <v>1162</v>
      </c>
      <c r="B72" s="2175"/>
      <c r="C72" s="2175"/>
      <c r="D72" s="2175">
        <v>0.86956521739130432</v>
      </c>
      <c r="E72" s="304">
        <v>0.13043478260869565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29"/>
      <c r="V72" s="26"/>
      <c r="W72" s="26"/>
      <c r="AB72" s="1"/>
      <c r="AD72" s="1"/>
    </row>
    <row r="73" spans="1:30" x14ac:dyDescent="0.3">
      <c r="A73" s="47" t="s">
        <v>550</v>
      </c>
      <c r="B73" s="2175"/>
      <c r="C73" s="2175"/>
      <c r="D73" s="2175">
        <v>0.93442622950819676</v>
      </c>
      <c r="E73" s="304">
        <v>6.5573770491803282E-2</v>
      </c>
      <c r="F73" s="304"/>
      <c r="G73" s="30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29"/>
      <c r="V73" s="26"/>
      <c r="W73" s="26"/>
      <c r="AB73" s="1"/>
      <c r="AD73" s="1"/>
    </row>
    <row r="74" spans="1:30" x14ac:dyDescent="0.3">
      <c r="A74" s="47" t="s">
        <v>679</v>
      </c>
      <c r="B74" s="2175"/>
      <c r="C74" s="2175"/>
      <c r="D74" s="2175">
        <v>0.95238095238095233</v>
      </c>
      <c r="E74" s="304">
        <v>4.7619047619047616E-2</v>
      </c>
      <c r="F74" s="304"/>
      <c r="G74" s="304"/>
    </row>
    <row r="75" spans="1:30" x14ac:dyDescent="0.3">
      <c r="A75" s="47" t="s">
        <v>568</v>
      </c>
      <c r="B75" s="47"/>
      <c r="C75" s="47"/>
      <c r="D75" s="2175">
        <v>0.94285714285714284</v>
      </c>
      <c r="E75" s="3">
        <v>5.7142857142857141E-2</v>
      </c>
      <c r="F75" s="304"/>
    </row>
    <row r="76" spans="1:30" x14ac:dyDescent="0.3">
      <c r="A76" s="47"/>
      <c r="B76" s="47"/>
      <c r="C76" s="47"/>
      <c r="D76" s="48"/>
    </row>
    <row r="77" spans="1:30" x14ac:dyDescent="0.3">
      <c r="A77" s="47"/>
      <c r="B77" s="47"/>
      <c r="C77" s="47"/>
      <c r="D77" s="48"/>
    </row>
    <row r="78" spans="1:30" x14ac:dyDescent="0.3">
      <c r="A78" s="47"/>
      <c r="B78" s="47"/>
      <c r="C78" s="47"/>
      <c r="D78" s="48"/>
    </row>
    <row r="79" spans="1:30" x14ac:dyDescent="0.3">
      <c r="A79" s="47"/>
      <c r="B79" s="46"/>
      <c r="C79" s="46"/>
      <c r="D79" s="2314" t="s">
        <v>1164</v>
      </c>
      <c r="E79" s="2315"/>
      <c r="F79" s="2315"/>
      <c r="G79" s="2316"/>
    </row>
    <row r="80" spans="1:30" x14ac:dyDescent="0.3">
      <c r="A80" s="47" t="s">
        <v>1161</v>
      </c>
      <c r="B80" s="2175"/>
      <c r="C80" s="2175"/>
      <c r="D80" s="2175">
        <v>0.28991596638655465</v>
      </c>
      <c r="E80" s="304">
        <v>0.29411764705882354</v>
      </c>
      <c r="F80" s="304">
        <v>0.21008403361344538</v>
      </c>
      <c r="G80" s="304">
        <v>0.20588235294117646</v>
      </c>
    </row>
    <row r="81" spans="1:7" x14ac:dyDescent="0.3">
      <c r="A81" s="47" t="s">
        <v>1162</v>
      </c>
      <c r="B81" s="6"/>
      <c r="C81" s="6"/>
      <c r="D81" s="6">
        <v>0.23655913978494625</v>
      </c>
      <c r="E81" s="2175">
        <v>0.30376344086021506</v>
      </c>
      <c r="F81" s="2175">
        <v>0.25</v>
      </c>
      <c r="G81" s="2175">
        <v>0.20967741935483872</v>
      </c>
    </row>
    <row r="82" spans="1:7" x14ac:dyDescent="0.3">
      <c r="A82" s="47" t="s">
        <v>550</v>
      </c>
      <c r="B82" s="2175"/>
      <c r="C82" s="2175"/>
      <c r="D82" s="2175">
        <v>0.3503184713375796</v>
      </c>
      <c r="E82" s="2175">
        <v>0.37579617834394907</v>
      </c>
      <c r="F82" s="2175">
        <v>0.27388535031847133</v>
      </c>
      <c r="G82" s="2175"/>
    </row>
    <row r="83" spans="1:7" x14ac:dyDescent="0.3">
      <c r="A83" s="47" t="s">
        <v>679</v>
      </c>
      <c r="B83" s="2175"/>
      <c r="C83" s="2175"/>
      <c r="D83" s="6">
        <v>0.34513274336283184</v>
      </c>
      <c r="E83" s="2175">
        <v>0.36283185840707965</v>
      </c>
      <c r="F83" s="2175">
        <v>0.29203539823008851</v>
      </c>
      <c r="G83" s="2175"/>
    </row>
    <row r="84" spans="1:7" x14ac:dyDescent="0.3">
      <c r="A84" s="47" t="s">
        <v>568</v>
      </c>
      <c r="B84" s="47"/>
      <c r="C84" s="47"/>
      <c r="D84" s="6">
        <v>0.34831460674157305</v>
      </c>
      <c r="E84" s="2175">
        <v>0.3707865168539326</v>
      </c>
      <c r="F84" s="2175">
        <v>0.2808988764044944</v>
      </c>
      <c r="G84" s="217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207"/>
  <sheetViews>
    <sheetView workbookViewId="0"/>
  </sheetViews>
  <sheetFormatPr defaultRowHeight="14.4" x14ac:dyDescent="0.3"/>
  <sheetData>
    <row r="1" spans="1:20" ht="21" x14ac:dyDescent="0.4">
      <c r="A1" s="92" t="s">
        <v>1195</v>
      </c>
    </row>
    <row r="2" spans="1:20" x14ac:dyDescent="0.3">
      <c r="A2" t="s">
        <v>452</v>
      </c>
    </row>
    <row r="3" spans="1:20" x14ac:dyDescent="0.3">
      <c r="B3" s="95"/>
    </row>
    <row r="4" spans="1:20" x14ac:dyDescent="0.3">
      <c r="B4" s="95"/>
    </row>
    <row r="5" spans="1:20" x14ac:dyDescent="0.3">
      <c r="B5" s="96"/>
      <c r="C5" s="603"/>
      <c r="F5" s="98"/>
      <c r="G5" s="98"/>
      <c r="H5" s="98"/>
      <c r="I5" s="99"/>
    </row>
    <row r="6" spans="1:20" x14ac:dyDescent="0.3">
      <c r="A6" s="100" t="s">
        <v>896</v>
      </c>
      <c r="B6" s="101">
        <v>1848509.4</v>
      </c>
      <c r="C6" s="102"/>
      <c r="F6" s="98"/>
      <c r="G6" s="98"/>
      <c r="H6" s="98"/>
      <c r="I6" s="99"/>
      <c r="T6" s="99"/>
    </row>
    <row r="7" spans="1:20" x14ac:dyDescent="0.3">
      <c r="A7" s="100" t="s">
        <v>897</v>
      </c>
      <c r="B7" s="101">
        <v>2406925.54</v>
      </c>
      <c r="C7" s="97"/>
      <c r="F7" s="98"/>
      <c r="G7" s="98"/>
      <c r="H7" s="98"/>
      <c r="I7" s="99"/>
    </row>
    <row r="8" spans="1:20" x14ac:dyDescent="0.3">
      <c r="C8" s="97"/>
      <c r="F8" s="98"/>
      <c r="G8" s="98"/>
      <c r="H8" s="98"/>
      <c r="I8" s="99"/>
    </row>
    <row r="9" spans="1:20" x14ac:dyDescent="0.3">
      <c r="A9" s="103" t="s">
        <v>898</v>
      </c>
      <c r="B9" s="104">
        <v>3740563.8</v>
      </c>
      <c r="C9" s="105"/>
      <c r="F9" s="98"/>
      <c r="G9" s="98"/>
      <c r="H9" s="98"/>
      <c r="I9" s="99"/>
    </row>
    <row r="10" spans="1:20" x14ac:dyDescent="0.3">
      <c r="A10" s="100" t="s">
        <v>899</v>
      </c>
      <c r="B10" s="101">
        <v>5124060</v>
      </c>
      <c r="C10" s="3"/>
      <c r="F10" s="98"/>
      <c r="G10" s="98"/>
      <c r="H10" s="98"/>
      <c r="I10" s="99"/>
    </row>
    <row r="11" spans="1:20" x14ac:dyDescent="0.3">
      <c r="D11" s="449"/>
      <c r="E11" s="450"/>
      <c r="F11" s="98"/>
      <c r="G11" s="98"/>
      <c r="H11" s="98"/>
      <c r="I11" s="99"/>
    </row>
    <row r="12" spans="1:20" x14ac:dyDescent="0.3">
      <c r="F12" s="98"/>
      <c r="G12" s="98"/>
      <c r="H12" s="98"/>
      <c r="I12" s="99"/>
    </row>
    <row r="13" spans="1:20" x14ac:dyDescent="0.3">
      <c r="A13" s="4" t="s">
        <v>457</v>
      </c>
      <c r="F13" s="98"/>
      <c r="G13" s="98"/>
      <c r="H13" s="98"/>
      <c r="I13" s="99"/>
    </row>
    <row r="14" spans="1:20" x14ac:dyDescent="0.3">
      <c r="A14" s="106" t="s">
        <v>458</v>
      </c>
      <c r="B14" s="106"/>
      <c r="C14" s="106" t="s">
        <v>459</v>
      </c>
      <c r="D14" s="106" t="s">
        <v>460</v>
      </c>
      <c r="E14" s="106" t="s">
        <v>461</v>
      </c>
      <c r="F14" s="98"/>
      <c r="G14" s="98"/>
      <c r="H14" s="98"/>
      <c r="I14" s="99"/>
    </row>
    <row r="15" spans="1:20" x14ac:dyDescent="0.3">
      <c r="A15" s="107" t="s">
        <v>606</v>
      </c>
      <c r="B15" s="108" t="s">
        <v>463</v>
      </c>
      <c r="C15" s="109">
        <v>0.42</v>
      </c>
      <c r="D15" s="110">
        <v>1571036.7959999999</v>
      </c>
      <c r="E15" s="110">
        <v>523678.93199999997</v>
      </c>
      <c r="F15" s="98"/>
      <c r="G15" s="98"/>
      <c r="H15" s="98"/>
      <c r="I15" s="99"/>
    </row>
    <row r="16" spans="1:20" x14ac:dyDescent="0.3">
      <c r="A16" s="107" t="s">
        <v>607</v>
      </c>
      <c r="B16" s="108" t="s">
        <v>465</v>
      </c>
      <c r="C16" s="109">
        <v>0.41</v>
      </c>
      <c r="D16" s="110">
        <v>1533631.1579999998</v>
      </c>
      <c r="E16" s="110">
        <v>383407.78949999996</v>
      </c>
      <c r="F16" s="98"/>
      <c r="G16" s="98"/>
      <c r="H16" s="98"/>
      <c r="I16" s="99"/>
    </row>
    <row r="17" spans="1:35" x14ac:dyDescent="0.3">
      <c r="A17" s="107" t="s">
        <v>608</v>
      </c>
      <c r="B17" s="108">
        <v>3</v>
      </c>
      <c r="C17" s="109">
        <v>0.17</v>
      </c>
      <c r="D17" s="110">
        <v>635895.84600000002</v>
      </c>
      <c r="E17" s="110">
        <v>158973.9615</v>
      </c>
      <c r="F17" s="98"/>
      <c r="G17" s="98"/>
      <c r="H17" s="98"/>
      <c r="I17" s="99"/>
    </row>
    <row r="18" spans="1:35" x14ac:dyDescent="0.3">
      <c r="B18" s="1" t="s">
        <v>467</v>
      </c>
      <c r="C18" s="3">
        <v>1</v>
      </c>
      <c r="D18" s="112">
        <v>3740563.8</v>
      </c>
      <c r="F18" s="98"/>
      <c r="G18" s="98"/>
      <c r="H18" s="98"/>
      <c r="I18" s="99"/>
    </row>
    <row r="19" spans="1:35" x14ac:dyDescent="0.3">
      <c r="F19" s="98"/>
      <c r="G19" s="98"/>
      <c r="H19" s="98"/>
      <c r="I19" s="99"/>
    </row>
    <row r="20" spans="1:35" x14ac:dyDescent="0.3">
      <c r="F20" s="98"/>
      <c r="G20" s="98"/>
      <c r="H20" s="98"/>
      <c r="I20" s="99"/>
    </row>
    <row r="21" spans="1:35" x14ac:dyDescent="0.3">
      <c r="A21" s="100" t="s">
        <v>769</v>
      </c>
      <c r="B21" s="769">
        <v>1437366</v>
      </c>
      <c r="Q21" s="115"/>
    </row>
    <row r="22" spans="1:35" x14ac:dyDescent="0.3">
      <c r="A22" s="714" t="s">
        <v>579</v>
      </c>
      <c r="B22" s="770">
        <v>799125</v>
      </c>
      <c r="E22" s="1" t="s">
        <v>470</v>
      </c>
      <c r="F22" s="2" t="s">
        <v>845</v>
      </c>
      <c r="H22" s="1" t="s">
        <v>472</v>
      </c>
      <c r="J22" s="304">
        <v>0.56000000000000005</v>
      </c>
      <c r="K22" s="304"/>
      <c r="L22" s="304"/>
    </row>
    <row r="23" spans="1:35" x14ac:dyDescent="0.3">
      <c r="E23" s="1" t="s">
        <v>473</v>
      </c>
      <c r="F23" s="2" t="s">
        <v>667</v>
      </c>
      <c r="H23" s="1" t="s">
        <v>473</v>
      </c>
      <c r="J23" s="1">
        <v>24</v>
      </c>
      <c r="K23" s="1"/>
      <c r="L23" s="1"/>
    </row>
    <row r="24" spans="1:35" x14ac:dyDescent="0.3">
      <c r="E24" s="1" t="s">
        <v>475</v>
      </c>
      <c r="F24" s="2" t="s">
        <v>900</v>
      </c>
      <c r="H24" s="1" t="s">
        <v>475</v>
      </c>
      <c r="J24" s="95">
        <v>1356</v>
      </c>
      <c r="K24" s="95"/>
      <c r="L24" s="95"/>
      <c r="P24" s="115"/>
    </row>
    <row r="25" spans="1:35" x14ac:dyDescent="0.3">
      <c r="E25" s="1" t="s">
        <v>477</v>
      </c>
      <c r="F25" s="2" t="s">
        <v>889</v>
      </c>
      <c r="H25" s="1" t="s">
        <v>477</v>
      </c>
      <c r="J25" s="95">
        <v>10834646</v>
      </c>
      <c r="K25" s="95"/>
      <c r="L25" s="95"/>
      <c r="O25" s="98"/>
      <c r="S25" s="116"/>
    </row>
    <row r="26" spans="1:35" ht="18" x14ac:dyDescent="0.35">
      <c r="A26" s="1037" t="s">
        <v>479</v>
      </c>
      <c r="O26" s="98"/>
      <c r="P26" s="117"/>
    </row>
    <row r="27" spans="1:35" x14ac:dyDescent="0.3">
      <c r="O27" s="119"/>
      <c r="R27" s="98"/>
    </row>
    <row r="28" spans="1:35" x14ac:dyDescent="0.3">
      <c r="A28" s="2587" t="s">
        <v>480</v>
      </c>
      <c r="B28" s="2588"/>
      <c r="C28" s="2588"/>
      <c r="D28" s="2588"/>
      <c r="E28" s="2588"/>
      <c r="F28" s="2588"/>
      <c r="G28" s="2588"/>
      <c r="H28" s="2588"/>
      <c r="I28" s="2588"/>
      <c r="J28" s="2588"/>
      <c r="K28" s="2588"/>
      <c r="L28" s="2588"/>
      <c r="M28" s="2588"/>
      <c r="N28" s="2588"/>
      <c r="O28" s="2588"/>
      <c r="P28" s="2588"/>
      <c r="Q28" s="2588"/>
      <c r="R28" s="2589"/>
      <c r="S28" s="2563" t="s">
        <v>584</v>
      </c>
      <c r="T28" s="2564"/>
      <c r="U28" s="2564"/>
      <c r="V28" s="2564"/>
      <c r="W28" s="2564"/>
      <c r="X28" s="2564"/>
      <c r="Y28" s="2564"/>
      <c r="Z28" s="2564"/>
      <c r="AA28" s="2564"/>
      <c r="AB28" s="2564"/>
      <c r="AC28" s="2564"/>
      <c r="AD28" s="2564"/>
      <c r="AE28" s="2564"/>
      <c r="AF28" s="2564"/>
      <c r="AG28" s="2564"/>
      <c r="AH28" s="2564"/>
      <c r="AI28" s="2576"/>
    </row>
    <row r="29" spans="1:35" ht="90" x14ac:dyDescent="0.3">
      <c r="A29" s="2619" t="s">
        <v>482</v>
      </c>
      <c r="B29" s="2621" t="s">
        <v>483</v>
      </c>
      <c r="C29" s="2621" t="s">
        <v>484</v>
      </c>
      <c r="D29" s="2621" t="s">
        <v>485</v>
      </c>
      <c r="E29" s="2621" t="s">
        <v>486</v>
      </c>
      <c r="F29" s="2621" t="s">
        <v>487</v>
      </c>
      <c r="G29" s="2617" t="s">
        <v>488</v>
      </c>
      <c r="H29" s="2623" t="s">
        <v>489</v>
      </c>
      <c r="I29" s="2610" t="s">
        <v>490</v>
      </c>
      <c r="J29" s="2611"/>
      <c r="K29" s="2611"/>
      <c r="L29" s="2612"/>
      <c r="M29" s="2613" t="s">
        <v>863</v>
      </c>
      <c r="N29" s="2615" t="s">
        <v>864</v>
      </c>
      <c r="O29" s="2617" t="s">
        <v>865</v>
      </c>
      <c r="P29" s="2615" t="s">
        <v>866</v>
      </c>
      <c r="Q29" s="2615" t="s">
        <v>867</v>
      </c>
      <c r="R29" s="1086" t="s">
        <v>495</v>
      </c>
      <c r="S29" s="1052" t="s">
        <v>496</v>
      </c>
      <c r="T29" s="2581" t="s">
        <v>497</v>
      </c>
      <c r="U29" s="2581"/>
      <c r="V29" s="2581"/>
      <c r="W29" s="2581"/>
      <c r="X29" s="2581"/>
      <c r="Y29" s="2582" t="s">
        <v>498</v>
      </c>
      <c r="Z29" s="2583"/>
      <c r="AA29" s="2607"/>
      <c r="AB29" s="2607"/>
      <c r="AC29" s="2607"/>
      <c r="AD29" s="2607"/>
      <c r="AE29" s="2607"/>
      <c r="AF29" s="2607"/>
      <c r="AG29" s="2607"/>
      <c r="AH29" s="2607"/>
      <c r="AI29" s="2609"/>
    </row>
    <row r="30" spans="1:35" ht="18" x14ac:dyDescent="0.3">
      <c r="A30" s="2620"/>
      <c r="B30" s="2622"/>
      <c r="C30" s="2622"/>
      <c r="D30" s="2622"/>
      <c r="E30" s="2622"/>
      <c r="F30" s="2622"/>
      <c r="G30" s="2618"/>
      <c r="H30" s="2624"/>
      <c r="I30" s="1087" t="s">
        <v>500</v>
      </c>
      <c r="J30" s="1087" t="s">
        <v>501</v>
      </c>
      <c r="K30" s="1088" t="s">
        <v>502</v>
      </c>
      <c r="L30" s="1088" t="s">
        <v>503</v>
      </c>
      <c r="M30" s="2614"/>
      <c r="N30" s="2616"/>
      <c r="O30" s="2618"/>
      <c r="P30" s="2616"/>
      <c r="Q30" s="2616"/>
      <c r="R30" s="1089"/>
      <c r="S30" s="1089" t="s">
        <v>508</v>
      </c>
      <c r="T30" s="2585"/>
      <c r="U30" s="2585"/>
      <c r="V30" s="2585"/>
      <c r="W30" s="2585"/>
      <c r="X30" s="2585"/>
      <c r="Y30" s="2584"/>
      <c r="Z30" s="2586"/>
      <c r="AA30" s="2585"/>
      <c r="AB30" s="2585"/>
      <c r="AC30" s="2585"/>
      <c r="AD30" s="2585"/>
      <c r="AE30" s="2585"/>
      <c r="AF30" s="2585"/>
      <c r="AG30" s="2585"/>
      <c r="AH30" s="2585"/>
      <c r="AI30" s="2586"/>
    </row>
    <row r="31" spans="1:35" ht="18" x14ac:dyDescent="0.35">
      <c r="A31" s="2625" t="s">
        <v>509</v>
      </c>
      <c r="B31" s="2626"/>
      <c r="C31" s="2626"/>
      <c r="D31" s="2626"/>
      <c r="E31" s="2626"/>
      <c r="F31" s="2626"/>
      <c r="G31" s="2626"/>
      <c r="H31" s="2626"/>
      <c r="I31" s="2626"/>
      <c r="J31" s="2626"/>
      <c r="K31" s="2626"/>
      <c r="L31" s="2626"/>
      <c r="M31" s="2626"/>
      <c r="N31" s="2626"/>
      <c r="O31" s="2626"/>
      <c r="P31" s="2626"/>
      <c r="Q31" s="2626"/>
      <c r="R31" s="1039"/>
      <c r="S31" s="1090"/>
      <c r="T31" s="1040" t="s">
        <v>510</v>
      </c>
      <c r="U31" s="1041" t="s">
        <v>11</v>
      </c>
      <c r="V31" s="1041" t="s">
        <v>511</v>
      </c>
      <c r="W31" s="1041" t="s">
        <v>512</v>
      </c>
      <c r="X31" s="1045" t="s">
        <v>513</v>
      </c>
      <c r="Y31" s="1042" t="s">
        <v>514</v>
      </c>
      <c r="Z31" s="1045" t="s">
        <v>515</v>
      </c>
      <c r="AA31" s="1040" t="s">
        <v>5</v>
      </c>
      <c r="AB31" s="1041" t="s">
        <v>12</v>
      </c>
      <c r="AC31" s="1053" t="s">
        <v>174</v>
      </c>
      <c r="AD31" s="1044" t="s">
        <v>175</v>
      </c>
      <c r="AE31" s="1044" t="s">
        <v>176</v>
      </c>
      <c r="AF31" s="1044" t="s">
        <v>177</v>
      </c>
      <c r="AG31" s="1044" t="s">
        <v>156</v>
      </c>
      <c r="AH31" s="1044" t="s">
        <v>178</v>
      </c>
      <c r="AI31" s="1045" t="s">
        <v>139</v>
      </c>
    </row>
    <row r="32" spans="1:35" x14ac:dyDescent="0.3">
      <c r="A32" s="154"/>
      <c r="B32" s="462"/>
      <c r="C32" s="462"/>
      <c r="D32" s="462"/>
      <c r="E32" s="462"/>
      <c r="F32" s="463"/>
      <c r="G32" s="462"/>
      <c r="H32" s="462"/>
      <c r="I32" s="464"/>
      <c r="J32" s="465"/>
      <c r="K32" s="465"/>
      <c r="L32" s="466"/>
      <c r="M32" s="467"/>
      <c r="N32" s="468"/>
      <c r="O32" s="469"/>
      <c r="P32" s="468"/>
      <c r="Q32" s="468"/>
      <c r="R32" s="501"/>
      <c r="S32" s="149"/>
      <c r="T32" s="280"/>
      <c r="X32" s="152"/>
      <c r="Y32" s="280"/>
      <c r="Z32" s="152"/>
      <c r="AA32" s="280"/>
      <c r="AB32" s="172"/>
      <c r="AC32" s="172"/>
      <c r="AD32" s="172"/>
      <c r="AE32" s="172"/>
      <c r="AF32" s="172"/>
      <c r="AG32" s="172"/>
      <c r="AH32" s="172"/>
      <c r="AI32" s="152"/>
    </row>
    <row r="33" spans="1:35" x14ac:dyDescent="0.3">
      <c r="A33" s="157"/>
      <c r="B33" s="157"/>
      <c r="C33" s="157"/>
      <c r="D33" s="157"/>
      <c r="E33" s="157"/>
      <c r="F33" s="158"/>
      <c r="G33" s="157"/>
      <c r="H33" s="157"/>
      <c r="I33" s="188"/>
      <c r="L33" s="286"/>
      <c r="M33" s="163"/>
      <c r="N33" s="164"/>
      <c r="O33" s="165"/>
      <c r="P33" s="164"/>
      <c r="Q33" s="164"/>
      <c r="R33" s="1046"/>
      <c r="S33" s="478"/>
      <c r="T33" s="282"/>
      <c r="U33" s="169"/>
      <c r="V33" s="169"/>
      <c r="W33" s="169"/>
      <c r="X33" s="171"/>
      <c r="Y33" s="282"/>
      <c r="Z33" s="171"/>
      <c r="AA33" s="280"/>
      <c r="AB33" s="172"/>
      <c r="AC33" s="172"/>
      <c r="AD33" s="172"/>
      <c r="AE33" s="172"/>
      <c r="AF33" s="172"/>
      <c r="AG33" s="172"/>
      <c r="AH33" s="172"/>
      <c r="AI33" s="152"/>
    </row>
    <row r="34" spans="1:35" x14ac:dyDescent="0.3">
      <c r="A34" s="157" t="s">
        <v>901</v>
      </c>
      <c r="B34" s="157" t="s">
        <v>108</v>
      </c>
      <c r="C34" s="157" t="s">
        <v>884</v>
      </c>
      <c r="D34" s="157" t="s">
        <v>21</v>
      </c>
      <c r="E34" s="157" t="s">
        <v>518</v>
      </c>
      <c r="F34" s="158" t="s">
        <v>902</v>
      </c>
      <c r="G34" s="157">
        <v>1</v>
      </c>
      <c r="H34" s="157" t="s">
        <v>63</v>
      </c>
      <c r="I34" s="188"/>
      <c r="J34" s="161">
        <v>1</v>
      </c>
      <c r="K34" s="161"/>
      <c r="L34" s="286"/>
      <c r="M34" s="163">
        <v>1</v>
      </c>
      <c r="N34" s="166">
        <v>7200</v>
      </c>
      <c r="O34" s="173">
        <v>0.35</v>
      </c>
      <c r="P34" s="166">
        <f>N34*(1-O34)</f>
        <v>4680</v>
      </c>
      <c r="Q34" s="166">
        <f t="shared" ref="Q34:Q45" si="0">P34*M34*G34</f>
        <v>4680</v>
      </c>
      <c r="R34" s="167">
        <f t="shared" ref="R34:R45" si="1">Q34/$Q$51</f>
        <v>8.976841475309371E-3</v>
      </c>
      <c r="S34" s="168">
        <f t="shared" ref="S34:S45" si="2">Q34*2</f>
        <v>9360</v>
      </c>
      <c r="T34" s="282">
        <f t="shared" ref="T34:T44" si="3">S34</f>
        <v>9360</v>
      </c>
      <c r="U34" s="169"/>
      <c r="X34" s="152"/>
      <c r="Y34" s="282"/>
      <c r="Z34" s="171">
        <f>S34</f>
        <v>9360</v>
      </c>
      <c r="AA34" s="282">
        <f>S34</f>
        <v>9360</v>
      </c>
      <c r="AB34" s="174"/>
      <c r="AC34" s="174"/>
      <c r="AD34" s="174"/>
      <c r="AE34" s="172"/>
      <c r="AF34" s="172"/>
      <c r="AG34" s="172"/>
      <c r="AH34" s="172"/>
      <c r="AI34" s="152"/>
    </row>
    <row r="35" spans="1:35" x14ac:dyDescent="0.3">
      <c r="A35" s="157" t="s">
        <v>901</v>
      </c>
      <c r="B35" s="157" t="s">
        <v>23</v>
      </c>
      <c r="C35" s="157" t="s">
        <v>884</v>
      </c>
      <c r="D35" s="157" t="s">
        <v>21</v>
      </c>
      <c r="E35" s="157" t="s">
        <v>518</v>
      </c>
      <c r="F35" s="158" t="s">
        <v>902</v>
      </c>
      <c r="G35" s="157">
        <v>1</v>
      </c>
      <c r="H35" s="157" t="s">
        <v>24</v>
      </c>
      <c r="I35" s="159">
        <v>1</v>
      </c>
      <c r="J35" s="161"/>
      <c r="K35" s="161"/>
      <c r="L35" s="2209"/>
      <c r="M35" s="163">
        <v>1</v>
      </c>
      <c r="N35" s="166">
        <v>27025</v>
      </c>
      <c r="O35" s="173">
        <v>0.3</v>
      </c>
      <c r="P35" s="166">
        <f t="shared" ref="P35:P45" si="4">N35*(1-O35)</f>
        <v>18917.5</v>
      </c>
      <c r="Q35" s="166">
        <f t="shared" si="0"/>
        <v>18917.5</v>
      </c>
      <c r="R35" s="167">
        <f t="shared" si="1"/>
        <v>3.6286196284009614E-2</v>
      </c>
      <c r="S35" s="168">
        <f t="shared" si="2"/>
        <v>37835</v>
      </c>
      <c r="T35" s="282">
        <f t="shared" si="3"/>
        <v>37835</v>
      </c>
      <c r="U35" s="169"/>
      <c r="X35" s="152"/>
      <c r="Y35" s="282"/>
      <c r="Z35" s="171">
        <f>S35</f>
        <v>37835</v>
      </c>
      <c r="AA35" s="280"/>
      <c r="AB35" s="174">
        <f>S35</f>
        <v>37835</v>
      </c>
      <c r="AC35" s="174"/>
      <c r="AD35" s="174"/>
      <c r="AE35" s="172"/>
      <c r="AF35" s="172"/>
      <c r="AG35" s="172"/>
      <c r="AH35" s="172"/>
      <c r="AI35" s="152"/>
    </row>
    <row r="36" spans="1:35" x14ac:dyDescent="0.3">
      <c r="A36" s="157" t="s">
        <v>901</v>
      </c>
      <c r="B36" s="157" t="s">
        <v>419</v>
      </c>
      <c r="C36" s="157" t="s">
        <v>883</v>
      </c>
      <c r="D36" s="157" t="s">
        <v>166</v>
      </c>
      <c r="E36" s="157" t="s">
        <v>520</v>
      </c>
      <c r="F36" s="158" t="s">
        <v>522</v>
      </c>
      <c r="G36" s="157">
        <v>20</v>
      </c>
      <c r="H36" s="157" t="s">
        <v>63</v>
      </c>
      <c r="I36" s="159">
        <v>20</v>
      </c>
      <c r="J36" s="161"/>
      <c r="L36" s="286"/>
      <c r="M36" s="163">
        <v>1</v>
      </c>
      <c r="N36" s="166">
        <v>3247</v>
      </c>
      <c r="O36" s="173">
        <v>0.2</v>
      </c>
      <c r="P36" s="166">
        <f t="shared" si="4"/>
        <v>2597.6000000000004</v>
      </c>
      <c r="Q36" s="166">
        <f t="shared" si="0"/>
        <v>51952.000000000007</v>
      </c>
      <c r="R36" s="178">
        <f t="shared" si="1"/>
        <v>9.9650612890015478E-2</v>
      </c>
      <c r="S36" s="168">
        <f t="shared" si="2"/>
        <v>103904.00000000001</v>
      </c>
      <c r="T36" s="282">
        <f t="shared" si="3"/>
        <v>103904.00000000001</v>
      </c>
      <c r="X36" s="152"/>
      <c r="Y36" s="282">
        <f>S36</f>
        <v>103904.00000000001</v>
      </c>
      <c r="Z36" s="171"/>
      <c r="AA36" s="280"/>
      <c r="AB36" s="172"/>
      <c r="AC36" s="174">
        <f>T36</f>
        <v>103904.00000000001</v>
      </c>
      <c r="AD36" s="172"/>
      <c r="AE36" s="172"/>
      <c r="AF36" s="172"/>
      <c r="AG36" s="172"/>
      <c r="AH36" s="172"/>
      <c r="AI36" s="152"/>
    </row>
    <row r="37" spans="1:35" x14ac:dyDescent="0.3">
      <c r="A37" s="157" t="s">
        <v>901</v>
      </c>
      <c r="B37" s="157" t="s">
        <v>419</v>
      </c>
      <c r="C37" s="157" t="s">
        <v>884</v>
      </c>
      <c r="D37" s="157" t="s">
        <v>26</v>
      </c>
      <c r="E37" s="157" t="s">
        <v>520</v>
      </c>
      <c r="F37" s="158" t="s">
        <v>903</v>
      </c>
      <c r="G37" s="157">
        <v>3</v>
      </c>
      <c r="H37" s="157" t="s">
        <v>24</v>
      </c>
      <c r="I37" s="175">
        <v>3</v>
      </c>
      <c r="J37" s="176"/>
      <c r="K37" s="176"/>
      <c r="L37" s="177"/>
      <c r="M37" s="163">
        <v>1</v>
      </c>
      <c r="N37" s="166">
        <v>13000</v>
      </c>
      <c r="O37" s="173">
        <v>0.2</v>
      </c>
      <c r="P37" s="166">
        <f t="shared" si="4"/>
        <v>10400</v>
      </c>
      <c r="Q37" s="166">
        <f t="shared" si="0"/>
        <v>31200</v>
      </c>
      <c r="R37" s="178">
        <f t="shared" si="1"/>
        <v>5.9845609835395802E-2</v>
      </c>
      <c r="S37" s="168">
        <f t="shared" si="2"/>
        <v>62400</v>
      </c>
      <c r="T37" s="282">
        <f t="shared" si="3"/>
        <v>62400</v>
      </c>
      <c r="V37" s="169"/>
      <c r="X37" s="152"/>
      <c r="Y37" s="283">
        <f>S37</f>
        <v>62400</v>
      </c>
      <c r="Z37" s="171"/>
      <c r="AA37" s="280"/>
      <c r="AB37" s="174"/>
      <c r="AC37" s="174">
        <f>T37</f>
        <v>62400</v>
      </c>
      <c r="AD37" s="174"/>
      <c r="AE37" s="172"/>
      <c r="AF37" s="172"/>
      <c r="AG37" s="172"/>
      <c r="AH37" s="172"/>
      <c r="AI37" s="152"/>
    </row>
    <row r="38" spans="1:35" x14ac:dyDescent="0.3">
      <c r="A38" s="157" t="s">
        <v>901</v>
      </c>
      <c r="B38" s="157" t="s">
        <v>419</v>
      </c>
      <c r="C38" s="157" t="s">
        <v>884</v>
      </c>
      <c r="D38" s="157" t="s">
        <v>21</v>
      </c>
      <c r="E38" s="157" t="s">
        <v>518</v>
      </c>
      <c r="F38" s="158" t="s">
        <v>902</v>
      </c>
      <c r="G38" s="157">
        <v>4</v>
      </c>
      <c r="H38" s="157" t="s">
        <v>24</v>
      </c>
      <c r="I38" s="159">
        <v>4</v>
      </c>
      <c r="J38" s="161"/>
      <c r="K38" s="161"/>
      <c r="L38" s="2209"/>
      <c r="M38" s="163">
        <v>1</v>
      </c>
      <c r="N38" s="166">
        <v>14950</v>
      </c>
      <c r="O38" s="173">
        <v>0.2</v>
      </c>
      <c r="P38" s="166">
        <f t="shared" si="4"/>
        <v>11960</v>
      </c>
      <c r="Q38" s="166">
        <f t="shared" si="0"/>
        <v>47840</v>
      </c>
      <c r="R38" s="167">
        <f t="shared" si="1"/>
        <v>9.1763268414273555E-2</v>
      </c>
      <c r="S38" s="168">
        <f t="shared" si="2"/>
        <v>95680</v>
      </c>
      <c r="T38" s="282">
        <f t="shared" si="3"/>
        <v>95680</v>
      </c>
      <c r="X38" s="152"/>
      <c r="Y38" s="282"/>
      <c r="Z38" s="171">
        <f>S38</f>
        <v>95680</v>
      </c>
      <c r="AA38" s="280"/>
      <c r="AB38" s="174"/>
      <c r="AC38" s="174">
        <f>T38</f>
        <v>95680</v>
      </c>
      <c r="AD38" s="174"/>
      <c r="AE38" s="172"/>
      <c r="AF38" s="172"/>
      <c r="AG38" s="172"/>
      <c r="AH38" s="172"/>
      <c r="AI38" s="152"/>
    </row>
    <row r="39" spans="1:35" x14ac:dyDescent="0.3">
      <c r="A39" s="157" t="s">
        <v>901</v>
      </c>
      <c r="B39" s="157" t="s">
        <v>419</v>
      </c>
      <c r="C39" s="157" t="s">
        <v>884</v>
      </c>
      <c r="D39" s="157" t="s">
        <v>29</v>
      </c>
      <c r="E39" s="157" t="s">
        <v>520</v>
      </c>
      <c r="F39" s="158" t="s">
        <v>551</v>
      </c>
      <c r="G39" s="157">
        <v>2</v>
      </c>
      <c r="H39" s="157" t="s">
        <v>24</v>
      </c>
      <c r="I39" s="182">
        <v>2</v>
      </c>
      <c r="J39" s="183"/>
      <c r="K39" s="183"/>
      <c r="L39" s="2239"/>
      <c r="M39" s="163">
        <v>1</v>
      </c>
      <c r="N39" s="166">
        <v>39600</v>
      </c>
      <c r="O39" s="173">
        <v>0.2</v>
      </c>
      <c r="P39" s="166">
        <f t="shared" si="4"/>
        <v>31680</v>
      </c>
      <c r="Q39" s="166">
        <f t="shared" si="0"/>
        <v>63360</v>
      </c>
      <c r="R39" s="178">
        <f t="shared" si="1"/>
        <v>0.12153262305034224</v>
      </c>
      <c r="S39" s="168">
        <f t="shared" si="2"/>
        <v>126720</v>
      </c>
      <c r="T39" s="282">
        <f t="shared" si="3"/>
        <v>126720</v>
      </c>
      <c r="X39" s="152"/>
      <c r="Y39" s="282">
        <f>S39</f>
        <v>126720</v>
      </c>
      <c r="Z39" s="171"/>
      <c r="AA39" s="280"/>
      <c r="AB39" s="174"/>
      <c r="AC39" s="174">
        <f>T39</f>
        <v>126720</v>
      </c>
      <c r="AD39" s="174"/>
      <c r="AE39" s="172"/>
      <c r="AF39" s="172"/>
      <c r="AG39" s="172"/>
      <c r="AH39" s="172"/>
      <c r="AI39" s="152"/>
    </row>
    <row r="40" spans="1:35" x14ac:dyDescent="0.3">
      <c r="A40" s="157" t="s">
        <v>901</v>
      </c>
      <c r="B40" s="157" t="s">
        <v>420</v>
      </c>
      <c r="C40" s="157" t="s">
        <v>883</v>
      </c>
      <c r="D40" s="157" t="s">
        <v>166</v>
      </c>
      <c r="E40" s="157" t="s">
        <v>524</v>
      </c>
      <c r="F40" s="158" t="s">
        <v>522</v>
      </c>
      <c r="G40" s="157">
        <v>20</v>
      </c>
      <c r="H40" s="157" t="s">
        <v>63</v>
      </c>
      <c r="K40" s="773">
        <v>20</v>
      </c>
      <c r="L40" s="177"/>
      <c r="M40" s="163">
        <v>1</v>
      </c>
      <c r="N40" s="166">
        <v>3750</v>
      </c>
      <c r="O40" s="173">
        <v>0.2</v>
      </c>
      <c r="P40" s="166">
        <f t="shared" si="4"/>
        <v>3000</v>
      </c>
      <c r="Q40" s="166">
        <f t="shared" si="0"/>
        <v>60000</v>
      </c>
      <c r="R40" s="184">
        <f t="shared" si="1"/>
        <v>0.115087711221915</v>
      </c>
      <c r="S40" s="168">
        <f t="shared" si="2"/>
        <v>120000</v>
      </c>
      <c r="T40" s="282">
        <f t="shared" si="3"/>
        <v>120000</v>
      </c>
      <c r="X40" s="152"/>
      <c r="Y40" s="282">
        <f t="shared" ref="Y40:Y45" si="5">S40</f>
        <v>120000</v>
      </c>
      <c r="Z40" s="171"/>
      <c r="AA40" s="280"/>
      <c r="AB40" s="172"/>
      <c r="AC40" s="174"/>
      <c r="AD40" s="174">
        <f>S40</f>
        <v>120000</v>
      </c>
      <c r="AE40" s="172"/>
      <c r="AF40" s="172"/>
      <c r="AG40" s="172"/>
      <c r="AH40" s="172"/>
      <c r="AI40" s="152"/>
    </row>
    <row r="41" spans="1:35" x14ac:dyDescent="0.3">
      <c r="A41" s="157" t="s">
        <v>901</v>
      </c>
      <c r="B41" s="157" t="s">
        <v>421</v>
      </c>
      <c r="C41" s="157" t="s">
        <v>884</v>
      </c>
      <c r="D41" s="157" t="s">
        <v>29</v>
      </c>
      <c r="E41" s="157" t="s">
        <v>524</v>
      </c>
      <c r="F41" s="158" t="s">
        <v>551</v>
      </c>
      <c r="G41" s="157">
        <v>1</v>
      </c>
      <c r="H41" s="157" t="s">
        <v>24</v>
      </c>
      <c r="I41" s="159">
        <v>1</v>
      </c>
      <c r="J41" s="161"/>
      <c r="K41" s="161"/>
      <c r="L41" s="2209"/>
      <c r="M41" s="157">
        <v>1</v>
      </c>
      <c r="N41" s="166">
        <v>94860</v>
      </c>
      <c r="O41" s="173">
        <v>0.2</v>
      </c>
      <c r="P41" s="166">
        <f t="shared" si="4"/>
        <v>75888</v>
      </c>
      <c r="Q41" s="166">
        <f t="shared" si="0"/>
        <v>75888</v>
      </c>
      <c r="R41" s="178">
        <f t="shared" si="1"/>
        <v>0.14556293715347809</v>
      </c>
      <c r="S41" s="168">
        <f t="shared" si="2"/>
        <v>151776</v>
      </c>
      <c r="T41" s="282">
        <f t="shared" si="3"/>
        <v>151776</v>
      </c>
      <c r="X41" s="152"/>
      <c r="Y41" s="282">
        <f t="shared" si="5"/>
        <v>151776</v>
      </c>
      <c r="Z41" s="152"/>
      <c r="AA41" s="280"/>
      <c r="AB41" s="172"/>
      <c r="AC41" s="172"/>
      <c r="AD41" s="172"/>
      <c r="AE41" s="174">
        <f>S41</f>
        <v>151776</v>
      </c>
      <c r="AF41" s="172"/>
      <c r="AG41" s="172"/>
      <c r="AH41" s="172"/>
      <c r="AI41" s="152"/>
    </row>
    <row r="42" spans="1:35" x14ac:dyDescent="0.3">
      <c r="A42" s="157" t="s">
        <v>901</v>
      </c>
      <c r="B42" s="157" t="s">
        <v>422</v>
      </c>
      <c r="C42" s="157" t="s">
        <v>884</v>
      </c>
      <c r="D42" s="157" t="s">
        <v>21</v>
      </c>
      <c r="E42" s="157" t="s">
        <v>518</v>
      </c>
      <c r="F42" s="158" t="s">
        <v>902</v>
      </c>
      <c r="G42" s="157">
        <v>3</v>
      </c>
      <c r="H42" s="157" t="s">
        <v>24</v>
      </c>
      <c r="I42" s="159">
        <v>3</v>
      </c>
      <c r="J42" s="161"/>
      <c r="K42" s="161"/>
      <c r="L42" s="2209"/>
      <c r="M42" s="157">
        <v>1</v>
      </c>
      <c r="N42" s="166">
        <v>5000</v>
      </c>
      <c r="O42" s="173">
        <v>0.35</v>
      </c>
      <c r="P42" s="166">
        <f t="shared" si="4"/>
        <v>3250</v>
      </c>
      <c r="Q42" s="166">
        <f t="shared" si="0"/>
        <v>9750</v>
      </c>
      <c r="R42" s="167">
        <f t="shared" si="1"/>
        <v>1.8701753073561186E-2</v>
      </c>
      <c r="S42" s="168">
        <f t="shared" si="2"/>
        <v>19500</v>
      </c>
      <c r="T42" s="282">
        <f t="shared" si="3"/>
        <v>19500</v>
      </c>
      <c r="X42" s="152"/>
      <c r="Y42" s="280"/>
      <c r="Z42" s="171">
        <f>S42</f>
        <v>19500</v>
      </c>
      <c r="AA42" s="280"/>
      <c r="AB42" s="172"/>
      <c r="AC42" s="172"/>
      <c r="AD42" s="172"/>
      <c r="AE42" s="172"/>
      <c r="AF42" s="174">
        <f>S42</f>
        <v>19500</v>
      </c>
      <c r="AG42" s="172"/>
      <c r="AH42" s="172"/>
      <c r="AI42" s="152"/>
    </row>
    <row r="43" spans="1:35" x14ac:dyDescent="0.3">
      <c r="A43" s="157" t="s">
        <v>901</v>
      </c>
      <c r="B43" s="157" t="s">
        <v>422</v>
      </c>
      <c r="C43" s="157" t="s">
        <v>884</v>
      </c>
      <c r="D43" s="157" t="s">
        <v>29</v>
      </c>
      <c r="E43" s="157" t="s">
        <v>524</v>
      </c>
      <c r="F43" s="158" t="s">
        <v>551</v>
      </c>
      <c r="G43" s="157">
        <v>2</v>
      </c>
      <c r="H43" s="157" t="s">
        <v>24</v>
      </c>
      <c r="I43" s="159">
        <v>2</v>
      </c>
      <c r="J43" s="161"/>
      <c r="K43" s="161"/>
      <c r="L43" s="2209"/>
      <c r="M43" s="157">
        <v>1</v>
      </c>
      <c r="N43" s="166">
        <v>35988</v>
      </c>
      <c r="O43" s="173">
        <v>0.35</v>
      </c>
      <c r="P43" s="186">
        <f t="shared" si="4"/>
        <v>23392.2</v>
      </c>
      <c r="Q43" s="166">
        <f t="shared" si="0"/>
        <v>46784.4</v>
      </c>
      <c r="R43" s="178">
        <f t="shared" si="1"/>
        <v>8.9738491948176E-2</v>
      </c>
      <c r="S43" s="168">
        <f t="shared" si="2"/>
        <v>93568.8</v>
      </c>
      <c r="T43" s="282">
        <f t="shared" si="3"/>
        <v>93568.8</v>
      </c>
      <c r="X43" s="152"/>
      <c r="Y43" s="282">
        <f t="shared" si="5"/>
        <v>93568.8</v>
      </c>
      <c r="Z43" s="152"/>
      <c r="AA43" s="280"/>
      <c r="AB43" s="172"/>
      <c r="AC43" s="172"/>
      <c r="AD43" s="172"/>
      <c r="AE43" s="172"/>
      <c r="AF43" s="174">
        <f>S43</f>
        <v>93568.8</v>
      </c>
      <c r="AG43" s="172"/>
      <c r="AH43" s="172"/>
      <c r="AI43" s="152"/>
    </row>
    <row r="44" spans="1:35" x14ac:dyDescent="0.3">
      <c r="A44" s="157" t="s">
        <v>901</v>
      </c>
      <c r="B44" s="157" t="s">
        <v>422</v>
      </c>
      <c r="C44" s="157" t="s">
        <v>884</v>
      </c>
      <c r="D44" s="157" t="s">
        <v>26</v>
      </c>
      <c r="E44" s="157" t="s">
        <v>520</v>
      </c>
      <c r="F44" s="158" t="s">
        <v>903</v>
      </c>
      <c r="G44" s="157">
        <v>4</v>
      </c>
      <c r="H44" s="157" t="s">
        <v>24</v>
      </c>
      <c r="I44" s="159">
        <v>4</v>
      </c>
      <c r="J44" s="161"/>
      <c r="K44" s="161"/>
      <c r="L44" s="2209"/>
      <c r="M44" s="157">
        <v>1</v>
      </c>
      <c r="N44" s="166">
        <v>9696</v>
      </c>
      <c r="O44" s="173">
        <v>0.35</v>
      </c>
      <c r="P44" s="186">
        <f t="shared" si="4"/>
        <v>6302.4000000000005</v>
      </c>
      <c r="Q44" s="166">
        <f t="shared" si="0"/>
        <v>25209.600000000002</v>
      </c>
      <c r="R44" s="178">
        <f t="shared" si="1"/>
        <v>4.8355252746999811E-2</v>
      </c>
      <c r="S44" s="168">
        <f t="shared" si="2"/>
        <v>50419.200000000004</v>
      </c>
      <c r="T44" s="282">
        <f t="shared" si="3"/>
        <v>50419.200000000004</v>
      </c>
      <c r="X44" s="152"/>
      <c r="Y44" s="282">
        <f t="shared" si="5"/>
        <v>50419.200000000004</v>
      </c>
      <c r="Z44" s="152"/>
      <c r="AA44" s="280"/>
      <c r="AB44" s="172"/>
      <c r="AC44" s="172"/>
      <c r="AD44" s="172"/>
      <c r="AE44" s="172"/>
      <c r="AF44" s="174">
        <f>S44</f>
        <v>50419.200000000004</v>
      </c>
      <c r="AG44" s="172"/>
      <c r="AH44" s="172"/>
      <c r="AI44" s="152"/>
    </row>
    <row r="45" spans="1:35" x14ac:dyDescent="0.3">
      <c r="A45" s="157" t="s">
        <v>901</v>
      </c>
      <c r="B45" s="157" t="s">
        <v>158</v>
      </c>
      <c r="C45" s="157" t="s">
        <v>904</v>
      </c>
      <c r="D45" s="157" t="s">
        <v>423</v>
      </c>
      <c r="E45" s="157" t="s">
        <v>520</v>
      </c>
      <c r="F45" s="158" t="s">
        <v>874</v>
      </c>
      <c r="G45" s="157">
        <v>13</v>
      </c>
      <c r="H45" s="157" t="s">
        <v>22</v>
      </c>
      <c r="I45" s="161">
        <v>13</v>
      </c>
      <c r="J45" s="773">
        <v>13</v>
      </c>
      <c r="L45" s="286"/>
      <c r="M45" s="157">
        <v>2</v>
      </c>
      <c r="N45" s="166">
        <v>2200</v>
      </c>
      <c r="O45" s="173">
        <v>0.2</v>
      </c>
      <c r="P45" s="186">
        <f t="shared" si="4"/>
        <v>1760</v>
      </c>
      <c r="Q45" s="166">
        <f t="shared" si="0"/>
        <v>45760</v>
      </c>
      <c r="R45" s="1054">
        <f t="shared" si="1"/>
        <v>8.7773561091913838E-2</v>
      </c>
      <c r="S45" s="168">
        <f t="shared" si="2"/>
        <v>91520</v>
      </c>
      <c r="T45" s="283"/>
      <c r="U45" s="169">
        <f>S45</f>
        <v>91520</v>
      </c>
      <c r="X45" s="152"/>
      <c r="Y45" s="282">
        <f t="shared" si="5"/>
        <v>91520</v>
      </c>
      <c r="Z45" s="152"/>
      <c r="AA45" s="280"/>
      <c r="AB45" s="172"/>
      <c r="AC45" s="172"/>
      <c r="AD45" s="172"/>
      <c r="AE45" s="172"/>
      <c r="AF45" s="172"/>
      <c r="AG45" s="174">
        <f>S45</f>
        <v>91520</v>
      </c>
      <c r="AH45" s="174"/>
      <c r="AI45" s="171"/>
    </row>
    <row r="46" spans="1:35" x14ac:dyDescent="0.3">
      <c r="A46" s="157"/>
      <c r="B46" s="157"/>
      <c r="C46" s="157"/>
      <c r="D46" s="157"/>
      <c r="E46" s="157"/>
      <c r="F46" s="158"/>
      <c r="G46" s="157"/>
      <c r="H46" s="157"/>
      <c r="L46" s="286"/>
      <c r="M46" s="157"/>
      <c r="N46" s="166"/>
      <c r="O46" s="173"/>
      <c r="P46" s="186"/>
      <c r="Q46" s="166"/>
      <c r="R46" s="393"/>
      <c r="S46" s="168"/>
      <c r="T46" s="280"/>
      <c r="X46" s="152"/>
      <c r="Y46" s="280"/>
      <c r="Z46" s="152"/>
      <c r="AA46" s="280"/>
      <c r="AB46" s="172"/>
      <c r="AC46" s="172"/>
      <c r="AD46" s="172"/>
      <c r="AE46" s="172"/>
      <c r="AF46" s="172"/>
      <c r="AG46" s="172"/>
      <c r="AH46" s="172"/>
      <c r="AI46" s="152"/>
    </row>
    <row r="47" spans="1:35" x14ac:dyDescent="0.3">
      <c r="A47" s="172"/>
      <c r="B47" s="157"/>
      <c r="C47" s="190"/>
      <c r="D47" s="190"/>
      <c r="E47" s="190"/>
      <c r="F47" s="191"/>
      <c r="G47" s="190"/>
      <c r="H47" s="190"/>
      <c r="I47" s="245"/>
      <c r="J47" s="245"/>
      <c r="K47" s="245"/>
      <c r="L47" s="287"/>
      <c r="M47" s="190"/>
      <c r="N47" s="194"/>
      <c r="O47" s="195"/>
      <c r="P47" s="288"/>
      <c r="Q47" s="166"/>
      <c r="R47" s="393"/>
      <c r="S47" s="168"/>
      <c r="T47" s="280"/>
      <c r="X47" s="152"/>
      <c r="Y47" s="280"/>
      <c r="Z47" s="152"/>
      <c r="AA47" s="280"/>
      <c r="AB47" s="172"/>
      <c r="AC47" s="172"/>
      <c r="AD47" s="172"/>
      <c r="AE47" s="172"/>
      <c r="AF47" s="172"/>
      <c r="AG47" s="172"/>
      <c r="AH47" s="172"/>
      <c r="AI47" s="152"/>
    </row>
    <row r="48" spans="1:35" x14ac:dyDescent="0.3">
      <c r="A48" s="108" t="s">
        <v>901</v>
      </c>
      <c r="B48" s="108" t="s">
        <v>528</v>
      </c>
      <c r="C48" s="192"/>
      <c r="D48" s="193"/>
      <c r="E48" s="193"/>
      <c r="F48" s="244"/>
      <c r="G48" s="193"/>
      <c r="H48" s="193"/>
      <c r="I48" s="245"/>
      <c r="J48" s="245"/>
      <c r="K48" s="245"/>
      <c r="L48" s="245"/>
      <c r="M48" s="193"/>
      <c r="N48" s="246"/>
      <c r="O48" s="196"/>
      <c r="P48" s="288"/>
      <c r="Q48" s="257"/>
      <c r="R48" s="256">
        <f>Q48/Q51</f>
        <v>0</v>
      </c>
      <c r="S48" s="168">
        <f>Q48*2</f>
        <v>0</v>
      </c>
      <c r="T48" s="280"/>
      <c r="W48" s="169">
        <f>S48</f>
        <v>0</v>
      </c>
      <c r="X48" s="152"/>
      <c r="Y48" s="280"/>
      <c r="Z48" s="152"/>
      <c r="AA48" s="280"/>
      <c r="AB48" s="172"/>
      <c r="AC48" s="172"/>
      <c r="AD48" s="172"/>
      <c r="AE48" s="172"/>
      <c r="AF48" s="172"/>
      <c r="AG48" s="172"/>
      <c r="AH48" s="172"/>
      <c r="AI48" s="152"/>
    </row>
    <row r="49" spans="1:35" x14ac:dyDescent="0.3">
      <c r="A49" s="108" t="s">
        <v>901</v>
      </c>
      <c r="B49" s="108" t="s">
        <v>529</v>
      </c>
      <c r="C49" s="289"/>
      <c r="D49" s="252"/>
      <c r="E49" s="252"/>
      <c r="F49" s="253"/>
      <c r="G49" s="252"/>
      <c r="H49" s="252"/>
      <c r="I49" s="254"/>
      <c r="J49" s="254"/>
      <c r="K49" s="254"/>
      <c r="L49" s="254"/>
      <c r="M49" s="252"/>
      <c r="N49" s="255"/>
      <c r="O49" s="256"/>
      <c r="P49" s="290"/>
      <c r="Q49" s="257">
        <v>40000</v>
      </c>
      <c r="R49" s="291">
        <f>Q49/Q51</f>
        <v>7.6725140814610002E-2</v>
      </c>
      <c r="S49" s="168">
        <f>Q49*2</f>
        <v>80000</v>
      </c>
      <c r="T49" s="280"/>
      <c r="X49" s="171">
        <f>S49</f>
        <v>80000</v>
      </c>
      <c r="Y49" s="280"/>
      <c r="Z49" s="152"/>
      <c r="AA49" s="280"/>
      <c r="AB49" s="172"/>
      <c r="AC49" s="172"/>
      <c r="AD49" s="172"/>
      <c r="AE49" s="172"/>
      <c r="AF49" s="172"/>
      <c r="AG49" s="172"/>
      <c r="AH49" s="172"/>
      <c r="AI49" s="152"/>
    </row>
    <row r="50" spans="1:35" x14ac:dyDescent="0.3">
      <c r="I50" s="115">
        <f>I51/M51</f>
        <v>0.60919540229885061</v>
      </c>
      <c r="J50" s="115">
        <f>J51/M51</f>
        <v>0.16091954022988506</v>
      </c>
      <c r="K50" s="115">
        <f>K51/M51</f>
        <v>0.22988505747126436</v>
      </c>
      <c r="L50" s="115"/>
      <c r="S50" s="645"/>
      <c r="T50" s="566"/>
      <c r="U50" s="245"/>
      <c r="V50" s="245"/>
      <c r="W50" s="245"/>
      <c r="X50" s="567"/>
      <c r="Y50" s="566"/>
      <c r="Z50" s="567"/>
      <c r="AA50" s="566"/>
      <c r="AB50" s="738"/>
      <c r="AC50" s="738"/>
      <c r="AD50" s="738"/>
      <c r="AE50" s="738"/>
      <c r="AF50" s="738"/>
      <c r="AG50" s="738"/>
      <c r="AH50" s="738"/>
      <c r="AI50" s="567"/>
    </row>
    <row r="51" spans="1:35" x14ac:dyDescent="0.3">
      <c r="A51" s="212" t="s">
        <v>531</v>
      </c>
      <c r="B51" s="213"/>
      <c r="C51" s="213"/>
      <c r="D51" s="213"/>
      <c r="E51" s="213"/>
      <c r="F51" s="214"/>
      <c r="G51" s="213"/>
      <c r="H51" s="213"/>
      <c r="I51" s="213">
        <f>I44+I43+I42+I41+I39+I38+I37+I36+I35+I45</f>
        <v>53</v>
      </c>
      <c r="J51" s="213">
        <f>J34+J45</f>
        <v>14</v>
      </c>
      <c r="K51" s="213">
        <f>K40</f>
        <v>20</v>
      </c>
      <c r="L51" s="213"/>
      <c r="M51" s="213">
        <f>SUM(I51:L51)</f>
        <v>87</v>
      </c>
      <c r="N51" s="215"/>
      <c r="O51" s="216"/>
      <c r="P51" s="215"/>
      <c r="Q51" s="481">
        <f>SUM(Q33:Q50)</f>
        <v>521341.5</v>
      </c>
      <c r="R51" s="218">
        <f>SUM(R33:R49)</f>
        <v>0.99999999999999989</v>
      </c>
      <c r="S51" s="610">
        <f>SUM(S33:S50)</f>
        <v>1042683</v>
      </c>
      <c r="T51" s="220">
        <f t="shared" ref="T51:X51" si="6">SUM(T33:T49)</f>
        <v>871163</v>
      </c>
      <c r="U51" s="221">
        <f t="shared" si="6"/>
        <v>91520</v>
      </c>
      <c r="V51" s="221">
        <f t="shared" si="6"/>
        <v>0</v>
      </c>
      <c r="W51" s="221">
        <f t="shared" si="6"/>
        <v>0</v>
      </c>
      <c r="X51" s="223">
        <f t="shared" si="6"/>
        <v>80000</v>
      </c>
      <c r="Y51" s="222">
        <f>SUM(Y32:Y50)</f>
        <v>800308</v>
      </c>
      <c r="Z51" s="223">
        <f>SUM(Z32:Z50)</f>
        <v>162375</v>
      </c>
      <c r="AA51" s="220">
        <f>SUM(AA32:AA50)</f>
        <v>9360</v>
      </c>
      <c r="AB51" s="816">
        <f>SUM(AB32:AB50)</f>
        <v>37835</v>
      </c>
      <c r="AC51" s="816">
        <f t="shared" ref="AC51:AG51" si="7">SUM(AC32:AC50)</f>
        <v>388704</v>
      </c>
      <c r="AD51" s="816">
        <f t="shared" si="7"/>
        <v>120000</v>
      </c>
      <c r="AE51" s="816">
        <f t="shared" si="7"/>
        <v>151776</v>
      </c>
      <c r="AF51" s="816">
        <f t="shared" si="7"/>
        <v>163488</v>
      </c>
      <c r="AG51" s="1091">
        <f t="shared" si="7"/>
        <v>91520</v>
      </c>
      <c r="AH51" s="1091"/>
      <c r="AI51" s="571"/>
    </row>
    <row r="52" spans="1:35" x14ac:dyDescent="0.3">
      <c r="A52" s="228" t="s">
        <v>532</v>
      </c>
      <c r="B52" s="229"/>
      <c r="C52" s="229"/>
      <c r="D52" s="229"/>
      <c r="E52" s="229"/>
      <c r="F52" s="230"/>
      <c r="G52" s="229"/>
      <c r="H52" s="229"/>
      <c r="I52" s="229">
        <f>I44+I43+I42+I41+I39+I38+I37+I36+I35+I45</f>
        <v>53</v>
      </c>
      <c r="J52" s="229">
        <f>I44+I43+I42+I41+I39+I38+I37+I36+I35+J34+J45</f>
        <v>54</v>
      </c>
      <c r="K52" s="229">
        <f>I44+I43+I42+I41+K40+I39+I38+I37+I35+J34</f>
        <v>41</v>
      </c>
      <c r="L52" s="229">
        <f>I44+I43+I42+I41+K40+I39+I38+I37+I35</f>
        <v>40</v>
      </c>
      <c r="M52" s="229">
        <f>SUM(I52:L52)</f>
        <v>188</v>
      </c>
      <c r="N52" s="231"/>
      <c r="O52" s="232"/>
      <c r="P52" s="231"/>
      <c r="Q52" s="231"/>
      <c r="R52" s="233"/>
      <c r="S52" s="234"/>
      <c r="T52" s="235">
        <f>T51/S51</f>
        <v>0.83550129809347617</v>
      </c>
      <c r="U52" s="236">
        <f>U51/S51</f>
        <v>8.7773561091913838E-2</v>
      </c>
      <c r="V52" s="236">
        <f>V51/S51</f>
        <v>0</v>
      </c>
      <c r="W52" s="236">
        <f>W51/S51</f>
        <v>0</v>
      </c>
      <c r="X52" s="297">
        <f>X51/S51</f>
        <v>7.6725140814610002E-2</v>
      </c>
      <c r="Y52" s="298">
        <f>Y51/S51</f>
        <v>0.76754679993823627</v>
      </c>
      <c r="Z52" s="297">
        <f>Z51/S51</f>
        <v>0.15572805924715374</v>
      </c>
      <c r="AA52" s="573"/>
      <c r="AB52" s="241"/>
      <c r="AC52" s="241"/>
      <c r="AD52" s="241"/>
      <c r="AE52" s="241"/>
      <c r="AF52" s="241"/>
      <c r="AG52" s="241"/>
      <c r="AH52" s="241"/>
      <c r="AI52" s="242"/>
    </row>
    <row r="53" spans="1:35" x14ac:dyDescent="0.3">
      <c r="A53" s="243" t="s">
        <v>533</v>
      </c>
      <c r="B53" s="193"/>
      <c r="C53" s="193"/>
      <c r="D53" s="193"/>
      <c r="E53" s="193"/>
      <c r="F53" s="244"/>
      <c r="G53" s="193"/>
      <c r="H53" s="193"/>
      <c r="I53" s="2182">
        <f>I52/M52</f>
        <v>0.28191489361702127</v>
      </c>
      <c r="J53" s="2182">
        <f>J52/M52</f>
        <v>0.28723404255319152</v>
      </c>
      <c r="K53" s="2182">
        <f>K52/M52</f>
        <v>0.21808510638297873</v>
      </c>
      <c r="L53" s="2182">
        <f>L52/M52</f>
        <v>0.21276595744680851</v>
      </c>
      <c r="M53" s="193"/>
      <c r="N53" s="246"/>
      <c r="O53" s="196"/>
      <c r="P53" s="246"/>
      <c r="Q53" s="194">
        <f>T51/2</f>
        <v>435581.5</v>
      </c>
      <c r="R53" s="247">
        <f>Q53/Q58</f>
        <v>0.83550129809347617</v>
      </c>
      <c r="X53" s="248"/>
      <c r="Y53" s="357">
        <f>I36+I37+I39+K40+I41+I43+I44+I45+J45</f>
        <v>78</v>
      </c>
      <c r="Z53" s="358">
        <f>I35++I38+I42+J34+I45+J45</f>
        <v>35</v>
      </c>
      <c r="AA53" s="143"/>
      <c r="AB53" s="143"/>
      <c r="AC53" s="143"/>
      <c r="AD53" s="143"/>
      <c r="AE53" s="143"/>
      <c r="AF53" s="143"/>
    </row>
    <row r="54" spans="1:35" x14ac:dyDescent="0.3">
      <c r="A54" s="251" t="s">
        <v>11</v>
      </c>
      <c r="B54" s="252"/>
      <c r="C54" s="252"/>
      <c r="D54" s="252"/>
      <c r="E54" s="252"/>
      <c r="F54" s="253"/>
      <c r="G54" s="252"/>
      <c r="H54" s="252"/>
      <c r="I54" s="254"/>
      <c r="J54" s="254"/>
      <c r="K54" s="254"/>
      <c r="L54" s="254"/>
      <c r="M54" s="252"/>
      <c r="N54" s="255"/>
      <c r="O54" s="256"/>
      <c r="P54" s="255"/>
      <c r="Q54" s="257">
        <f>U51/2</f>
        <v>45760</v>
      </c>
      <c r="R54" s="262">
        <f>Q54/Q58</f>
        <v>8.7773561091913838E-2</v>
      </c>
      <c r="S54" s="1050">
        <f>Q51/M51</f>
        <v>5992.4310344827591</v>
      </c>
      <c r="T54" s="1051" t="s">
        <v>535</v>
      </c>
      <c r="Y54" s="195">
        <f>Y53/M51</f>
        <v>0.89655172413793105</v>
      </c>
      <c r="Z54" s="247">
        <f>Z53/M51</f>
        <v>0.40229885057471265</v>
      </c>
    </row>
    <row r="55" spans="1:35" x14ac:dyDescent="0.3">
      <c r="A55" s="251" t="s">
        <v>536</v>
      </c>
      <c r="B55" s="252"/>
      <c r="C55" s="252"/>
      <c r="D55" s="252"/>
      <c r="E55" s="252"/>
      <c r="F55" s="253"/>
      <c r="G55" s="252"/>
      <c r="H55" s="252"/>
      <c r="I55" s="254"/>
      <c r="J55" s="254"/>
      <c r="K55" s="254"/>
      <c r="L55" s="254"/>
      <c r="M55" s="252"/>
      <c r="N55" s="255"/>
      <c r="O55" s="256"/>
      <c r="P55" s="255"/>
      <c r="Q55" s="257">
        <f>V51/2</f>
        <v>0</v>
      </c>
      <c r="R55" s="262">
        <f>Q55/Q58</f>
        <v>0</v>
      </c>
      <c r="U55" s="263"/>
      <c r="W55" s="99"/>
      <c r="Y55" s="2551" t="s">
        <v>537</v>
      </c>
      <c r="Z55" s="2551"/>
    </row>
    <row r="56" spans="1:35" x14ac:dyDescent="0.3">
      <c r="A56" s="251" t="s">
        <v>529</v>
      </c>
      <c r="B56" s="252"/>
      <c r="C56" s="252"/>
      <c r="D56" s="252"/>
      <c r="E56" s="252"/>
      <c r="F56" s="253"/>
      <c r="G56" s="252"/>
      <c r="H56" s="252"/>
      <c r="I56" s="254"/>
      <c r="J56" s="254"/>
      <c r="K56" s="254"/>
      <c r="L56" s="254"/>
      <c r="M56" s="252"/>
      <c r="N56" s="255"/>
      <c r="O56" s="256"/>
      <c r="P56" s="255"/>
      <c r="Q56" s="257">
        <f>X51/2</f>
        <v>40000</v>
      </c>
      <c r="R56" s="262">
        <f>Q56/Q58</f>
        <v>7.6725140814610002E-2</v>
      </c>
      <c r="T56" s="263"/>
      <c r="U56" s="263"/>
    </row>
    <row r="57" spans="1:35" x14ac:dyDescent="0.3">
      <c r="A57" s="251" t="s">
        <v>528</v>
      </c>
      <c r="B57" s="252"/>
      <c r="C57" s="252"/>
      <c r="D57" s="252"/>
      <c r="E57" s="252"/>
      <c r="F57" s="253"/>
      <c r="G57" s="252"/>
      <c r="H57" s="252"/>
      <c r="I57" s="254"/>
      <c r="J57" s="254"/>
      <c r="K57" s="254"/>
      <c r="L57" s="254"/>
      <c r="M57" s="252"/>
      <c r="N57" s="255"/>
      <c r="O57" s="256"/>
      <c r="P57" s="255"/>
      <c r="Q57" s="257">
        <f>W51/2</f>
        <v>0</v>
      </c>
      <c r="R57" s="262">
        <f>Q57/Q58</f>
        <v>0</v>
      </c>
    </row>
    <row r="58" spans="1:35" x14ac:dyDescent="0.3">
      <c r="A58" s="251"/>
      <c r="B58" s="252"/>
      <c r="C58" s="252"/>
      <c r="D58" s="252"/>
      <c r="E58" s="252"/>
      <c r="F58" s="253"/>
      <c r="G58" s="252"/>
      <c r="H58" s="252"/>
      <c r="I58" s="254"/>
      <c r="J58" s="254"/>
      <c r="K58" s="254"/>
      <c r="L58" s="254"/>
      <c r="M58" s="252"/>
      <c r="N58" s="255"/>
      <c r="O58" s="256"/>
      <c r="P58" s="255"/>
      <c r="Q58" s="264">
        <f>SUM(Q53:Q57)</f>
        <v>521341.5</v>
      </c>
      <c r="R58" s="262">
        <f>SUM(R53:R57)</f>
        <v>1</v>
      </c>
    </row>
    <row r="60" spans="1:35" ht="18" x14ac:dyDescent="0.35">
      <c r="A60" s="1037"/>
      <c r="R60" s="98"/>
    </row>
    <row r="61" spans="1:35" ht="18" x14ac:dyDescent="0.35">
      <c r="A61" s="1037" t="s">
        <v>538</v>
      </c>
    </row>
    <row r="63" spans="1:35" x14ac:dyDescent="0.3">
      <c r="A63" s="2587" t="s">
        <v>480</v>
      </c>
      <c r="B63" s="2588"/>
      <c r="C63" s="2588"/>
      <c r="D63" s="2588"/>
      <c r="E63" s="2588"/>
      <c r="F63" s="2588"/>
      <c r="G63" s="2588"/>
      <c r="H63" s="2588"/>
      <c r="I63" s="2588"/>
      <c r="J63" s="2588"/>
      <c r="K63" s="2588"/>
      <c r="L63" s="2588"/>
      <c r="M63" s="2588"/>
      <c r="N63" s="2588"/>
      <c r="O63" s="2588"/>
      <c r="P63" s="2588"/>
      <c r="Q63" s="2588"/>
      <c r="R63" s="2589"/>
      <c r="S63" s="2563" t="s">
        <v>584</v>
      </c>
      <c r="T63" s="2564"/>
      <c r="U63" s="2564"/>
      <c r="V63" s="2564"/>
      <c r="W63" s="2564"/>
      <c r="X63" s="2564"/>
      <c r="Y63" s="2564"/>
      <c r="Z63" s="2564"/>
      <c r="AA63" s="2564"/>
      <c r="AB63" s="2564"/>
      <c r="AC63" s="2564"/>
      <c r="AD63" s="2564"/>
      <c r="AE63" s="2564"/>
      <c r="AF63" s="2564"/>
      <c r="AG63" s="2564"/>
      <c r="AH63" s="2564"/>
      <c r="AI63" s="2576"/>
    </row>
    <row r="64" spans="1:35" ht="90" x14ac:dyDescent="0.3">
      <c r="A64" s="2619" t="s">
        <v>482</v>
      </c>
      <c r="B64" s="2621" t="s">
        <v>483</v>
      </c>
      <c r="C64" s="2621" t="s">
        <v>484</v>
      </c>
      <c r="D64" s="2621" t="s">
        <v>485</v>
      </c>
      <c r="E64" s="2621" t="s">
        <v>486</v>
      </c>
      <c r="F64" s="2621" t="s">
        <v>487</v>
      </c>
      <c r="G64" s="2617" t="s">
        <v>488</v>
      </c>
      <c r="H64" s="2623" t="s">
        <v>489</v>
      </c>
      <c r="I64" s="2610" t="s">
        <v>490</v>
      </c>
      <c r="J64" s="2611"/>
      <c r="K64" s="2611"/>
      <c r="L64" s="2612"/>
      <c r="M64" s="2613" t="s">
        <v>863</v>
      </c>
      <c r="N64" s="2615" t="s">
        <v>864</v>
      </c>
      <c r="O64" s="2617" t="s">
        <v>865</v>
      </c>
      <c r="P64" s="2615" t="s">
        <v>866</v>
      </c>
      <c r="Q64" s="2615" t="s">
        <v>867</v>
      </c>
      <c r="R64" s="1086" t="s">
        <v>495</v>
      </c>
      <c r="S64" s="1086" t="s">
        <v>496</v>
      </c>
      <c r="T64" s="2607" t="s">
        <v>497</v>
      </c>
      <c r="U64" s="2607"/>
      <c r="V64" s="2607"/>
      <c r="W64" s="2607"/>
      <c r="X64" s="2607"/>
      <c r="Y64" s="2608" t="s">
        <v>498</v>
      </c>
      <c r="Z64" s="2609"/>
      <c r="AA64" s="2607"/>
      <c r="AB64" s="2607"/>
      <c r="AC64" s="2607"/>
      <c r="AD64" s="2607"/>
      <c r="AE64" s="2607"/>
      <c r="AF64" s="2607"/>
      <c r="AG64" s="2607"/>
      <c r="AH64" s="2607"/>
      <c r="AI64" s="2609"/>
    </row>
    <row r="65" spans="1:35" ht="18" x14ac:dyDescent="0.3">
      <c r="A65" s="2620"/>
      <c r="B65" s="2622"/>
      <c r="C65" s="2622"/>
      <c r="D65" s="2622"/>
      <c r="E65" s="2622"/>
      <c r="F65" s="2622"/>
      <c r="G65" s="2618"/>
      <c r="H65" s="2624"/>
      <c r="I65" s="1087" t="s">
        <v>500</v>
      </c>
      <c r="J65" s="1087" t="s">
        <v>501</v>
      </c>
      <c r="K65" s="1088" t="s">
        <v>502</v>
      </c>
      <c r="L65" s="1088" t="s">
        <v>503</v>
      </c>
      <c r="M65" s="2614"/>
      <c r="N65" s="2616"/>
      <c r="O65" s="2618"/>
      <c r="P65" s="2616"/>
      <c r="Q65" s="2616"/>
      <c r="R65" s="1089"/>
      <c r="S65" s="1089" t="s">
        <v>508</v>
      </c>
      <c r="T65" s="2585"/>
      <c r="U65" s="2585"/>
      <c r="V65" s="2585"/>
      <c r="W65" s="2585"/>
      <c r="X65" s="2585"/>
      <c r="Y65" s="2584"/>
      <c r="Z65" s="2586"/>
      <c r="AA65" s="2585"/>
      <c r="AB65" s="2585"/>
      <c r="AC65" s="2585"/>
      <c r="AD65" s="2585"/>
      <c r="AE65" s="2585"/>
      <c r="AF65" s="2585"/>
      <c r="AG65" s="2585"/>
      <c r="AH65" s="2585"/>
      <c r="AI65" s="2586"/>
    </row>
    <row r="66" spans="1:35" ht="18" x14ac:dyDescent="0.35">
      <c r="A66" s="2476" t="s">
        <v>540</v>
      </c>
      <c r="B66" s="2477"/>
      <c r="C66" s="2477"/>
      <c r="D66" s="2477"/>
      <c r="E66" s="2477"/>
      <c r="F66" s="2477"/>
      <c r="G66" s="2477"/>
      <c r="H66" s="2477"/>
      <c r="I66" s="2477"/>
      <c r="J66" s="2477"/>
      <c r="K66" s="2477"/>
      <c r="L66" s="2477"/>
      <c r="M66" s="2477"/>
      <c r="N66" s="2477"/>
      <c r="O66" s="2477"/>
      <c r="P66" s="2477"/>
      <c r="Q66" s="2477"/>
      <c r="R66" s="2477"/>
      <c r="S66" s="1090"/>
      <c r="T66" s="1040" t="s">
        <v>510</v>
      </c>
      <c r="U66" s="1041" t="s">
        <v>11</v>
      </c>
      <c r="V66" s="1041" t="s">
        <v>511</v>
      </c>
      <c r="W66" s="1041" t="s">
        <v>512</v>
      </c>
      <c r="X66" s="1045" t="s">
        <v>513</v>
      </c>
      <c r="Y66" s="1042" t="s">
        <v>514</v>
      </c>
      <c r="Z66" s="1045" t="s">
        <v>515</v>
      </c>
      <c r="AA66" s="1040" t="s">
        <v>5</v>
      </c>
      <c r="AB66" s="1041" t="s">
        <v>12</v>
      </c>
      <c r="AC66" s="1053" t="s">
        <v>174</v>
      </c>
      <c r="AD66" s="1044" t="s">
        <v>175</v>
      </c>
      <c r="AE66" s="1044" t="s">
        <v>176</v>
      </c>
      <c r="AF66" s="1044" t="s">
        <v>177</v>
      </c>
      <c r="AG66" s="1044" t="s">
        <v>156</v>
      </c>
      <c r="AH66" s="1044" t="s">
        <v>140</v>
      </c>
      <c r="AI66" s="1045" t="s">
        <v>139</v>
      </c>
    </row>
    <row r="67" spans="1:35" x14ac:dyDescent="0.3">
      <c r="A67" s="154"/>
      <c r="B67" s="462"/>
      <c r="C67" s="462"/>
      <c r="D67" s="462"/>
      <c r="E67" s="462"/>
      <c r="F67" s="463"/>
      <c r="G67" s="462"/>
      <c r="H67" s="462"/>
      <c r="I67" s="465"/>
      <c r="J67" s="465"/>
      <c r="K67" s="465"/>
      <c r="L67" s="465"/>
      <c r="M67" s="462"/>
      <c r="N67" s="468"/>
      <c r="O67" s="469"/>
      <c r="P67" s="468"/>
      <c r="Q67" s="468"/>
      <c r="R67" s="501"/>
      <c r="S67" s="149"/>
      <c r="T67" s="280"/>
      <c r="X67" s="152"/>
      <c r="Y67" s="280"/>
      <c r="Z67" s="152"/>
      <c r="AA67" s="280"/>
      <c r="AB67" s="172"/>
      <c r="AC67" s="172"/>
      <c r="AD67" s="172"/>
      <c r="AE67" s="172"/>
      <c r="AF67" s="172"/>
      <c r="AG67" s="172"/>
      <c r="AH67" s="172"/>
      <c r="AI67" s="152"/>
    </row>
    <row r="68" spans="1:35" x14ac:dyDescent="0.3">
      <c r="A68" s="157" t="s">
        <v>901</v>
      </c>
      <c r="B68" s="157" t="s">
        <v>108</v>
      </c>
      <c r="C68" s="157" t="s">
        <v>884</v>
      </c>
      <c r="D68" s="157" t="s">
        <v>21</v>
      </c>
      <c r="E68" s="157" t="s">
        <v>518</v>
      </c>
      <c r="F68" s="158" t="s">
        <v>902</v>
      </c>
      <c r="G68" s="157">
        <v>1</v>
      </c>
      <c r="H68" s="157" t="s">
        <v>63</v>
      </c>
      <c r="I68" s="188"/>
      <c r="J68" s="161">
        <v>1</v>
      </c>
      <c r="K68" s="161"/>
      <c r="L68" s="286"/>
      <c r="M68" s="163">
        <v>1</v>
      </c>
      <c r="N68" s="166">
        <v>7200</v>
      </c>
      <c r="O68" s="173">
        <v>0.35</v>
      </c>
      <c r="P68" s="166">
        <f>N68*(1-O68)</f>
        <v>4680</v>
      </c>
      <c r="Q68" s="166">
        <f t="shared" ref="Q68:Q78" si="8">P68*M68*G68</f>
        <v>4680</v>
      </c>
      <c r="R68" s="167">
        <f t="shared" ref="R68:R78" si="9">Q68/$Q$83</f>
        <v>8.9501993695158266E-3</v>
      </c>
      <c r="S68" s="478">
        <f>Q68</f>
        <v>4680</v>
      </c>
      <c r="T68" s="565">
        <f>S68</f>
        <v>4680</v>
      </c>
      <c r="U68" s="169"/>
      <c r="V68" s="169"/>
      <c r="W68" s="169"/>
      <c r="X68" s="171"/>
      <c r="Y68" s="282"/>
      <c r="Z68" s="171"/>
      <c r="AA68" s="282">
        <f>S69</f>
        <v>18917.5</v>
      </c>
      <c r="AB68" s="172"/>
      <c r="AC68" s="172"/>
      <c r="AD68" s="172"/>
      <c r="AE68" s="172"/>
      <c r="AF68" s="172"/>
      <c r="AG68" s="172"/>
      <c r="AH68" s="172"/>
      <c r="AI68" s="152"/>
    </row>
    <row r="69" spans="1:35" x14ac:dyDescent="0.3">
      <c r="A69" s="157" t="s">
        <v>901</v>
      </c>
      <c r="B69" s="157" t="s">
        <v>23</v>
      </c>
      <c r="C69" s="157" t="s">
        <v>884</v>
      </c>
      <c r="D69" s="157" t="s">
        <v>21</v>
      </c>
      <c r="E69" s="157" t="s">
        <v>518</v>
      </c>
      <c r="F69" s="158" t="s">
        <v>902</v>
      </c>
      <c r="G69" s="157">
        <v>1</v>
      </c>
      <c r="H69" s="157" t="s">
        <v>24</v>
      </c>
      <c r="I69" s="159">
        <v>1</v>
      </c>
      <c r="J69" s="161"/>
      <c r="K69" s="161"/>
      <c r="L69" s="2209"/>
      <c r="M69" s="163">
        <v>1</v>
      </c>
      <c r="N69" s="166">
        <v>27025</v>
      </c>
      <c r="O69" s="173">
        <v>0.3</v>
      </c>
      <c r="P69" s="166">
        <f t="shared" ref="P69:P78" si="10">N69*(1-O69)</f>
        <v>18917.5</v>
      </c>
      <c r="Q69" s="166">
        <f t="shared" si="8"/>
        <v>18917.5</v>
      </c>
      <c r="R69" s="167">
        <f t="shared" si="9"/>
        <v>3.6178503541199926E-2</v>
      </c>
      <c r="S69" s="168">
        <f>Q69</f>
        <v>18917.5</v>
      </c>
      <c r="T69" s="282">
        <f t="shared" ref="T69:T79" si="11">S69</f>
        <v>18917.5</v>
      </c>
      <c r="U69" s="169"/>
      <c r="X69" s="152"/>
      <c r="Y69" s="282"/>
      <c r="Z69" s="171">
        <f>S69</f>
        <v>18917.5</v>
      </c>
      <c r="AB69" s="174">
        <f>S69</f>
        <v>18917.5</v>
      </c>
      <c r="AC69" s="174"/>
      <c r="AD69" s="174"/>
      <c r="AE69" s="172"/>
      <c r="AF69" s="172"/>
      <c r="AG69" s="172"/>
      <c r="AH69" s="172"/>
      <c r="AI69" s="152"/>
    </row>
    <row r="70" spans="1:35" x14ac:dyDescent="0.3">
      <c r="A70" s="157" t="s">
        <v>901</v>
      </c>
      <c r="B70" s="157" t="s">
        <v>419</v>
      </c>
      <c r="C70" s="157" t="s">
        <v>883</v>
      </c>
      <c r="D70" s="157" t="s">
        <v>166</v>
      </c>
      <c r="E70" s="157" t="s">
        <v>520</v>
      </c>
      <c r="F70" s="158" t="s">
        <v>522</v>
      </c>
      <c r="G70" s="157">
        <v>25</v>
      </c>
      <c r="H70" s="157" t="s">
        <v>63</v>
      </c>
      <c r="I70" s="159">
        <v>25</v>
      </c>
      <c r="J70" s="161"/>
      <c r="L70" s="286"/>
      <c r="M70" s="163">
        <v>1</v>
      </c>
      <c r="N70" s="166">
        <v>3247</v>
      </c>
      <c r="O70" s="173">
        <v>0.2</v>
      </c>
      <c r="P70" s="166">
        <f t="shared" si="10"/>
        <v>2597.6000000000004</v>
      </c>
      <c r="Q70" s="166">
        <f t="shared" si="8"/>
        <v>64940.000000000007</v>
      </c>
      <c r="R70" s="178">
        <f t="shared" si="9"/>
        <v>0.12419357843084571</v>
      </c>
      <c r="S70" s="168">
        <f t="shared" ref="S70:S78" si="12">Q70</f>
        <v>64940.000000000007</v>
      </c>
      <c r="T70" s="282">
        <f t="shared" si="11"/>
        <v>64940.000000000007</v>
      </c>
      <c r="U70" s="169"/>
      <c r="X70" s="152"/>
      <c r="Y70" s="282"/>
      <c r="Z70" s="171">
        <f>S70</f>
        <v>64940.000000000007</v>
      </c>
      <c r="AA70" s="280"/>
      <c r="AB70" s="174"/>
      <c r="AC70" s="174">
        <f>S70</f>
        <v>64940.000000000007</v>
      </c>
      <c r="AD70" s="174"/>
      <c r="AE70" s="172"/>
      <c r="AF70" s="172"/>
      <c r="AG70" s="172"/>
      <c r="AH70" s="172"/>
      <c r="AI70" s="152"/>
    </row>
    <row r="71" spans="1:35" x14ac:dyDescent="0.3">
      <c r="A71" s="157" t="s">
        <v>901</v>
      </c>
      <c r="B71" s="157" t="s">
        <v>419</v>
      </c>
      <c r="C71" s="157" t="s">
        <v>884</v>
      </c>
      <c r="D71" s="157" t="s">
        <v>26</v>
      </c>
      <c r="E71" s="157" t="s">
        <v>520</v>
      </c>
      <c r="F71" s="158" t="s">
        <v>903</v>
      </c>
      <c r="G71" s="157">
        <v>3</v>
      </c>
      <c r="H71" s="157" t="s">
        <v>24</v>
      </c>
      <c r="I71" s="175">
        <v>3</v>
      </c>
      <c r="J71" s="176"/>
      <c r="K71" s="176"/>
      <c r="L71" s="177"/>
      <c r="M71" s="163">
        <v>1</v>
      </c>
      <c r="N71" s="166">
        <v>13000</v>
      </c>
      <c r="O71" s="173">
        <v>0.2</v>
      </c>
      <c r="P71" s="166">
        <f t="shared" si="10"/>
        <v>10400</v>
      </c>
      <c r="Q71" s="166">
        <f t="shared" si="8"/>
        <v>31200</v>
      </c>
      <c r="R71" s="178">
        <f t="shared" si="9"/>
        <v>5.9667995796772184E-2</v>
      </c>
      <c r="S71" s="168">
        <f t="shared" si="12"/>
        <v>31200</v>
      </c>
      <c r="T71" s="282">
        <f t="shared" si="11"/>
        <v>31200</v>
      </c>
      <c r="X71" s="152"/>
      <c r="Y71" s="282">
        <f>S71</f>
        <v>31200</v>
      </c>
      <c r="Z71" s="171"/>
      <c r="AA71" s="280"/>
      <c r="AB71" s="172"/>
      <c r="AC71" s="174">
        <f>S71</f>
        <v>31200</v>
      </c>
      <c r="AD71" s="172"/>
      <c r="AE71" s="172"/>
      <c r="AF71" s="172"/>
      <c r="AG71" s="172"/>
      <c r="AH71" s="172"/>
      <c r="AI71" s="152"/>
    </row>
    <row r="72" spans="1:35" x14ac:dyDescent="0.3">
      <c r="A72" s="157" t="s">
        <v>901</v>
      </c>
      <c r="B72" s="157" t="s">
        <v>419</v>
      </c>
      <c r="C72" s="157" t="s">
        <v>884</v>
      </c>
      <c r="D72" s="157" t="s">
        <v>21</v>
      </c>
      <c r="E72" s="157" t="s">
        <v>518</v>
      </c>
      <c r="F72" s="158" t="s">
        <v>902</v>
      </c>
      <c r="G72" s="157">
        <v>3</v>
      </c>
      <c r="H72" s="157" t="s">
        <v>24</v>
      </c>
      <c r="I72" s="159">
        <v>3</v>
      </c>
      <c r="J72" s="161"/>
      <c r="K72" s="161"/>
      <c r="L72" s="2209"/>
      <c r="M72" s="163">
        <v>1</v>
      </c>
      <c r="N72" s="166">
        <v>14950</v>
      </c>
      <c r="O72" s="173">
        <v>0.2</v>
      </c>
      <c r="P72" s="166">
        <f t="shared" si="10"/>
        <v>11960</v>
      </c>
      <c r="Q72" s="166">
        <f t="shared" si="8"/>
        <v>35880</v>
      </c>
      <c r="R72" s="167">
        <f t="shared" si="9"/>
        <v>6.8618195166288004E-2</v>
      </c>
      <c r="S72" s="168">
        <f t="shared" si="12"/>
        <v>35880</v>
      </c>
      <c r="T72" s="282">
        <f t="shared" si="11"/>
        <v>35880</v>
      </c>
      <c r="V72" s="169"/>
      <c r="X72" s="152"/>
      <c r="Y72" s="283">
        <f>S72</f>
        <v>35880</v>
      </c>
      <c r="Z72" s="171"/>
      <c r="AA72" s="280"/>
      <c r="AB72" s="174"/>
      <c r="AC72" s="174">
        <f>S72</f>
        <v>35880</v>
      </c>
      <c r="AD72" s="174"/>
      <c r="AE72" s="172"/>
      <c r="AF72" s="172"/>
      <c r="AG72" s="172"/>
      <c r="AH72" s="172"/>
      <c r="AI72" s="152"/>
    </row>
    <row r="73" spans="1:35" x14ac:dyDescent="0.3">
      <c r="A73" s="157" t="s">
        <v>901</v>
      </c>
      <c r="B73" s="157" t="s">
        <v>420</v>
      </c>
      <c r="C73" s="157" t="s">
        <v>883</v>
      </c>
      <c r="D73" s="157" t="s">
        <v>166</v>
      </c>
      <c r="E73" s="157" t="s">
        <v>524</v>
      </c>
      <c r="F73" s="158" t="s">
        <v>522</v>
      </c>
      <c r="G73" s="157">
        <v>25</v>
      </c>
      <c r="H73" s="157" t="s">
        <v>63</v>
      </c>
      <c r="K73" s="773">
        <v>25</v>
      </c>
      <c r="L73" s="177"/>
      <c r="M73" s="163">
        <v>1</v>
      </c>
      <c r="N73" s="166">
        <v>3750</v>
      </c>
      <c r="O73" s="173">
        <v>0.2</v>
      </c>
      <c r="P73" s="166">
        <f t="shared" si="10"/>
        <v>3000</v>
      </c>
      <c r="Q73" s="166">
        <f t="shared" si="8"/>
        <v>75000</v>
      </c>
      <c r="R73" s="184">
        <f t="shared" si="9"/>
        <v>0.14343268220377928</v>
      </c>
      <c r="S73" s="168">
        <f t="shared" si="12"/>
        <v>75000</v>
      </c>
      <c r="T73" s="282">
        <f t="shared" si="11"/>
        <v>75000</v>
      </c>
      <c r="X73" s="152"/>
      <c r="Y73" s="282"/>
      <c r="Z73" s="171">
        <f>S73</f>
        <v>75000</v>
      </c>
      <c r="AA73" s="280"/>
      <c r="AB73" s="174"/>
      <c r="AC73" s="174"/>
      <c r="AD73" s="174">
        <f>S73</f>
        <v>75000</v>
      </c>
      <c r="AE73" s="172"/>
      <c r="AF73" s="172"/>
      <c r="AG73" s="172"/>
      <c r="AH73" s="172"/>
      <c r="AI73" s="152"/>
    </row>
    <row r="74" spans="1:35" x14ac:dyDescent="0.3">
      <c r="A74" s="157" t="s">
        <v>901</v>
      </c>
      <c r="B74" s="157" t="s">
        <v>422</v>
      </c>
      <c r="C74" s="157" t="s">
        <v>884</v>
      </c>
      <c r="D74" s="157" t="s">
        <v>21</v>
      </c>
      <c r="E74" s="157" t="s">
        <v>518</v>
      </c>
      <c r="F74" s="158" t="s">
        <v>902</v>
      </c>
      <c r="G74" s="157">
        <v>3</v>
      </c>
      <c r="H74" s="157" t="s">
        <v>24</v>
      </c>
      <c r="I74" s="159">
        <v>3</v>
      </c>
      <c r="J74" s="161"/>
      <c r="K74" s="161"/>
      <c r="L74" s="2209"/>
      <c r="M74" s="157">
        <v>1</v>
      </c>
      <c r="N74" s="166">
        <v>5000</v>
      </c>
      <c r="O74" s="173">
        <v>0.35</v>
      </c>
      <c r="P74" s="166">
        <f t="shared" si="10"/>
        <v>3250</v>
      </c>
      <c r="Q74" s="166">
        <f t="shared" si="8"/>
        <v>9750</v>
      </c>
      <c r="R74" s="167">
        <f t="shared" si="9"/>
        <v>1.8646248686491305E-2</v>
      </c>
      <c r="S74" s="168">
        <f t="shared" si="12"/>
        <v>9750</v>
      </c>
      <c r="T74" s="282">
        <f t="shared" si="11"/>
        <v>9750</v>
      </c>
      <c r="X74" s="152"/>
      <c r="Y74" s="282">
        <f>S74</f>
        <v>9750</v>
      </c>
      <c r="Z74" s="171"/>
      <c r="AA74" s="280"/>
      <c r="AB74" s="174"/>
      <c r="AC74" s="174"/>
      <c r="AD74" s="174"/>
      <c r="AE74" s="172"/>
      <c r="AF74" s="174">
        <f>S74</f>
        <v>9750</v>
      </c>
      <c r="AG74" s="172"/>
      <c r="AH74" s="172"/>
      <c r="AI74" s="152"/>
    </row>
    <row r="75" spans="1:35" x14ac:dyDescent="0.3">
      <c r="A75" s="157" t="s">
        <v>901</v>
      </c>
      <c r="B75" s="157" t="s">
        <v>130</v>
      </c>
      <c r="C75" s="157" t="s">
        <v>905</v>
      </c>
      <c r="D75" s="157" t="s">
        <v>148</v>
      </c>
      <c r="E75" s="157" t="s">
        <v>524</v>
      </c>
      <c r="F75" s="158" t="s">
        <v>613</v>
      </c>
      <c r="G75" s="157">
        <v>22</v>
      </c>
      <c r="H75" s="157" t="s">
        <v>24</v>
      </c>
      <c r="I75" s="159">
        <v>22</v>
      </c>
      <c r="J75" s="161"/>
      <c r="K75" s="161"/>
      <c r="L75" s="2209"/>
      <c r="M75" s="157">
        <v>1</v>
      </c>
      <c r="N75" s="166">
        <v>12873</v>
      </c>
      <c r="O75" s="173">
        <v>0.82</v>
      </c>
      <c r="P75" s="186">
        <f t="shared" si="10"/>
        <v>2317.1400000000008</v>
      </c>
      <c r="Q75" s="166">
        <f t="shared" si="8"/>
        <v>50977.080000000016</v>
      </c>
      <c r="R75" s="178">
        <f t="shared" si="9"/>
        <v>9.7490390870888469E-2</v>
      </c>
      <c r="S75" s="168">
        <f t="shared" si="12"/>
        <v>50977.080000000016</v>
      </c>
      <c r="T75" s="282">
        <f t="shared" si="11"/>
        <v>50977.080000000016</v>
      </c>
      <c r="X75" s="152"/>
      <c r="Y75" s="282">
        <f t="shared" ref="Y75:Y76" si="13">S75</f>
        <v>50977.080000000016</v>
      </c>
      <c r="Z75" s="171"/>
      <c r="AA75" s="280"/>
      <c r="AB75" s="172"/>
      <c r="AC75" s="174"/>
      <c r="AD75" s="174"/>
      <c r="AE75" s="174"/>
      <c r="AF75" s="172"/>
      <c r="AG75" s="172"/>
      <c r="AH75" s="174">
        <f>S75</f>
        <v>50977.080000000016</v>
      </c>
      <c r="AI75" s="152"/>
    </row>
    <row r="76" spans="1:35" x14ac:dyDescent="0.3">
      <c r="A76" s="157" t="s">
        <v>901</v>
      </c>
      <c r="B76" s="157" t="s">
        <v>422</v>
      </c>
      <c r="C76" s="157" t="s">
        <v>884</v>
      </c>
      <c r="D76" s="157" t="s">
        <v>26</v>
      </c>
      <c r="E76" s="157" t="s">
        <v>520</v>
      </c>
      <c r="F76" s="158" t="s">
        <v>903</v>
      </c>
      <c r="G76" s="157">
        <v>4</v>
      </c>
      <c r="H76" s="157" t="s">
        <v>24</v>
      </c>
      <c r="I76" s="159">
        <v>4</v>
      </c>
      <c r="J76" s="161"/>
      <c r="K76" s="161"/>
      <c r="L76" s="2209"/>
      <c r="M76" s="157">
        <v>1</v>
      </c>
      <c r="N76" s="166">
        <v>9696</v>
      </c>
      <c r="O76" s="173">
        <v>0.35</v>
      </c>
      <c r="P76" s="186">
        <f t="shared" si="10"/>
        <v>6302.4000000000005</v>
      </c>
      <c r="Q76" s="166">
        <f t="shared" si="8"/>
        <v>25209.600000000002</v>
      </c>
      <c r="R76" s="178">
        <f t="shared" si="9"/>
        <v>4.8211740603791929E-2</v>
      </c>
      <c r="S76" s="168">
        <f t="shared" si="12"/>
        <v>25209.600000000002</v>
      </c>
      <c r="T76" s="282">
        <f t="shared" si="11"/>
        <v>25209.600000000002</v>
      </c>
      <c r="X76" s="152"/>
      <c r="Y76" s="282">
        <f t="shared" si="13"/>
        <v>25209.600000000002</v>
      </c>
      <c r="Z76" s="152"/>
      <c r="AA76" s="280"/>
      <c r="AB76" s="172"/>
      <c r="AC76" s="172"/>
      <c r="AD76" s="172"/>
      <c r="AE76" s="174"/>
      <c r="AF76" s="174">
        <f>S76</f>
        <v>25209.600000000002</v>
      </c>
      <c r="AG76" s="172"/>
      <c r="AH76" s="172"/>
      <c r="AI76" s="152"/>
    </row>
    <row r="77" spans="1:35" x14ac:dyDescent="0.3">
      <c r="A77" s="157" t="s">
        <v>901</v>
      </c>
      <c r="B77" s="157" t="s">
        <v>158</v>
      </c>
      <c r="C77" s="157" t="s">
        <v>904</v>
      </c>
      <c r="D77" s="157" t="s">
        <v>402</v>
      </c>
      <c r="E77" s="157" t="s">
        <v>520</v>
      </c>
      <c r="F77" s="158" t="s">
        <v>874</v>
      </c>
      <c r="G77" s="157">
        <v>24</v>
      </c>
      <c r="H77" s="157" t="s">
        <v>22</v>
      </c>
      <c r="I77" s="161">
        <v>24</v>
      </c>
      <c r="J77" s="773">
        <v>24</v>
      </c>
      <c r="L77" s="286"/>
      <c r="M77" s="157">
        <v>2</v>
      </c>
      <c r="N77" s="166">
        <v>2200</v>
      </c>
      <c r="O77" s="173">
        <v>0.2</v>
      </c>
      <c r="P77" s="186">
        <f t="shared" si="10"/>
        <v>1760</v>
      </c>
      <c r="Q77" s="166">
        <f t="shared" si="8"/>
        <v>84480</v>
      </c>
      <c r="R77" s="1054">
        <f t="shared" si="9"/>
        <v>0.16156257323433698</v>
      </c>
      <c r="S77" s="168">
        <f t="shared" si="12"/>
        <v>84480</v>
      </c>
      <c r="T77" s="282">
        <f t="shared" si="11"/>
        <v>84480</v>
      </c>
      <c r="X77" s="152"/>
      <c r="Y77" s="282">
        <f>S77</f>
        <v>84480</v>
      </c>
      <c r="Z77" s="171"/>
      <c r="AA77" s="280"/>
      <c r="AB77" s="172"/>
      <c r="AC77" s="172"/>
      <c r="AD77" s="172"/>
      <c r="AE77" s="172"/>
      <c r="AF77" s="174"/>
      <c r="AG77" s="174">
        <f>S77</f>
        <v>84480</v>
      </c>
      <c r="AH77" s="172"/>
      <c r="AI77" s="152"/>
    </row>
    <row r="78" spans="1:35" x14ac:dyDescent="0.3">
      <c r="A78" s="157" t="s">
        <v>901</v>
      </c>
      <c r="B78" s="157" t="s">
        <v>179</v>
      </c>
      <c r="C78" s="157" t="s">
        <v>886</v>
      </c>
      <c r="D78" s="157" t="s">
        <v>180</v>
      </c>
      <c r="E78" s="157" t="s">
        <v>520</v>
      </c>
      <c r="F78" s="158" t="s">
        <v>613</v>
      </c>
      <c r="G78" s="157">
        <v>14</v>
      </c>
      <c r="H78" s="157" t="s">
        <v>24</v>
      </c>
      <c r="I78" s="159">
        <v>14</v>
      </c>
      <c r="J78" s="161"/>
      <c r="K78" s="161"/>
      <c r="L78" s="2209"/>
      <c r="M78" s="157">
        <v>1</v>
      </c>
      <c r="N78" s="166">
        <v>9388</v>
      </c>
      <c r="O78" s="173">
        <v>0.4</v>
      </c>
      <c r="P78" s="186">
        <f t="shared" si="10"/>
        <v>5632.8</v>
      </c>
      <c r="Q78" s="166">
        <f t="shared" si="8"/>
        <v>78859.199999999997</v>
      </c>
      <c r="R78" s="1054">
        <f t="shared" si="9"/>
        <v>0.15081315429925696</v>
      </c>
      <c r="S78" s="168">
        <f t="shared" si="12"/>
        <v>78859.199999999997</v>
      </c>
      <c r="T78" s="282"/>
      <c r="V78" s="169">
        <f>S78</f>
        <v>78859.199999999997</v>
      </c>
      <c r="X78" s="152"/>
      <c r="Y78" s="282">
        <f t="shared" ref="Y78:Y80" si="14">S78</f>
        <v>78859.199999999997</v>
      </c>
      <c r="Z78" s="152"/>
      <c r="AA78" s="280"/>
      <c r="AB78" s="172"/>
      <c r="AC78" s="172"/>
      <c r="AD78" s="172"/>
      <c r="AE78" s="172"/>
      <c r="AF78" s="174"/>
      <c r="AG78" s="172"/>
      <c r="AH78" s="172"/>
      <c r="AI78" s="689">
        <f>Q78</f>
        <v>78859.199999999997</v>
      </c>
    </row>
    <row r="79" spans="1:35" x14ac:dyDescent="0.3">
      <c r="A79" s="172"/>
      <c r="B79" s="157"/>
      <c r="C79" s="190"/>
      <c r="D79" s="190"/>
      <c r="E79" s="190"/>
      <c r="F79" s="191"/>
      <c r="G79" s="190"/>
      <c r="H79" s="190"/>
      <c r="I79" s="245"/>
      <c r="J79" s="245"/>
      <c r="K79" s="245"/>
      <c r="L79" s="287"/>
      <c r="M79" s="190"/>
      <c r="N79" s="194"/>
      <c r="O79" s="195"/>
      <c r="P79" s="288"/>
      <c r="Q79" s="166"/>
      <c r="R79" s="393"/>
      <c r="S79" s="168"/>
      <c r="T79" s="282">
        <f t="shared" si="11"/>
        <v>0</v>
      </c>
      <c r="X79" s="152"/>
      <c r="Y79" s="282">
        <f t="shared" si="14"/>
        <v>0</v>
      </c>
      <c r="Z79" s="152"/>
      <c r="AA79" s="280"/>
      <c r="AB79" s="172"/>
      <c r="AC79" s="172"/>
      <c r="AD79" s="172"/>
      <c r="AE79" s="172"/>
      <c r="AF79" s="174"/>
      <c r="AG79" s="172"/>
      <c r="AH79" s="172"/>
      <c r="AI79" s="152"/>
    </row>
    <row r="80" spans="1:35" x14ac:dyDescent="0.3">
      <c r="A80" s="108" t="s">
        <v>901</v>
      </c>
      <c r="B80" s="108" t="s">
        <v>528</v>
      </c>
      <c r="C80" s="192"/>
      <c r="D80" s="193"/>
      <c r="E80" s="193"/>
      <c r="F80" s="244"/>
      <c r="G80" s="193"/>
      <c r="H80" s="193"/>
      <c r="I80" s="245"/>
      <c r="J80" s="245"/>
      <c r="K80" s="245"/>
      <c r="L80" s="245"/>
      <c r="M80" s="193"/>
      <c r="N80" s="246"/>
      <c r="O80" s="196"/>
      <c r="P80" s="288"/>
      <c r="Q80" s="257"/>
      <c r="R80" s="262">
        <f>Q80/Q83</f>
        <v>0</v>
      </c>
      <c r="S80" s="168"/>
      <c r="T80" s="283"/>
      <c r="U80" s="169">
        <f>S80</f>
        <v>0</v>
      </c>
      <c r="X80" s="152"/>
      <c r="Y80" s="282">
        <f t="shared" si="14"/>
        <v>0</v>
      </c>
      <c r="Z80" s="152"/>
      <c r="AA80" s="280"/>
      <c r="AB80" s="172"/>
      <c r="AC80" s="172"/>
      <c r="AD80" s="172"/>
      <c r="AE80" s="172"/>
      <c r="AF80" s="172"/>
      <c r="AG80" s="174"/>
      <c r="AH80" s="174">
        <f>T80</f>
        <v>0</v>
      </c>
      <c r="AI80" s="171">
        <f>U80</f>
        <v>0</v>
      </c>
    </row>
    <row r="81" spans="1:35" x14ac:dyDescent="0.3">
      <c r="A81" s="108" t="s">
        <v>901</v>
      </c>
      <c r="B81" s="108" t="s">
        <v>529</v>
      </c>
      <c r="C81" s="289"/>
      <c r="D81" s="252"/>
      <c r="E81" s="252"/>
      <c r="F81" s="253"/>
      <c r="G81" s="252"/>
      <c r="H81" s="252"/>
      <c r="I81" s="254"/>
      <c r="J81" s="254"/>
      <c r="K81" s="254"/>
      <c r="L81" s="254"/>
      <c r="M81" s="252"/>
      <c r="N81" s="255"/>
      <c r="O81" s="256"/>
      <c r="P81" s="290"/>
      <c r="Q81" s="257">
        <v>43000</v>
      </c>
      <c r="R81" s="291">
        <f>Q81/Q83</f>
        <v>8.2234737796833463E-2</v>
      </c>
      <c r="S81" s="168">
        <f>SUM(Q81)</f>
        <v>43000</v>
      </c>
      <c r="T81" s="280"/>
      <c r="X81" s="689">
        <f>Q81</f>
        <v>43000</v>
      </c>
      <c r="Y81" s="280"/>
      <c r="Z81" s="152"/>
      <c r="AA81" s="280"/>
      <c r="AB81" s="172"/>
      <c r="AC81" s="172"/>
      <c r="AD81" s="172"/>
      <c r="AE81" s="172"/>
      <c r="AF81" s="172"/>
      <c r="AG81" s="172"/>
      <c r="AH81" s="172"/>
      <c r="AI81" s="152"/>
    </row>
    <row r="82" spans="1:35" x14ac:dyDescent="0.3">
      <c r="I82" s="115">
        <f>I83/M83</f>
        <v>0.66442953020134232</v>
      </c>
      <c r="J82" s="115">
        <f>J83/M83</f>
        <v>0.16778523489932887</v>
      </c>
      <c r="K82" s="115">
        <f>K83/M83</f>
        <v>0.16778523489932887</v>
      </c>
      <c r="S82" s="1092"/>
      <c r="T82" s="566"/>
      <c r="U82" s="245"/>
      <c r="V82" s="245"/>
      <c r="W82" s="245"/>
      <c r="X82" s="567"/>
      <c r="Y82" s="566"/>
      <c r="Z82" s="567"/>
      <c r="AA82" s="566"/>
      <c r="AB82" s="738"/>
      <c r="AC82" s="738"/>
      <c r="AD82" s="738"/>
      <c r="AE82" s="738"/>
      <c r="AF82" s="738"/>
      <c r="AG82" s="738"/>
      <c r="AH82" s="738"/>
      <c r="AI82" s="567"/>
    </row>
    <row r="83" spans="1:35" x14ac:dyDescent="0.3">
      <c r="A83" s="212" t="s">
        <v>531</v>
      </c>
      <c r="B83" s="213"/>
      <c r="C83" s="213"/>
      <c r="D83" s="213"/>
      <c r="E83" s="213"/>
      <c r="F83" s="214"/>
      <c r="G83" s="213"/>
      <c r="H83" s="213"/>
      <c r="I83" s="213">
        <f>I76+I75+I74+I72+I71+I70+I69+I77+I78</f>
        <v>99</v>
      </c>
      <c r="J83" s="213">
        <f>J68+J77</f>
        <v>25</v>
      </c>
      <c r="K83" s="213">
        <f>K73</f>
        <v>25</v>
      </c>
      <c r="L83" s="213"/>
      <c r="M83" s="213">
        <f>SUM(I83:L83)</f>
        <v>149</v>
      </c>
      <c r="N83" s="215"/>
      <c r="O83" s="216"/>
      <c r="P83" s="215"/>
      <c r="Q83" s="481">
        <f>SUM(Q67:Q82)</f>
        <v>522893.38</v>
      </c>
      <c r="R83" s="218">
        <f>SUM(R67:R81)</f>
        <v>0.99999999999999989</v>
      </c>
      <c r="S83" s="610">
        <f>SUM(S67:S82)</f>
        <v>522893.38</v>
      </c>
      <c r="T83" s="220">
        <f>SUM(T67:T82)</f>
        <v>401034.18</v>
      </c>
      <c r="U83" s="221">
        <f t="shared" ref="U83:X83" si="15">SUM(U65:U81)</f>
        <v>0</v>
      </c>
      <c r="V83" s="221">
        <f t="shared" si="15"/>
        <v>78859.199999999997</v>
      </c>
      <c r="W83" s="221">
        <f t="shared" si="15"/>
        <v>0</v>
      </c>
      <c r="X83" s="223">
        <f t="shared" si="15"/>
        <v>43000</v>
      </c>
      <c r="Y83" s="222">
        <f>SUM(Y64:Y82)</f>
        <v>316355.88</v>
      </c>
      <c r="Z83" s="223">
        <f>SUM(Z64:Z82)</f>
        <v>158857.5</v>
      </c>
      <c r="AA83" s="220">
        <f>SUM(AA64:AA82)</f>
        <v>18917.5</v>
      </c>
      <c r="AB83" s="816">
        <f>SUM(AB64:AB82)</f>
        <v>18917.5</v>
      </c>
      <c r="AC83" s="816">
        <f t="shared" ref="AC83:AI83" si="16">SUM(AC64:AC82)</f>
        <v>132020</v>
      </c>
      <c r="AD83" s="816">
        <f t="shared" si="16"/>
        <v>75000</v>
      </c>
      <c r="AE83" s="816">
        <f t="shared" si="16"/>
        <v>0</v>
      </c>
      <c r="AF83" s="816">
        <f t="shared" si="16"/>
        <v>34959.600000000006</v>
      </c>
      <c r="AG83" s="1091">
        <f t="shared" si="16"/>
        <v>84480</v>
      </c>
      <c r="AH83" s="1091">
        <f t="shared" si="16"/>
        <v>50977.080000000016</v>
      </c>
      <c r="AI83" s="571">
        <f t="shared" si="16"/>
        <v>78859.199999999997</v>
      </c>
    </row>
    <row r="84" spans="1:35" x14ac:dyDescent="0.3">
      <c r="A84" s="228" t="s">
        <v>532</v>
      </c>
      <c r="B84" s="229"/>
      <c r="C84" s="229"/>
      <c r="D84" s="229"/>
      <c r="E84" s="229"/>
      <c r="F84" s="230"/>
      <c r="G84" s="229"/>
      <c r="H84" s="229"/>
      <c r="I84" s="229">
        <f>I76+I75+I74+I72+I71+I70+I69+I77+I78</f>
        <v>99</v>
      </c>
      <c r="J84" s="229">
        <f>I76+I75+I74+I72+I71+I70+I69+J68+J77+I78</f>
        <v>100</v>
      </c>
      <c r="K84" s="229">
        <f>I76+I75+I74+K73+I72+I71+I69+J68+I78</f>
        <v>76</v>
      </c>
      <c r="L84" s="229">
        <f>I76+I75+I74+K73+I72+I71+I69+I78</f>
        <v>75</v>
      </c>
      <c r="M84" s="229">
        <f>SUM(I84:L84)</f>
        <v>350</v>
      </c>
      <c r="N84" s="231"/>
      <c r="O84" s="232"/>
      <c r="P84" s="231"/>
      <c r="Q84" s="231"/>
      <c r="R84" s="233"/>
      <c r="S84" s="234"/>
      <c r="T84" s="235">
        <f>T83/S83</f>
        <v>0.76695210790390955</v>
      </c>
      <c r="U84" s="236">
        <f>U83/S83</f>
        <v>0</v>
      </c>
      <c r="V84" s="236">
        <f>V83/S83</f>
        <v>0.15081315429925696</v>
      </c>
      <c r="W84" s="236">
        <f>W83/S83</f>
        <v>0</v>
      </c>
      <c r="X84" s="297">
        <f>X83/S83</f>
        <v>8.2234737796833463E-2</v>
      </c>
      <c r="Y84" s="298">
        <f>Y83/S83</f>
        <v>0.60501029865782585</v>
      </c>
      <c r="Z84" s="297">
        <f>Z83/S83</f>
        <v>0.30380476417582492</v>
      </c>
      <c r="AA84" s="573"/>
      <c r="AB84" s="241"/>
      <c r="AC84" s="241"/>
      <c r="AD84" s="241"/>
      <c r="AE84" s="241"/>
      <c r="AF84" s="241"/>
      <c r="AG84" s="241"/>
      <c r="AH84" s="241"/>
      <c r="AI84" s="242"/>
    </row>
    <row r="85" spans="1:35" x14ac:dyDescent="0.3">
      <c r="A85" s="243" t="s">
        <v>533</v>
      </c>
      <c r="B85" s="193"/>
      <c r="C85" s="193"/>
      <c r="D85" s="193"/>
      <c r="E85" s="193"/>
      <c r="F85" s="244"/>
      <c r="G85" s="193"/>
      <c r="H85" s="193"/>
      <c r="I85" s="2182">
        <f>I84/M84</f>
        <v>0.28285714285714286</v>
      </c>
      <c r="J85" s="2182">
        <f>J84/M84</f>
        <v>0.2857142857142857</v>
      </c>
      <c r="K85" s="2182">
        <f>K84/M84</f>
        <v>0.21714285714285714</v>
      </c>
      <c r="L85" s="2182">
        <f>L84/M84</f>
        <v>0.21428571428571427</v>
      </c>
      <c r="M85" s="193"/>
      <c r="N85" s="246"/>
      <c r="O85" s="196"/>
      <c r="P85" s="246"/>
      <c r="Q85" s="194">
        <f>T83</f>
        <v>401034.18</v>
      </c>
      <c r="R85" s="247">
        <f>Q85/Q90</f>
        <v>0.76695210790390955</v>
      </c>
      <c r="X85" s="248"/>
      <c r="Y85" s="357">
        <f>I70+I71+K73+I75+I76</f>
        <v>79</v>
      </c>
      <c r="Z85" s="358">
        <f>J68+I69+I72+I74+I77+J77+I78</f>
        <v>70</v>
      </c>
      <c r="AA85" s="143"/>
      <c r="AB85" s="143"/>
      <c r="AC85" s="143"/>
      <c r="AD85" s="143"/>
      <c r="AE85" s="143"/>
      <c r="AF85" s="143"/>
    </row>
    <row r="86" spans="1:35" x14ac:dyDescent="0.3">
      <c r="A86" s="251" t="s">
        <v>11</v>
      </c>
      <c r="B86" s="252"/>
      <c r="C86" s="252"/>
      <c r="D86" s="252"/>
      <c r="E86" s="252"/>
      <c r="F86" s="253"/>
      <c r="G86" s="252"/>
      <c r="H86" s="252"/>
      <c r="I86" s="254"/>
      <c r="J86" s="254"/>
      <c r="K86" s="254"/>
      <c r="L86" s="254"/>
      <c r="M86" s="252"/>
      <c r="N86" s="255"/>
      <c r="O86" s="256"/>
      <c r="P86" s="255"/>
      <c r="Q86" s="257">
        <f>U83</f>
        <v>0</v>
      </c>
      <c r="R86" s="256">
        <f>Q86/Q90</f>
        <v>0</v>
      </c>
      <c r="S86" s="1050">
        <f>Q83/M83</f>
        <v>3509.351543624161</v>
      </c>
      <c r="T86" s="1051" t="s">
        <v>535</v>
      </c>
      <c r="Y86" s="195">
        <f>Y85/M83</f>
        <v>0.53020134228187921</v>
      </c>
      <c r="Z86" s="247">
        <f>Z85/M83</f>
        <v>0.46979865771812079</v>
      </c>
    </row>
    <row r="87" spans="1:35" x14ac:dyDescent="0.3">
      <c r="A87" s="251" t="s">
        <v>536</v>
      </c>
      <c r="B87" s="252"/>
      <c r="C87" s="252"/>
      <c r="D87" s="252"/>
      <c r="E87" s="252"/>
      <c r="F87" s="253"/>
      <c r="G87" s="252"/>
      <c r="H87" s="252"/>
      <c r="I87" s="254"/>
      <c r="J87" s="254"/>
      <c r="K87" s="254"/>
      <c r="L87" s="254"/>
      <c r="M87" s="252"/>
      <c r="N87" s="255"/>
      <c r="O87" s="256"/>
      <c r="P87" s="255"/>
      <c r="Q87" s="257">
        <f>V83</f>
        <v>78859.199999999997</v>
      </c>
      <c r="R87" s="262">
        <f>Q87/Q90</f>
        <v>0.15081315429925696</v>
      </c>
      <c r="S87" s="15"/>
      <c r="T87" s="18"/>
      <c r="U87" s="18"/>
      <c r="V87" s="18"/>
      <c r="W87" s="18"/>
      <c r="X87" s="18"/>
      <c r="Y87" s="2551" t="s">
        <v>537</v>
      </c>
      <c r="Z87" s="2551"/>
      <c r="AA87" s="421"/>
    </row>
    <row r="88" spans="1:35" x14ac:dyDescent="0.3">
      <c r="A88" s="251" t="s">
        <v>529</v>
      </c>
      <c r="B88" s="252"/>
      <c r="C88" s="252"/>
      <c r="D88" s="252"/>
      <c r="E88" s="252"/>
      <c r="F88" s="253"/>
      <c r="G88" s="252"/>
      <c r="H88" s="252"/>
      <c r="I88" s="254"/>
      <c r="J88" s="254"/>
      <c r="K88" s="254"/>
      <c r="L88" s="254"/>
      <c r="M88" s="252"/>
      <c r="N88" s="255"/>
      <c r="O88" s="256"/>
      <c r="P88" s="255"/>
      <c r="Q88" s="257">
        <f>X83</f>
        <v>43000</v>
      </c>
      <c r="R88" s="262">
        <f>Q88/Q90</f>
        <v>8.2234737796833463E-2</v>
      </c>
      <c r="S88" s="9"/>
      <c r="X88" s="248"/>
      <c r="Y88" s="17"/>
      <c r="Z88" s="17"/>
    </row>
    <row r="89" spans="1:35" x14ac:dyDescent="0.3">
      <c r="A89" s="251" t="s">
        <v>528</v>
      </c>
      <c r="B89" s="252"/>
      <c r="C89" s="252"/>
      <c r="D89" s="252"/>
      <c r="E89" s="252"/>
      <c r="F89" s="253"/>
      <c r="G89" s="252"/>
      <c r="H89" s="252"/>
      <c r="I89" s="254"/>
      <c r="J89" s="254"/>
      <c r="K89" s="254"/>
      <c r="L89" s="254"/>
      <c r="M89" s="252"/>
      <c r="N89" s="255"/>
      <c r="O89" s="256"/>
      <c r="P89" s="255"/>
      <c r="Q89" s="257">
        <f>W83</f>
        <v>0</v>
      </c>
      <c r="R89" s="262">
        <f>Q89/Q90</f>
        <v>0</v>
      </c>
      <c r="S89" s="1093"/>
      <c r="T89" s="1094"/>
      <c r="Y89" s="18"/>
      <c r="Z89" s="18"/>
    </row>
    <row r="90" spans="1:35" x14ac:dyDescent="0.3">
      <c r="A90" s="251"/>
      <c r="B90" s="252"/>
      <c r="C90" s="252"/>
      <c r="D90" s="252"/>
      <c r="E90" s="252"/>
      <c r="F90" s="253"/>
      <c r="G90" s="252"/>
      <c r="H90" s="252"/>
      <c r="I90" s="254"/>
      <c r="J90" s="254"/>
      <c r="K90" s="254"/>
      <c r="L90" s="254"/>
      <c r="M90" s="252"/>
      <c r="N90" s="255"/>
      <c r="O90" s="256"/>
      <c r="P90" s="255"/>
      <c r="Q90" s="264">
        <f>SUM(Q85:Q89)</f>
        <v>522893.38</v>
      </c>
      <c r="R90" s="262">
        <f>SUM(R85:R89)</f>
        <v>0.99999999999999989</v>
      </c>
      <c r="S90" s="9"/>
      <c r="U90" s="263"/>
      <c r="W90" s="9"/>
    </row>
    <row r="91" spans="1:35" x14ac:dyDescent="0.3">
      <c r="B91" s="2"/>
      <c r="S91" s="9"/>
      <c r="T91" s="263"/>
      <c r="U91" s="263"/>
    </row>
    <row r="92" spans="1:35" x14ac:dyDescent="0.3">
      <c r="B92" s="2"/>
      <c r="S92" s="9"/>
    </row>
    <row r="93" spans="1:35" x14ac:dyDescent="0.3">
      <c r="B93" s="2"/>
      <c r="S93" s="9"/>
    </row>
    <row r="94" spans="1:35" x14ac:dyDescent="0.3">
      <c r="B94" s="2"/>
    </row>
    <row r="96" spans="1:35" x14ac:dyDescent="0.3">
      <c r="B96" s="2"/>
    </row>
    <row r="97" spans="1:35" x14ac:dyDescent="0.3">
      <c r="B97" s="2"/>
      <c r="E97" s="1" t="s">
        <v>543</v>
      </c>
      <c r="F97" s="2" t="s">
        <v>906</v>
      </c>
      <c r="G97" s="1" t="s">
        <v>545</v>
      </c>
      <c r="H97" s="1"/>
      <c r="I97" s="304">
        <v>0.52</v>
      </c>
      <c r="J97" s="304"/>
    </row>
    <row r="98" spans="1:35" x14ac:dyDescent="0.3">
      <c r="B98" s="2"/>
      <c r="E98" s="1" t="s">
        <v>473</v>
      </c>
      <c r="F98" s="2" t="s">
        <v>59</v>
      </c>
      <c r="G98" s="1" t="s">
        <v>473</v>
      </c>
      <c r="H98" s="1"/>
      <c r="I98" s="1">
        <v>21</v>
      </c>
      <c r="J98" s="1"/>
    </row>
    <row r="99" spans="1:35" x14ac:dyDescent="0.3">
      <c r="B99" s="2"/>
      <c r="E99" s="1" t="s">
        <v>475</v>
      </c>
      <c r="F99" s="2" t="s">
        <v>907</v>
      </c>
      <c r="G99" s="1" t="s">
        <v>475</v>
      </c>
      <c r="H99" s="1"/>
      <c r="I99" s="95">
        <v>1121</v>
      </c>
      <c r="J99" s="95"/>
    </row>
    <row r="100" spans="1:35" x14ac:dyDescent="0.3">
      <c r="B100" s="2"/>
      <c r="E100" s="1" t="s">
        <v>477</v>
      </c>
      <c r="F100" s="2" t="s">
        <v>908</v>
      </c>
      <c r="G100" s="1" t="s">
        <v>477</v>
      </c>
      <c r="H100" s="1"/>
      <c r="I100" s="95">
        <v>8957122</v>
      </c>
      <c r="J100" s="95"/>
    </row>
    <row r="101" spans="1:35" ht="18" x14ac:dyDescent="0.35">
      <c r="A101" s="1037" t="s">
        <v>549</v>
      </c>
      <c r="B101" s="2"/>
    </row>
    <row r="102" spans="1:35" x14ac:dyDescent="0.3">
      <c r="R102" s="98"/>
    </row>
    <row r="103" spans="1:35" x14ac:dyDescent="0.3">
      <c r="A103" s="2587" t="s">
        <v>480</v>
      </c>
      <c r="B103" s="2588"/>
      <c r="C103" s="2588"/>
      <c r="D103" s="2588"/>
      <c r="E103" s="2588"/>
      <c r="F103" s="2588"/>
      <c r="G103" s="2588"/>
      <c r="H103" s="2588"/>
      <c r="I103" s="2588"/>
      <c r="J103" s="2588"/>
      <c r="K103" s="2588"/>
      <c r="L103" s="2588"/>
      <c r="M103" s="2588"/>
      <c r="N103" s="2588"/>
      <c r="O103" s="2588"/>
      <c r="P103" s="2588"/>
      <c r="Q103" s="2588"/>
      <c r="R103" s="2589"/>
      <c r="S103" s="2563" t="s">
        <v>584</v>
      </c>
      <c r="T103" s="2564"/>
      <c r="U103" s="2564"/>
      <c r="V103" s="2564"/>
      <c r="W103" s="2564"/>
      <c r="X103" s="2564"/>
      <c r="Y103" s="2564"/>
      <c r="Z103" s="2564"/>
      <c r="AA103" s="2564"/>
      <c r="AB103" s="2564"/>
      <c r="AC103" s="2564"/>
      <c r="AD103" s="2564"/>
      <c r="AE103" s="2564"/>
      <c r="AF103" s="2564"/>
      <c r="AG103" s="2564"/>
      <c r="AH103" s="2564"/>
      <c r="AI103" s="2576"/>
    </row>
    <row r="104" spans="1:35" ht="90" x14ac:dyDescent="0.3">
      <c r="A104" s="2601" t="s">
        <v>482</v>
      </c>
      <c r="B104" s="2603" t="s">
        <v>483</v>
      </c>
      <c r="C104" s="2603" t="s">
        <v>484</v>
      </c>
      <c r="D104" s="2603" t="s">
        <v>485</v>
      </c>
      <c r="E104" s="2603" t="s">
        <v>486</v>
      </c>
      <c r="F104" s="2603" t="s">
        <v>487</v>
      </c>
      <c r="G104" s="2592" t="s">
        <v>488</v>
      </c>
      <c r="H104" s="2594" t="s">
        <v>489</v>
      </c>
      <c r="I104" s="2596" t="s">
        <v>490</v>
      </c>
      <c r="J104" s="2597"/>
      <c r="K104" s="2597"/>
      <c r="L104" s="2598"/>
      <c r="M104" s="2599" t="s">
        <v>863</v>
      </c>
      <c r="N104" s="2590" t="s">
        <v>864</v>
      </c>
      <c r="O104" s="2592" t="s">
        <v>865</v>
      </c>
      <c r="P104" s="2590" t="s">
        <v>866</v>
      </c>
      <c r="Q104" s="2590" t="s">
        <v>867</v>
      </c>
      <c r="R104" s="1059" t="s">
        <v>495</v>
      </c>
      <c r="S104" s="1059" t="s">
        <v>496</v>
      </c>
      <c r="T104" s="2568" t="s">
        <v>497</v>
      </c>
      <c r="U104" s="2568"/>
      <c r="V104" s="2568"/>
      <c r="W104" s="2568"/>
      <c r="X104" s="2568"/>
      <c r="Y104" s="2567" t="s">
        <v>498</v>
      </c>
      <c r="Z104" s="2571"/>
      <c r="AA104" s="2568"/>
      <c r="AB104" s="2568"/>
      <c r="AC104" s="2568"/>
      <c r="AD104" s="2568"/>
      <c r="AE104" s="2568"/>
      <c r="AF104" s="2568"/>
      <c r="AG104" s="2568"/>
      <c r="AH104" s="2568"/>
      <c r="AI104" s="2571"/>
    </row>
    <row r="105" spans="1:35" ht="18" x14ac:dyDescent="0.3">
      <c r="A105" s="2602"/>
      <c r="B105" s="2604"/>
      <c r="C105" s="2604"/>
      <c r="D105" s="2604"/>
      <c r="E105" s="2604"/>
      <c r="F105" s="2604"/>
      <c r="G105" s="2593"/>
      <c r="H105" s="2595"/>
      <c r="I105" s="1095" t="s">
        <v>500</v>
      </c>
      <c r="J105" s="1095" t="s">
        <v>501</v>
      </c>
      <c r="K105" s="1096" t="s">
        <v>502</v>
      </c>
      <c r="L105" s="1096" t="s">
        <v>503</v>
      </c>
      <c r="M105" s="2600"/>
      <c r="N105" s="2591"/>
      <c r="O105" s="2593"/>
      <c r="P105" s="2591"/>
      <c r="Q105" s="2591"/>
      <c r="R105" s="1060"/>
      <c r="S105" s="1060" t="s">
        <v>508</v>
      </c>
      <c r="T105" s="2570"/>
      <c r="U105" s="2570"/>
      <c r="V105" s="2570"/>
      <c r="W105" s="2570"/>
      <c r="X105" s="2570"/>
      <c r="Y105" s="2569"/>
      <c r="Z105" s="2577"/>
      <c r="AA105" s="2570"/>
      <c r="AB105" s="2570"/>
      <c r="AC105" s="2570"/>
      <c r="AD105" s="2570"/>
      <c r="AE105" s="2570"/>
      <c r="AF105" s="2570"/>
      <c r="AG105" s="2570"/>
      <c r="AH105" s="2570"/>
      <c r="AI105" s="2577"/>
    </row>
    <row r="106" spans="1:35" ht="18" x14ac:dyDescent="0.35">
      <c r="A106" s="2605" t="s">
        <v>639</v>
      </c>
      <c r="B106" s="2606"/>
      <c r="C106" s="2606"/>
      <c r="D106" s="2606"/>
      <c r="E106" s="2606"/>
      <c r="F106" s="2606"/>
      <c r="G106" s="2606"/>
      <c r="H106" s="2606"/>
      <c r="I106" s="2606"/>
      <c r="J106" s="2606"/>
      <c r="K106" s="2606"/>
      <c r="L106" s="2606"/>
      <c r="M106" s="2606"/>
      <c r="N106" s="2606"/>
      <c r="O106" s="2606"/>
      <c r="P106" s="2606"/>
      <c r="Q106" s="2606"/>
      <c r="R106" s="2606"/>
      <c r="S106" s="559"/>
      <c r="T106" s="563" t="s">
        <v>510</v>
      </c>
      <c r="U106" s="561" t="s">
        <v>11</v>
      </c>
      <c r="V106" s="561" t="s">
        <v>511</v>
      </c>
      <c r="W106" s="561" t="s">
        <v>512</v>
      </c>
      <c r="X106" s="562" t="s">
        <v>513</v>
      </c>
      <c r="Y106" s="563" t="s">
        <v>514</v>
      </c>
      <c r="Z106" s="562" t="s">
        <v>515</v>
      </c>
      <c r="AA106" s="1042" t="s">
        <v>5</v>
      </c>
      <c r="AB106" s="1044" t="s">
        <v>12</v>
      </c>
      <c r="AC106" s="1044" t="s">
        <v>174</v>
      </c>
      <c r="AD106" s="1044" t="s">
        <v>175</v>
      </c>
      <c r="AE106" s="1044" t="s">
        <v>176</v>
      </c>
      <c r="AF106" s="1044" t="s">
        <v>177</v>
      </c>
      <c r="AG106" s="1044" t="s">
        <v>156</v>
      </c>
      <c r="AH106" s="1044" t="s">
        <v>140</v>
      </c>
      <c r="AI106" s="1045" t="s">
        <v>139</v>
      </c>
    </row>
    <row r="107" spans="1:35" x14ac:dyDescent="0.3">
      <c r="A107" s="154"/>
      <c r="B107" s="462"/>
      <c r="C107" s="462"/>
      <c r="D107" s="462"/>
      <c r="E107" s="462"/>
      <c r="F107" s="463"/>
      <c r="G107" s="462"/>
      <c r="H107" s="462"/>
      <c r="I107" s="465"/>
      <c r="J107" s="465"/>
      <c r="K107" s="465"/>
      <c r="L107" s="465"/>
      <c r="M107" s="462"/>
      <c r="N107" s="468"/>
      <c r="O107" s="469"/>
      <c r="P107" s="468"/>
      <c r="Q107" s="468"/>
      <c r="R107" s="532"/>
      <c r="S107" s="149"/>
      <c r="T107" s="280"/>
      <c r="X107" s="152"/>
      <c r="Y107" s="280"/>
      <c r="Z107" s="152"/>
      <c r="AA107" s="151"/>
      <c r="AB107" s="172"/>
      <c r="AC107" s="172"/>
      <c r="AD107" s="172"/>
      <c r="AE107" s="172"/>
      <c r="AF107" s="172"/>
      <c r="AG107" s="172"/>
      <c r="AH107" s="172"/>
      <c r="AI107" s="152"/>
    </row>
    <row r="108" spans="1:35" x14ac:dyDescent="0.3">
      <c r="A108" s="157" t="s">
        <v>901</v>
      </c>
      <c r="B108" s="157" t="s">
        <v>108</v>
      </c>
      <c r="C108" s="157" t="s">
        <v>909</v>
      </c>
      <c r="D108" s="157" t="s">
        <v>21</v>
      </c>
      <c r="E108" s="157" t="s">
        <v>518</v>
      </c>
      <c r="F108" s="158" t="s">
        <v>910</v>
      </c>
      <c r="G108" s="157">
        <v>1</v>
      </c>
      <c r="H108" s="157" t="s">
        <v>63</v>
      </c>
      <c r="I108" s="188"/>
      <c r="J108" s="161">
        <v>1</v>
      </c>
      <c r="K108" s="161"/>
      <c r="L108" s="286"/>
      <c r="M108" s="163">
        <v>1</v>
      </c>
      <c r="N108" s="166">
        <v>7200</v>
      </c>
      <c r="O108" s="173">
        <v>0.35</v>
      </c>
      <c r="P108" s="166">
        <f>N108*(1-O108)</f>
        <v>4680</v>
      </c>
      <c r="Q108" s="166">
        <f t="shared" ref="Q108:Q118" si="17">P108*M108*G108</f>
        <v>4680</v>
      </c>
      <c r="R108" s="167">
        <f t="shared" ref="R108:R118" si="18">Q108/$Q$124</f>
        <v>1.2292763187271842E-2</v>
      </c>
      <c r="S108" s="168">
        <f t="shared" ref="S108:S118" si="19">Q108*3</f>
        <v>14040</v>
      </c>
      <c r="T108" s="282">
        <f t="shared" ref="T108:T117" si="20">S108</f>
        <v>14040</v>
      </c>
      <c r="U108" s="169"/>
      <c r="X108" s="152"/>
      <c r="Y108" s="282"/>
      <c r="Z108" s="171">
        <f>S108</f>
        <v>14040</v>
      </c>
      <c r="AA108" s="170">
        <f>S108</f>
        <v>14040</v>
      </c>
      <c r="AB108" s="174"/>
      <c r="AC108" s="174"/>
      <c r="AD108" s="174"/>
      <c r="AE108" s="172"/>
      <c r="AF108" s="172"/>
      <c r="AG108" s="172"/>
      <c r="AH108" s="172"/>
      <c r="AI108" s="152"/>
    </row>
    <row r="109" spans="1:35" x14ac:dyDescent="0.3">
      <c r="A109" s="157" t="s">
        <v>901</v>
      </c>
      <c r="B109" s="157" t="s">
        <v>419</v>
      </c>
      <c r="C109" s="157" t="s">
        <v>883</v>
      </c>
      <c r="D109" s="157" t="s">
        <v>166</v>
      </c>
      <c r="E109" s="157" t="s">
        <v>520</v>
      </c>
      <c r="F109" s="158" t="s">
        <v>552</v>
      </c>
      <c r="G109" s="157">
        <v>18</v>
      </c>
      <c r="H109" s="157" t="s">
        <v>63</v>
      </c>
      <c r="I109" s="159">
        <v>18</v>
      </c>
      <c r="J109" s="161"/>
      <c r="L109" s="286"/>
      <c r="M109" s="163">
        <v>1</v>
      </c>
      <c r="N109" s="166">
        <v>3247</v>
      </c>
      <c r="O109" s="173">
        <v>0.2</v>
      </c>
      <c r="P109" s="166">
        <f t="shared" ref="P109:P118" si="21">N109*(1-O109)</f>
        <v>2597.6000000000004</v>
      </c>
      <c r="Q109" s="166">
        <f t="shared" si="17"/>
        <v>46756.800000000003</v>
      </c>
      <c r="R109" s="178">
        <f t="shared" si="18"/>
        <v>0.12281416021252822</v>
      </c>
      <c r="S109" s="168">
        <f t="shared" si="19"/>
        <v>140270.40000000002</v>
      </c>
      <c r="T109" s="282">
        <f t="shared" si="20"/>
        <v>140270.40000000002</v>
      </c>
      <c r="X109" s="152"/>
      <c r="Y109" s="282">
        <f>S109</f>
        <v>140270.40000000002</v>
      </c>
      <c r="Z109" s="171"/>
      <c r="AA109" s="151"/>
      <c r="AB109" s="172"/>
      <c r="AC109" s="174">
        <f>S109</f>
        <v>140270.40000000002</v>
      </c>
      <c r="AD109" s="172"/>
      <c r="AE109" s="172"/>
      <c r="AF109" s="172"/>
      <c r="AG109" s="172"/>
      <c r="AH109" s="172"/>
      <c r="AI109" s="152"/>
    </row>
    <row r="110" spans="1:35" x14ac:dyDescent="0.3">
      <c r="A110" s="157" t="s">
        <v>901</v>
      </c>
      <c r="B110" s="157" t="s">
        <v>419</v>
      </c>
      <c r="C110" s="157" t="s">
        <v>909</v>
      </c>
      <c r="D110" s="157" t="s">
        <v>26</v>
      </c>
      <c r="E110" s="157" t="s">
        <v>520</v>
      </c>
      <c r="F110" s="158" t="s">
        <v>641</v>
      </c>
      <c r="G110" s="157">
        <v>2</v>
      </c>
      <c r="H110" s="157" t="s">
        <v>24</v>
      </c>
      <c r="I110" s="175">
        <v>2</v>
      </c>
      <c r="J110" s="176"/>
      <c r="K110" s="176"/>
      <c r="L110" s="177"/>
      <c r="M110" s="163">
        <v>1</v>
      </c>
      <c r="N110" s="166">
        <v>13000</v>
      </c>
      <c r="O110" s="173">
        <v>0.2</v>
      </c>
      <c r="P110" s="166">
        <f t="shared" si="21"/>
        <v>10400</v>
      </c>
      <c r="Q110" s="166">
        <f t="shared" si="17"/>
        <v>20800</v>
      </c>
      <c r="R110" s="178">
        <f t="shared" si="18"/>
        <v>5.4634503054541518E-2</v>
      </c>
      <c r="S110" s="168">
        <f t="shared" si="19"/>
        <v>62400</v>
      </c>
      <c r="T110" s="282">
        <f t="shared" si="20"/>
        <v>62400</v>
      </c>
      <c r="V110" s="169"/>
      <c r="X110" s="152"/>
      <c r="Y110" s="283">
        <f>S110</f>
        <v>62400</v>
      </c>
      <c r="Z110" s="171"/>
      <c r="AA110" s="151"/>
      <c r="AB110" s="174"/>
      <c r="AC110" s="174">
        <f>S110</f>
        <v>62400</v>
      </c>
      <c r="AD110" s="174"/>
      <c r="AE110" s="172"/>
      <c r="AF110" s="172"/>
      <c r="AG110" s="172"/>
      <c r="AH110" s="172"/>
      <c r="AI110" s="152"/>
    </row>
    <row r="111" spans="1:35" x14ac:dyDescent="0.3">
      <c r="A111" s="157" t="s">
        <v>901</v>
      </c>
      <c r="B111" s="157" t="s">
        <v>419</v>
      </c>
      <c r="C111" s="157" t="s">
        <v>909</v>
      </c>
      <c r="D111" s="157" t="s">
        <v>21</v>
      </c>
      <c r="E111" s="157" t="s">
        <v>518</v>
      </c>
      <c r="F111" s="158" t="s">
        <v>910</v>
      </c>
      <c r="G111" s="157">
        <v>2</v>
      </c>
      <c r="H111" s="157" t="s">
        <v>24</v>
      </c>
      <c r="I111" s="159">
        <v>2</v>
      </c>
      <c r="J111" s="161"/>
      <c r="K111" s="161"/>
      <c r="L111" s="2209"/>
      <c r="M111" s="163">
        <v>1</v>
      </c>
      <c r="N111" s="166">
        <v>14950</v>
      </c>
      <c r="O111" s="173">
        <v>0.2</v>
      </c>
      <c r="P111" s="166">
        <f t="shared" si="21"/>
        <v>11960</v>
      </c>
      <c r="Q111" s="166">
        <f t="shared" si="17"/>
        <v>23920</v>
      </c>
      <c r="R111" s="167">
        <f t="shared" si="18"/>
        <v>6.2829678512722753E-2</v>
      </c>
      <c r="S111" s="168">
        <f t="shared" si="19"/>
        <v>71760</v>
      </c>
      <c r="T111" s="282">
        <f t="shared" si="20"/>
        <v>71760</v>
      </c>
      <c r="X111" s="152"/>
      <c r="Y111" s="282"/>
      <c r="Z111" s="171">
        <f>S111</f>
        <v>71760</v>
      </c>
      <c r="AA111" s="151"/>
      <c r="AB111" s="174"/>
      <c r="AC111" s="174">
        <f>S111</f>
        <v>71760</v>
      </c>
      <c r="AD111" s="174"/>
      <c r="AE111" s="172"/>
      <c r="AF111" s="172"/>
      <c r="AG111" s="172"/>
      <c r="AH111" s="172"/>
      <c r="AI111" s="152"/>
    </row>
    <row r="112" spans="1:35" x14ac:dyDescent="0.3">
      <c r="A112" s="157" t="s">
        <v>901</v>
      </c>
      <c r="B112" s="157" t="s">
        <v>419</v>
      </c>
      <c r="C112" s="157" t="s">
        <v>909</v>
      </c>
      <c r="D112" s="157" t="s">
        <v>29</v>
      </c>
      <c r="E112" s="157" t="s">
        <v>520</v>
      </c>
      <c r="F112" s="158" t="s">
        <v>43</v>
      </c>
      <c r="G112" s="157">
        <v>1</v>
      </c>
      <c r="H112" s="157" t="s">
        <v>24</v>
      </c>
      <c r="I112" s="182">
        <v>1</v>
      </c>
      <c r="J112" s="183"/>
      <c r="K112" s="183"/>
      <c r="L112" s="2239"/>
      <c r="M112" s="163">
        <v>1</v>
      </c>
      <c r="N112" s="166">
        <v>39600</v>
      </c>
      <c r="O112" s="173">
        <v>0.2</v>
      </c>
      <c r="P112" s="166">
        <f t="shared" si="21"/>
        <v>31680</v>
      </c>
      <c r="Q112" s="166">
        <f t="shared" si="17"/>
        <v>31680</v>
      </c>
      <c r="R112" s="178">
        <f t="shared" si="18"/>
        <v>8.3212550806147853E-2</v>
      </c>
      <c r="S112" s="168">
        <f t="shared" si="19"/>
        <v>95040</v>
      </c>
      <c r="T112" s="282">
        <f t="shared" si="20"/>
        <v>95040</v>
      </c>
      <c r="X112" s="152"/>
      <c r="Y112" s="282">
        <f>S112</f>
        <v>95040</v>
      </c>
      <c r="Z112" s="171"/>
      <c r="AA112" s="151"/>
      <c r="AB112" s="174"/>
      <c r="AC112" s="174">
        <f>S112</f>
        <v>95040</v>
      </c>
      <c r="AD112" s="174"/>
      <c r="AE112" s="172"/>
      <c r="AF112" s="172"/>
      <c r="AG112" s="172"/>
      <c r="AH112" s="172"/>
      <c r="AI112" s="152"/>
    </row>
    <row r="113" spans="1:35" x14ac:dyDescent="0.3">
      <c r="A113" s="157" t="s">
        <v>901</v>
      </c>
      <c r="B113" s="157" t="s">
        <v>420</v>
      </c>
      <c r="C113" s="157" t="s">
        <v>883</v>
      </c>
      <c r="D113" s="157" t="s">
        <v>166</v>
      </c>
      <c r="E113" s="157" t="s">
        <v>524</v>
      </c>
      <c r="F113" s="158" t="s">
        <v>552</v>
      </c>
      <c r="G113" s="157">
        <v>18</v>
      </c>
      <c r="H113" s="157" t="s">
        <v>63</v>
      </c>
      <c r="K113" s="773">
        <v>18</v>
      </c>
      <c r="L113" s="177"/>
      <c r="M113" s="163">
        <v>1</v>
      </c>
      <c r="N113" s="166">
        <v>3750</v>
      </c>
      <c r="O113" s="173">
        <v>0.2</v>
      </c>
      <c r="P113" s="166">
        <f t="shared" si="21"/>
        <v>3000</v>
      </c>
      <c r="Q113" s="166">
        <f t="shared" si="17"/>
        <v>54000</v>
      </c>
      <c r="R113" s="184">
        <f t="shared" si="18"/>
        <v>0.14183957523775204</v>
      </c>
      <c r="S113" s="168">
        <f t="shared" si="19"/>
        <v>162000</v>
      </c>
      <c r="T113" s="282">
        <f t="shared" si="20"/>
        <v>162000</v>
      </c>
      <c r="X113" s="152"/>
      <c r="Y113" s="282">
        <f>S113</f>
        <v>162000</v>
      </c>
      <c r="Z113" s="171"/>
      <c r="AA113" s="151"/>
      <c r="AB113" s="172"/>
      <c r="AC113" s="174"/>
      <c r="AD113" s="174">
        <f>S113</f>
        <v>162000</v>
      </c>
      <c r="AE113" s="172"/>
      <c r="AF113" s="172"/>
      <c r="AG113" s="172"/>
      <c r="AH113" s="172"/>
      <c r="AI113" s="152"/>
    </row>
    <row r="114" spans="1:35" x14ac:dyDescent="0.3">
      <c r="A114" s="157" t="s">
        <v>901</v>
      </c>
      <c r="B114" s="157" t="s">
        <v>421</v>
      </c>
      <c r="C114" s="157" t="s">
        <v>909</v>
      </c>
      <c r="D114" s="157" t="s">
        <v>29</v>
      </c>
      <c r="E114" s="157" t="s">
        <v>524</v>
      </c>
      <c r="F114" s="158" t="s">
        <v>43</v>
      </c>
      <c r="G114" s="157">
        <v>1</v>
      </c>
      <c r="H114" s="157" t="s">
        <v>24</v>
      </c>
      <c r="I114" s="159">
        <v>1</v>
      </c>
      <c r="J114" s="161"/>
      <c r="K114" s="161"/>
      <c r="L114" s="2209"/>
      <c r="M114" s="157">
        <v>1</v>
      </c>
      <c r="N114" s="166">
        <v>94860</v>
      </c>
      <c r="O114" s="173">
        <v>0.2</v>
      </c>
      <c r="P114" s="166">
        <f t="shared" si="21"/>
        <v>75888</v>
      </c>
      <c r="Q114" s="166">
        <f t="shared" si="17"/>
        <v>75888</v>
      </c>
      <c r="R114" s="178">
        <f t="shared" si="18"/>
        <v>0.19933188306745417</v>
      </c>
      <c r="S114" s="168">
        <f t="shared" si="19"/>
        <v>227664</v>
      </c>
      <c r="T114" s="282">
        <f t="shared" si="20"/>
        <v>227664</v>
      </c>
      <c r="X114" s="152"/>
      <c r="Y114" s="282">
        <f>S114</f>
        <v>227664</v>
      </c>
      <c r="Z114" s="152"/>
      <c r="AA114" s="151"/>
      <c r="AB114" s="172"/>
      <c r="AC114" s="172"/>
      <c r="AD114" s="172"/>
      <c r="AE114" s="174">
        <f>S114</f>
        <v>227664</v>
      </c>
      <c r="AF114" s="172"/>
      <c r="AG114" s="172"/>
      <c r="AH114" s="172"/>
      <c r="AI114" s="152"/>
    </row>
    <row r="115" spans="1:35" x14ac:dyDescent="0.3">
      <c r="A115" s="157" t="s">
        <v>901</v>
      </c>
      <c r="B115" s="157" t="s">
        <v>422</v>
      </c>
      <c r="C115" s="157" t="s">
        <v>909</v>
      </c>
      <c r="D115" s="157" t="s">
        <v>21</v>
      </c>
      <c r="E115" s="157" t="s">
        <v>518</v>
      </c>
      <c r="F115" s="158" t="s">
        <v>910</v>
      </c>
      <c r="G115" s="157">
        <v>3</v>
      </c>
      <c r="H115" s="157" t="s">
        <v>24</v>
      </c>
      <c r="I115" s="159">
        <v>3</v>
      </c>
      <c r="J115" s="161"/>
      <c r="K115" s="161"/>
      <c r="L115" s="2209"/>
      <c r="M115" s="157">
        <v>1</v>
      </c>
      <c r="N115" s="166">
        <v>5000</v>
      </c>
      <c r="O115" s="173">
        <v>0.35</v>
      </c>
      <c r="P115" s="166">
        <f t="shared" si="21"/>
        <v>3250</v>
      </c>
      <c r="Q115" s="166">
        <f t="shared" si="17"/>
        <v>9750</v>
      </c>
      <c r="R115" s="167">
        <f t="shared" si="18"/>
        <v>2.5609923306816339E-2</v>
      </c>
      <c r="S115" s="168">
        <f t="shared" si="19"/>
        <v>29250</v>
      </c>
      <c r="T115" s="282">
        <f t="shared" si="20"/>
        <v>29250</v>
      </c>
      <c r="X115" s="152"/>
      <c r="Y115" s="280"/>
      <c r="Z115" s="171">
        <f>S115</f>
        <v>29250</v>
      </c>
      <c r="AA115" s="151"/>
      <c r="AB115" s="172"/>
      <c r="AC115" s="172"/>
      <c r="AD115" s="172"/>
      <c r="AE115" s="172"/>
      <c r="AF115" s="174">
        <f>S115</f>
        <v>29250</v>
      </c>
      <c r="AG115" s="172"/>
      <c r="AH115" s="172"/>
      <c r="AI115" s="152"/>
    </row>
    <row r="116" spans="1:35" x14ac:dyDescent="0.3">
      <c r="A116" s="157" t="s">
        <v>901</v>
      </c>
      <c r="B116" s="157" t="s">
        <v>422</v>
      </c>
      <c r="C116" s="157" t="s">
        <v>909</v>
      </c>
      <c r="D116" s="157" t="s">
        <v>29</v>
      </c>
      <c r="E116" s="157" t="s">
        <v>524</v>
      </c>
      <c r="F116" s="158" t="s">
        <v>43</v>
      </c>
      <c r="G116" s="157">
        <v>1</v>
      </c>
      <c r="H116" s="157" t="s">
        <v>24</v>
      </c>
      <c r="I116" s="159">
        <v>1</v>
      </c>
      <c r="J116" s="161"/>
      <c r="K116" s="161"/>
      <c r="L116" s="2209"/>
      <c r="M116" s="157">
        <v>1</v>
      </c>
      <c r="N116" s="166">
        <v>35988</v>
      </c>
      <c r="O116" s="173">
        <v>0.35</v>
      </c>
      <c r="P116" s="186">
        <f t="shared" si="21"/>
        <v>23392.2</v>
      </c>
      <c r="Q116" s="166">
        <f t="shared" si="17"/>
        <v>23392.2</v>
      </c>
      <c r="R116" s="178">
        <f t="shared" si="18"/>
        <v>6.1443327997713758E-2</v>
      </c>
      <c r="S116" s="168">
        <f t="shared" si="19"/>
        <v>70176.600000000006</v>
      </c>
      <c r="T116" s="282">
        <f t="shared" si="20"/>
        <v>70176.600000000006</v>
      </c>
      <c r="X116" s="152"/>
      <c r="Y116" s="282">
        <f>S116</f>
        <v>70176.600000000006</v>
      </c>
      <c r="Z116" s="152"/>
      <c r="AA116" s="151"/>
      <c r="AB116" s="172"/>
      <c r="AC116" s="172"/>
      <c r="AD116" s="172"/>
      <c r="AE116" s="172"/>
      <c r="AF116" s="174">
        <f>S116</f>
        <v>70176.600000000006</v>
      </c>
      <c r="AG116" s="172"/>
      <c r="AH116" s="172"/>
      <c r="AI116" s="152"/>
    </row>
    <row r="117" spans="1:35" x14ac:dyDescent="0.3">
      <c r="A117" s="157" t="s">
        <v>901</v>
      </c>
      <c r="B117" s="157" t="s">
        <v>422</v>
      </c>
      <c r="C117" s="157" t="s">
        <v>909</v>
      </c>
      <c r="D117" s="157" t="s">
        <v>26</v>
      </c>
      <c r="E117" s="157" t="s">
        <v>520</v>
      </c>
      <c r="F117" s="158" t="s">
        <v>641</v>
      </c>
      <c r="G117" s="157">
        <v>2</v>
      </c>
      <c r="H117" s="157" t="s">
        <v>24</v>
      </c>
      <c r="I117" s="159">
        <v>2</v>
      </c>
      <c r="J117" s="161"/>
      <c r="K117" s="161"/>
      <c r="L117" s="2209"/>
      <c r="M117" s="157">
        <v>1</v>
      </c>
      <c r="N117" s="166">
        <v>9696</v>
      </c>
      <c r="O117" s="173">
        <v>0.35</v>
      </c>
      <c r="P117" s="186">
        <f t="shared" si="21"/>
        <v>6302.4000000000005</v>
      </c>
      <c r="Q117" s="166">
        <f t="shared" si="17"/>
        <v>12604.800000000001</v>
      </c>
      <c r="R117" s="178">
        <f t="shared" si="18"/>
        <v>3.3108508851052168E-2</v>
      </c>
      <c r="S117" s="168">
        <f t="shared" si="19"/>
        <v>37814.400000000001</v>
      </c>
      <c r="T117" s="282">
        <f t="shared" si="20"/>
        <v>37814.400000000001</v>
      </c>
      <c r="X117" s="152"/>
      <c r="Y117" s="282">
        <f>S117</f>
        <v>37814.400000000001</v>
      </c>
      <c r="Z117" s="152"/>
      <c r="AA117" s="151"/>
      <c r="AB117" s="172"/>
      <c r="AC117" s="172"/>
      <c r="AD117" s="172"/>
      <c r="AE117" s="172"/>
      <c r="AF117" s="174">
        <f>S117</f>
        <v>37814.400000000001</v>
      </c>
      <c r="AG117" s="172"/>
      <c r="AH117" s="172"/>
      <c r="AI117" s="152"/>
    </row>
    <row r="118" spans="1:35" x14ac:dyDescent="0.3">
      <c r="A118" s="157" t="s">
        <v>901</v>
      </c>
      <c r="B118" s="157" t="s">
        <v>158</v>
      </c>
      <c r="C118" s="157" t="s">
        <v>904</v>
      </c>
      <c r="D118" s="157" t="s">
        <v>424</v>
      </c>
      <c r="E118" s="157" t="s">
        <v>520</v>
      </c>
      <c r="F118" s="158" t="s">
        <v>876</v>
      </c>
      <c r="G118" s="157">
        <v>12</v>
      </c>
      <c r="H118" s="157" t="s">
        <v>22</v>
      </c>
      <c r="I118" s="161">
        <v>12</v>
      </c>
      <c r="J118" s="773">
        <v>12</v>
      </c>
      <c r="L118" s="286"/>
      <c r="M118" s="157">
        <v>2</v>
      </c>
      <c r="N118" s="166">
        <v>2200</v>
      </c>
      <c r="O118" s="173">
        <v>0.2</v>
      </c>
      <c r="P118" s="186">
        <f t="shared" si="21"/>
        <v>1760</v>
      </c>
      <c r="Q118" s="166">
        <f t="shared" si="17"/>
        <v>42240</v>
      </c>
      <c r="R118" s="178">
        <f t="shared" si="18"/>
        <v>0.11095006774153048</v>
      </c>
      <c r="S118" s="168">
        <f t="shared" si="19"/>
        <v>126720</v>
      </c>
      <c r="T118" s="283"/>
      <c r="U118" s="169">
        <f>S118</f>
        <v>126720</v>
      </c>
      <c r="X118" s="152"/>
      <c r="Y118" s="283">
        <f>S118</f>
        <v>126720</v>
      </c>
      <c r="Z118" s="152"/>
      <c r="AA118" s="151"/>
      <c r="AB118" s="172"/>
      <c r="AC118" s="172"/>
      <c r="AD118" s="172"/>
      <c r="AE118" s="172"/>
      <c r="AF118" s="172"/>
      <c r="AG118" s="174">
        <f>S118</f>
        <v>126720</v>
      </c>
      <c r="AH118" s="172"/>
      <c r="AI118" s="152"/>
    </row>
    <row r="119" spans="1:35" x14ac:dyDescent="0.3">
      <c r="A119" s="157"/>
      <c r="B119" s="157"/>
      <c r="C119" s="157"/>
      <c r="D119" s="157"/>
      <c r="E119" s="157"/>
      <c r="F119" s="158"/>
      <c r="G119" s="157"/>
      <c r="H119" s="157"/>
      <c r="L119" s="286"/>
      <c r="M119" s="157"/>
      <c r="N119" s="166"/>
      <c r="O119" s="173"/>
      <c r="P119" s="186"/>
      <c r="Q119" s="166"/>
      <c r="R119" s="393"/>
      <c r="S119" s="168"/>
      <c r="T119" s="280"/>
      <c r="X119" s="152"/>
      <c r="Y119" s="280"/>
      <c r="Z119" s="152"/>
      <c r="AA119" s="151"/>
      <c r="AB119" s="172"/>
      <c r="AC119" s="172"/>
      <c r="AD119" s="172"/>
      <c r="AE119" s="172"/>
      <c r="AF119" s="172"/>
      <c r="AG119" s="172"/>
      <c r="AH119" s="172"/>
      <c r="AI119" s="152"/>
    </row>
    <row r="120" spans="1:35" x14ac:dyDescent="0.3">
      <c r="A120" s="172"/>
      <c r="B120" s="157"/>
      <c r="C120" s="190"/>
      <c r="D120" s="190"/>
      <c r="E120" s="190"/>
      <c r="F120" s="191"/>
      <c r="G120" s="190"/>
      <c r="H120" s="190"/>
      <c r="I120" s="245"/>
      <c r="J120" s="245"/>
      <c r="K120" s="245"/>
      <c r="L120" s="287"/>
      <c r="M120" s="190"/>
      <c r="N120" s="194"/>
      <c r="O120" s="195"/>
      <c r="P120" s="288"/>
      <c r="Q120" s="166"/>
      <c r="R120" s="393"/>
      <c r="S120" s="168"/>
      <c r="T120" s="280"/>
      <c r="X120" s="152"/>
      <c r="Y120" s="280"/>
      <c r="Z120" s="152"/>
      <c r="AA120" s="151"/>
      <c r="AB120" s="172"/>
      <c r="AC120" s="172"/>
      <c r="AD120" s="172"/>
      <c r="AE120" s="172"/>
      <c r="AF120" s="172"/>
      <c r="AG120" s="172"/>
      <c r="AH120" s="172"/>
      <c r="AI120" s="152"/>
    </row>
    <row r="121" spans="1:35" x14ac:dyDescent="0.3">
      <c r="A121" s="108" t="s">
        <v>901</v>
      </c>
      <c r="B121" s="108" t="s">
        <v>528</v>
      </c>
      <c r="C121" s="192"/>
      <c r="D121" s="193"/>
      <c r="E121" s="193"/>
      <c r="F121" s="244"/>
      <c r="G121" s="193"/>
      <c r="H121" s="193"/>
      <c r="I121" s="245"/>
      <c r="J121" s="245"/>
      <c r="K121" s="245"/>
      <c r="L121" s="245"/>
      <c r="M121" s="193"/>
      <c r="N121" s="246"/>
      <c r="O121" s="196"/>
      <c r="P121" s="288"/>
      <c r="Q121" s="257"/>
      <c r="R121" s="256">
        <f>Q121/Q124</f>
        <v>0</v>
      </c>
      <c r="S121" s="168">
        <f>Q121*3</f>
        <v>0</v>
      </c>
      <c r="T121" s="280"/>
      <c r="W121" s="169">
        <f>S121</f>
        <v>0</v>
      </c>
      <c r="X121" s="152"/>
      <c r="Y121" s="280"/>
      <c r="Z121" s="152"/>
      <c r="AA121" s="151"/>
      <c r="AB121" s="172"/>
      <c r="AC121" s="172"/>
      <c r="AD121" s="172"/>
      <c r="AE121" s="172"/>
      <c r="AF121" s="172"/>
      <c r="AG121" s="172"/>
      <c r="AH121" s="172"/>
      <c r="AI121" s="152"/>
    </row>
    <row r="122" spans="1:35" x14ac:dyDescent="0.3">
      <c r="A122" s="108" t="s">
        <v>901</v>
      </c>
      <c r="B122" s="108" t="s">
        <v>529</v>
      </c>
      <c r="C122" s="289"/>
      <c r="D122" s="252"/>
      <c r="E122" s="252"/>
      <c r="F122" s="253"/>
      <c r="G122" s="252"/>
      <c r="H122" s="252"/>
      <c r="I122" s="254"/>
      <c r="J122" s="254"/>
      <c r="K122" s="254"/>
      <c r="L122" s="254"/>
      <c r="M122" s="252"/>
      <c r="N122" s="255"/>
      <c r="O122" s="256"/>
      <c r="P122" s="290"/>
      <c r="Q122" s="257">
        <v>35000</v>
      </c>
      <c r="R122" s="291">
        <f>Q122/Q124</f>
        <v>9.1933058024468911E-2</v>
      </c>
      <c r="S122" s="168">
        <f>Q122*3</f>
        <v>105000</v>
      </c>
      <c r="T122" s="280"/>
      <c r="X122" s="171">
        <f>S122</f>
        <v>105000</v>
      </c>
      <c r="Y122" s="280"/>
      <c r="Z122" s="152"/>
      <c r="AA122" s="151"/>
      <c r="AB122" s="172"/>
      <c r="AC122" s="172"/>
      <c r="AD122" s="172"/>
      <c r="AE122" s="172"/>
      <c r="AF122" s="172"/>
      <c r="AG122" s="172"/>
      <c r="AH122" s="172"/>
      <c r="AI122" s="152"/>
    </row>
    <row r="123" spans="1:35" x14ac:dyDescent="0.3">
      <c r="I123" s="115">
        <f>I124/M124</f>
        <v>0.57534246575342463</v>
      </c>
      <c r="J123" s="115">
        <f>J124/M124</f>
        <v>0.17808219178082191</v>
      </c>
      <c r="K123" s="115">
        <f>K124/M124</f>
        <v>0.24657534246575341</v>
      </c>
      <c r="S123" s="149"/>
      <c r="T123" s="280"/>
      <c r="X123" s="152"/>
      <c r="Y123" s="280"/>
      <c r="Z123" s="152"/>
      <c r="AA123" s="151"/>
      <c r="AB123" s="172"/>
      <c r="AC123" s="172"/>
      <c r="AD123" s="172"/>
      <c r="AE123" s="172"/>
      <c r="AF123" s="172"/>
      <c r="AG123" s="172"/>
      <c r="AH123" s="172"/>
      <c r="AI123" s="152"/>
    </row>
    <row r="124" spans="1:35" x14ac:dyDescent="0.3">
      <c r="A124" s="326" t="s">
        <v>531</v>
      </c>
      <c r="B124" s="327"/>
      <c r="C124" s="327"/>
      <c r="D124" s="327"/>
      <c r="E124" s="327"/>
      <c r="F124" s="328"/>
      <c r="G124" s="327"/>
      <c r="H124" s="327"/>
      <c r="I124" s="327">
        <f>I117+I116+I115+I114+I112+I111+I110+I109+I118</f>
        <v>42</v>
      </c>
      <c r="J124" s="327">
        <f>J108+J118</f>
        <v>13</v>
      </c>
      <c r="K124" s="327">
        <f>K113</f>
        <v>18</v>
      </c>
      <c r="L124" s="327"/>
      <c r="M124" s="327">
        <f>SUM(I124:L124)</f>
        <v>73</v>
      </c>
      <c r="N124" s="329"/>
      <c r="O124" s="330"/>
      <c r="P124" s="329"/>
      <c r="Q124" s="331">
        <f>SUM(Q107:Q123)</f>
        <v>380711.8</v>
      </c>
      <c r="R124" s="332">
        <f>SUM(R107:R122)</f>
        <v>1.0000000000000002</v>
      </c>
      <c r="S124" s="583">
        <f>SUM(S107:S123)</f>
        <v>1142135.3999999999</v>
      </c>
      <c r="T124" s="584">
        <f t="shared" ref="T124:X124" si="22">SUM(T107:T122)</f>
        <v>910415.4</v>
      </c>
      <c r="U124" s="585">
        <f t="shared" si="22"/>
        <v>126720</v>
      </c>
      <c r="V124" s="585">
        <f t="shared" si="22"/>
        <v>0</v>
      </c>
      <c r="W124" s="585">
        <f t="shared" si="22"/>
        <v>0</v>
      </c>
      <c r="X124" s="586">
        <f t="shared" si="22"/>
        <v>105000</v>
      </c>
      <c r="Y124" s="587">
        <f>SUM(Y107:Y122)</f>
        <v>922085.4</v>
      </c>
      <c r="Z124" s="586">
        <f>SUM(Z107:Z122)</f>
        <v>115050</v>
      </c>
      <c r="AA124" s="648">
        <f>SUM(AA107:AA123)</f>
        <v>14040</v>
      </c>
      <c r="AB124" s="1097">
        <f>SUM(AB107:AB123)</f>
        <v>0</v>
      </c>
      <c r="AC124" s="1097">
        <f t="shared" ref="AC124:AI124" si="23">SUM(AC107:AC123)</f>
        <v>369470.4</v>
      </c>
      <c r="AD124" s="1097">
        <f t="shared" si="23"/>
        <v>162000</v>
      </c>
      <c r="AE124" s="1097">
        <f t="shared" si="23"/>
        <v>227664</v>
      </c>
      <c r="AF124" s="1097">
        <f t="shared" si="23"/>
        <v>137241</v>
      </c>
      <c r="AG124" s="1097">
        <f t="shared" si="23"/>
        <v>126720</v>
      </c>
      <c r="AH124" s="1097">
        <f t="shared" si="23"/>
        <v>0</v>
      </c>
      <c r="AI124" s="647">
        <f t="shared" si="23"/>
        <v>0</v>
      </c>
    </row>
    <row r="125" spans="1:35" x14ac:dyDescent="0.3">
      <c r="A125" s="342" t="s">
        <v>532</v>
      </c>
      <c r="B125" s="343"/>
      <c r="C125" s="343"/>
      <c r="D125" s="343"/>
      <c r="E125" s="343"/>
      <c r="F125" s="344"/>
      <c r="G125" s="343"/>
      <c r="H125" s="343"/>
      <c r="I125" s="343">
        <f>I117+I116+I115+I114+I112+I111+I110+I109+I118</f>
        <v>42</v>
      </c>
      <c r="J125" s="343">
        <f>I117+I116+I115+I114+I112+I111+I110+I109+J108+J118</f>
        <v>43</v>
      </c>
      <c r="K125" s="343">
        <f>I117+I116+I115+I114+K113+I112+I111+I110+J108</f>
        <v>31</v>
      </c>
      <c r="L125" s="343"/>
      <c r="M125" s="343">
        <f>SUM(I125:L125)</f>
        <v>116</v>
      </c>
      <c r="N125" s="345"/>
      <c r="O125" s="346"/>
      <c r="P125" s="345"/>
      <c r="Q125" s="345"/>
      <c r="R125" s="347"/>
      <c r="S125" s="348"/>
      <c r="T125" s="349">
        <f>T124/S124</f>
        <v>0.79711687423400068</v>
      </c>
      <c r="U125" s="350">
        <f>U124/S124</f>
        <v>0.11095006774153048</v>
      </c>
      <c r="V125" s="350">
        <f>V124/S124</f>
        <v>0</v>
      </c>
      <c r="W125" s="350">
        <f>W124/S124</f>
        <v>0</v>
      </c>
      <c r="X125" s="352">
        <f>X124/S124</f>
        <v>9.1933058024468911E-2</v>
      </c>
      <c r="Y125" s="351">
        <f>Y124/S124</f>
        <v>0.80733457696872024</v>
      </c>
      <c r="Z125" s="352">
        <f>Z124/S124</f>
        <v>0.10073236500681093</v>
      </c>
      <c r="AA125" s="354"/>
      <c r="AB125" s="355"/>
      <c r="AC125" s="355"/>
      <c r="AD125" s="355"/>
      <c r="AE125" s="355"/>
      <c r="AF125" s="355"/>
      <c r="AG125" s="355"/>
      <c r="AH125" s="355"/>
      <c r="AI125" s="356"/>
    </row>
    <row r="126" spans="1:35" x14ac:dyDescent="0.3">
      <c r="A126" s="243" t="s">
        <v>533</v>
      </c>
      <c r="B126" s="193"/>
      <c r="C126" s="193"/>
      <c r="D126" s="193"/>
      <c r="E126" s="193"/>
      <c r="F126" s="244"/>
      <c r="G126" s="193"/>
      <c r="H126" s="193"/>
      <c r="I126" s="2182">
        <f>I125/M125</f>
        <v>0.36206896551724138</v>
      </c>
      <c r="J126" s="2182">
        <f>J125/M125</f>
        <v>0.37068965517241381</v>
      </c>
      <c r="K126" s="2182">
        <f>K125/M125</f>
        <v>0.26724137931034481</v>
      </c>
      <c r="L126" s="245"/>
      <c r="M126" s="193"/>
      <c r="N126" s="246"/>
      <c r="O126" s="196"/>
      <c r="P126" s="246"/>
      <c r="Q126" s="194">
        <f>T124/3</f>
        <v>303471.8</v>
      </c>
      <c r="R126" s="247">
        <f>Q126/Q131</f>
        <v>0.79711687423400057</v>
      </c>
      <c r="X126" s="248"/>
      <c r="Y126" s="357">
        <f>I109+I110+I112+K113+I114+I116+I117+I118+J118</f>
        <v>67</v>
      </c>
      <c r="Z126" s="358">
        <f>+I111+I115+J108</f>
        <v>6</v>
      </c>
    </row>
    <row r="127" spans="1:35" x14ac:dyDescent="0.3">
      <c r="A127" s="251" t="s">
        <v>11</v>
      </c>
      <c r="B127" s="252"/>
      <c r="C127" s="252"/>
      <c r="D127" s="252"/>
      <c r="E127" s="252"/>
      <c r="F127" s="253"/>
      <c r="G127" s="252"/>
      <c r="H127" s="252"/>
      <c r="I127" s="254"/>
      <c r="J127" s="254"/>
      <c r="K127" s="254"/>
      <c r="L127" s="254"/>
      <c r="M127" s="252"/>
      <c r="N127" s="255"/>
      <c r="O127" s="256"/>
      <c r="P127" s="255"/>
      <c r="Q127" s="257">
        <f>U124/3</f>
        <v>42240</v>
      </c>
      <c r="R127" s="262">
        <f>Q127/Q131</f>
        <v>0.11095006774153048</v>
      </c>
      <c r="S127" s="1068">
        <f>Q124/M124</f>
        <v>5215.2301369863017</v>
      </c>
      <c r="T127" s="1069" t="s">
        <v>535</v>
      </c>
      <c r="Y127" s="195">
        <f>Y126/M124</f>
        <v>0.9178082191780822</v>
      </c>
      <c r="Z127" s="247">
        <f>Z126/M124</f>
        <v>8.2191780821917804E-2</v>
      </c>
    </row>
    <row r="128" spans="1:35" x14ac:dyDescent="0.3">
      <c r="A128" s="251" t="s">
        <v>536</v>
      </c>
      <c r="B128" s="252"/>
      <c r="C128" s="252"/>
      <c r="D128" s="252"/>
      <c r="E128" s="252"/>
      <c r="F128" s="253"/>
      <c r="G128" s="252"/>
      <c r="H128" s="252"/>
      <c r="I128" s="254"/>
      <c r="J128" s="254"/>
      <c r="K128" s="254"/>
      <c r="L128" s="254"/>
      <c r="M128" s="252"/>
      <c r="N128" s="255"/>
      <c r="O128" s="256"/>
      <c r="P128" s="255"/>
      <c r="Q128" s="257">
        <f>V124/3</f>
        <v>0</v>
      </c>
      <c r="R128" s="262">
        <f>Q128/Q131</f>
        <v>0</v>
      </c>
      <c r="U128" s="263"/>
      <c r="W128" s="99"/>
    </row>
    <row r="129" spans="1:35" x14ac:dyDescent="0.3">
      <c r="A129" s="251" t="s">
        <v>529</v>
      </c>
      <c r="B129" s="252"/>
      <c r="C129" s="252"/>
      <c r="D129" s="252"/>
      <c r="E129" s="252"/>
      <c r="F129" s="253"/>
      <c r="G129" s="252"/>
      <c r="H129" s="252"/>
      <c r="I129" s="254"/>
      <c r="J129" s="254"/>
      <c r="K129" s="254"/>
      <c r="L129" s="254"/>
      <c r="M129" s="252"/>
      <c r="N129" s="255"/>
      <c r="O129" s="256"/>
      <c r="P129" s="255"/>
      <c r="Q129" s="257">
        <f>X124/3</f>
        <v>35000</v>
      </c>
      <c r="R129" s="262">
        <f>Q129/Q131</f>
        <v>9.1933058024468911E-2</v>
      </c>
      <c r="T129" s="263"/>
      <c r="U129" s="263"/>
    </row>
    <row r="130" spans="1:35" x14ac:dyDescent="0.3">
      <c r="A130" s="251" t="s">
        <v>528</v>
      </c>
      <c r="B130" s="252"/>
      <c r="C130" s="252"/>
      <c r="D130" s="252"/>
      <c r="E130" s="252"/>
      <c r="F130" s="253"/>
      <c r="G130" s="252"/>
      <c r="H130" s="252"/>
      <c r="I130" s="254"/>
      <c r="J130" s="254"/>
      <c r="K130" s="254"/>
      <c r="L130" s="254"/>
      <c r="M130" s="252"/>
      <c r="N130" s="255"/>
      <c r="O130" s="256"/>
      <c r="P130" s="255"/>
      <c r="Q130" s="257">
        <f>W124/3</f>
        <v>0</v>
      </c>
      <c r="R130" s="262">
        <f>Q130/Q131</f>
        <v>0</v>
      </c>
    </row>
    <row r="131" spans="1:35" x14ac:dyDescent="0.3">
      <c r="A131" s="251"/>
      <c r="B131" s="252"/>
      <c r="C131" s="252"/>
      <c r="D131" s="252"/>
      <c r="E131" s="252"/>
      <c r="F131" s="253"/>
      <c r="G131" s="252"/>
      <c r="H131" s="252"/>
      <c r="I131" s="254"/>
      <c r="J131" s="254"/>
      <c r="K131" s="254"/>
      <c r="L131" s="254"/>
      <c r="M131" s="252"/>
      <c r="N131" s="255"/>
      <c r="O131" s="256"/>
      <c r="P131" s="255"/>
      <c r="Q131" s="264">
        <f>SUM(Q126:Q130)</f>
        <v>380711.8</v>
      </c>
      <c r="R131" s="262">
        <f>SUM(R126:R130)</f>
        <v>1</v>
      </c>
    </row>
    <row r="132" spans="1:35" x14ac:dyDescent="0.3">
      <c r="A132" s="188"/>
      <c r="N132" s="5"/>
      <c r="O132" s="6"/>
      <c r="P132" s="5"/>
      <c r="Q132" s="7"/>
      <c r="R132" s="6"/>
      <c r="S132" s="5"/>
    </row>
    <row r="133" spans="1:35" x14ac:dyDescent="0.3">
      <c r="A133" s="188"/>
      <c r="N133" s="5"/>
      <c r="O133" s="6"/>
      <c r="P133" s="5"/>
      <c r="Q133" s="7"/>
      <c r="R133" s="6"/>
      <c r="S133" s="5"/>
    </row>
    <row r="134" spans="1:35" x14ac:dyDescent="0.3">
      <c r="A134" s="188"/>
      <c r="N134" s="5"/>
      <c r="O134" s="6"/>
      <c r="P134" s="5"/>
      <c r="Q134" s="7"/>
      <c r="R134" s="6"/>
      <c r="S134" s="5"/>
    </row>
    <row r="135" spans="1:35" x14ac:dyDescent="0.3">
      <c r="A135" s="188"/>
      <c r="N135" s="5"/>
      <c r="O135" s="6"/>
      <c r="P135" s="5"/>
      <c r="Q135" s="7"/>
      <c r="R135" s="6"/>
      <c r="S135" s="5"/>
    </row>
    <row r="136" spans="1:35" x14ac:dyDescent="0.3">
      <c r="A136" s="188"/>
      <c r="N136" s="5"/>
      <c r="O136" s="6"/>
      <c r="P136" s="5"/>
      <c r="Q136" s="7"/>
      <c r="R136" s="6"/>
      <c r="S136" s="5"/>
    </row>
    <row r="137" spans="1:35" x14ac:dyDescent="0.3">
      <c r="A137" s="188"/>
      <c r="N137" s="5"/>
      <c r="O137" s="6"/>
      <c r="P137" s="5"/>
      <c r="Q137" s="7"/>
      <c r="R137" s="6"/>
      <c r="S137" s="5"/>
    </row>
    <row r="138" spans="1:35" ht="18" x14ac:dyDescent="0.35">
      <c r="A138" s="1037" t="s">
        <v>554</v>
      </c>
      <c r="B138" s="2"/>
    </row>
    <row r="139" spans="1:35" x14ac:dyDescent="0.3">
      <c r="R139" s="98"/>
    </row>
    <row r="140" spans="1:35" x14ac:dyDescent="0.3">
      <c r="A140" s="2587" t="s">
        <v>480</v>
      </c>
      <c r="B140" s="2588"/>
      <c r="C140" s="2588"/>
      <c r="D140" s="2588"/>
      <c r="E140" s="2588"/>
      <c r="F140" s="2588"/>
      <c r="G140" s="2588"/>
      <c r="H140" s="2588"/>
      <c r="I140" s="2588"/>
      <c r="J140" s="2588"/>
      <c r="K140" s="2588"/>
      <c r="L140" s="2588"/>
      <c r="M140" s="2588"/>
      <c r="N140" s="2588"/>
      <c r="O140" s="2588"/>
      <c r="P140" s="2588"/>
      <c r="Q140" s="2588"/>
      <c r="R140" s="2589"/>
      <c r="S140" s="2563" t="s">
        <v>584</v>
      </c>
      <c r="T140" s="2564"/>
      <c r="U140" s="2564"/>
      <c r="V140" s="2564"/>
      <c r="W140" s="2564"/>
      <c r="X140" s="2564"/>
      <c r="Y140" s="2564"/>
      <c r="Z140" s="2564"/>
      <c r="AA140" s="2564"/>
      <c r="AB140" s="2564"/>
      <c r="AC140" s="2564"/>
      <c r="AD140" s="2564"/>
      <c r="AE140" s="2564"/>
      <c r="AF140" s="2564"/>
      <c r="AG140" s="2564"/>
      <c r="AH140" s="2564"/>
      <c r="AI140" s="2576"/>
    </row>
    <row r="141" spans="1:35" ht="90" x14ac:dyDescent="0.3">
      <c r="A141" s="2601" t="s">
        <v>482</v>
      </c>
      <c r="B141" s="2603" t="s">
        <v>483</v>
      </c>
      <c r="C141" s="2603" t="s">
        <v>484</v>
      </c>
      <c r="D141" s="2603" t="s">
        <v>485</v>
      </c>
      <c r="E141" s="2603" t="s">
        <v>486</v>
      </c>
      <c r="F141" s="2603" t="s">
        <v>487</v>
      </c>
      <c r="G141" s="2592" t="s">
        <v>488</v>
      </c>
      <c r="H141" s="2594" t="s">
        <v>489</v>
      </c>
      <c r="I141" s="2596" t="s">
        <v>490</v>
      </c>
      <c r="J141" s="2597"/>
      <c r="K141" s="2597"/>
      <c r="L141" s="2598"/>
      <c r="M141" s="2599" t="s">
        <v>863</v>
      </c>
      <c r="N141" s="2590" t="s">
        <v>864</v>
      </c>
      <c r="O141" s="2592" t="s">
        <v>865</v>
      </c>
      <c r="P141" s="2590" t="s">
        <v>866</v>
      </c>
      <c r="Q141" s="2590" t="s">
        <v>867</v>
      </c>
      <c r="R141" s="1059" t="s">
        <v>495</v>
      </c>
      <c r="S141" s="1059" t="s">
        <v>496</v>
      </c>
      <c r="T141" s="2568" t="s">
        <v>497</v>
      </c>
      <c r="U141" s="2568"/>
      <c r="V141" s="2568"/>
      <c r="W141" s="2568"/>
      <c r="X141" s="2568"/>
      <c r="Y141" s="2567" t="s">
        <v>498</v>
      </c>
      <c r="Z141" s="2571"/>
      <c r="AA141" s="2568"/>
      <c r="AB141" s="2568"/>
      <c r="AC141" s="2568"/>
      <c r="AD141" s="2568"/>
      <c r="AE141" s="2568"/>
      <c r="AF141" s="2568"/>
      <c r="AG141" s="2568"/>
      <c r="AH141" s="2568"/>
      <c r="AI141" s="2571"/>
    </row>
    <row r="142" spans="1:35" ht="18" x14ac:dyDescent="0.3">
      <c r="A142" s="2602"/>
      <c r="B142" s="2604"/>
      <c r="C142" s="2604"/>
      <c r="D142" s="2604"/>
      <c r="E142" s="2604"/>
      <c r="F142" s="2604"/>
      <c r="G142" s="2593"/>
      <c r="H142" s="2595"/>
      <c r="I142" s="1095" t="s">
        <v>500</v>
      </c>
      <c r="J142" s="1095" t="s">
        <v>501</v>
      </c>
      <c r="K142" s="1096" t="s">
        <v>502</v>
      </c>
      <c r="L142" s="1096" t="s">
        <v>503</v>
      </c>
      <c r="M142" s="2600"/>
      <c r="N142" s="2591"/>
      <c r="O142" s="2593"/>
      <c r="P142" s="2591"/>
      <c r="Q142" s="2591"/>
      <c r="R142" s="1060"/>
      <c r="S142" s="1060" t="s">
        <v>508</v>
      </c>
      <c r="T142" s="2570"/>
      <c r="U142" s="2570"/>
      <c r="V142" s="2570"/>
      <c r="W142" s="2570"/>
      <c r="X142" s="2570"/>
      <c r="Y142" s="2569"/>
      <c r="Z142" s="2577"/>
      <c r="AA142" s="2570"/>
      <c r="AB142" s="2570"/>
      <c r="AC142" s="2570"/>
      <c r="AD142" s="2570"/>
      <c r="AE142" s="2570"/>
      <c r="AF142" s="2570"/>
      <c r="AG142" s="2570"/>
      <c r="AH142" s="2570"/>
      <c r="AI142" s="2577"/>
    </row>
    <row r="143" spans="1:35" ht="18" x14ac:dyDescent="0.35">
      <c r="A143" s="2449" t="s">
        <v>561</v>
      </c>
      <c r="B143" s="2450"/>
      <c r="C143" s="2450"/>
      <c r="D143" s="2450"/>
      <c r="E143" s="2450"/>
      <c r="F143" s="2450"/>
      <c r="G143" s="2450"/>
      <c r="H143" s="2450"/>
      <c r="I143" s="2450"/>
      <c r="J143" s="2450"/>
      <c r="K143" s="2450"/>
      <c r="L143" s="2450"/>
      <c r="M143" s="2450"/>
      <c r="N143" s="2450"/>
      <c r="O143" s="2450"/>
      <c r="P143" s="2450"/>
      <c r="Q143" s="2450"/>
      <c r="R143" s="2450"/>
      <c r="S143" s="559"/>
      <c r="T143" s="563" t="s">
        <v>510</v>
      </c>
      <c r="U143" s="561" t="s">
        <v>11</v>
      </c>
      <c r="V143" s="561" t="s">
        <v>511</v>
      </c>
      <c r="W143" s="561" t="s">
        <v>512</v>
      </c>
      <c r="X143" s="562" t="s">
        <v>513</v>
      </c>
      <c r="Y143" s="563" t="s">
        <v>514</v>
      </c>
      <c r="Z143" s="562" t="s">
        <v>515</v>
      </c>
      <c r="AA143" s="1042" t="s">
        <v>5</v>
      </c>
      <c r="AB143" s="1044" t="s">
        <v>12</v>
      </c>
      <c r="AC143" s="1044" t="s">
        <v>174</v>
      </c>
      <c r="AD143" s="1044" t="s">
        <v>175</v>
      </c>
      <c r="AE143" s="1044" t="s">
        <v>176</v>
      </c>
      <c r="AF143" s="1044" t="s">
        <v>177</v>
      </c>
      <c r="AG143" s="1044" t="s">
        <v>156</v>
      </c>
      <c r="AH143" s="1044" t="s">
        <v>140</v>
      </c>
      <c r="AI143" s="1045" t="s">
        <v>139</v>
      </c>
    </row>
    <row r="144" spans="1:35" x14ac:dyDescent="0.3">
      <c r="A144" s="154"/>
      <c r="B144" s="462"/>
      <c r="C144" s="462"/>
      <c r="D144" s="462"/>
      <c r="E144" s="462"/>
      <c r="F144" s="463"/>
      <c r="G144" s="462"/>
      <c r="H144" s="462"/>
      <c r="I144" s="465"/>
      <c r="J144" s="465"/>
      <c r="K144" s="465"/>
      <c r="L144" s="465"/>
      <c r="M144" s="462"/>
      <c r="N144" s="468"/>
      <c r="O144" s="469"/>
      <c r="P144" s="468"/>
      <c r="Q144" s="468"/>
      <c r="R144" s="532"/>
      <c r="S144" s="149"/>
      <c r="T144" s="280"/>
      <c r="X144" s="152"/>
      <c r="Y144" s="280"/>
      <c r="Z144" s="152"/>
      <c r="AA144" s="151"/>
      <c r="AB144" s="172"/>
      <c r="AC144" s="172"/>
      <c r="AD144" s="172"/>
      <c r="AE144" s="172"/>
      <c r="AF144" s="172"/>
      <c r="AG144" s="172"/>
      <c r="AH144" s="172"/>
      <c r="AI144" s="152"/>
    </row>
    <row r="145" spans="1:35" x14ac:dyDescent="0.3">
      <c r="A145" s="157" t="s">
        <v>901</v>
      </c>
      <c r="B145" s="157" t="s">
        <v>108</v>
      </c>
      <c r="C145" s="157" t="s">
        <v>909</v>
      </c>
      <c r="D145" s="157" t="s">
        <v>21</v>
      </c>
      <c r="E145" s="157" t="s">
        <v>518</v>
      </c>
      <c r="F145" s="158" t="s">
        <v>910</v>
      </c>
      <c r="G145" s="157">
        <v>1</v>
      </c>
      <c r="H145" s="157" t="s">
        <v>63</v>
      </c>
      <c r="I145" s="188"/>
      <c r="J145" s="161">
        <v>1</v>
      </c>
      <c r="K145" s="161"/>
      <c r="L145" s="286"/>
      <c r="M145" s="163">
        <v>1</v>
      </c>
      <c r="N145" s="166">
        <v>7200</v>
      </c>
      <c r="O145" s="173">
        <v>0.35</v>
      </c>
      <c r="P145" s="166">
        <f>N145*(1-O145)</f>
        <v>4680</v>
      </c>
      <c r="Q145" s="166">
        <f t="shared" ref="Q145:Q155" si="24">P145*M145*G145</f>
        <v>4680</v>
      </c>
      <c r="R145" s="167">
        <f t="shared" ref="R145:R155" si="25">Q145/$Q$160</f>
        <v>1.2166455833425623E-2</v>
      </c>
      <c r="S145" s="168">
        <f t="shared" ref="S145:S155" si="26">Q145</f>
        <v>4680</v>
      </c>
      <c r="T145" s="282">
        <f t="shared" ref="T145:T153" si="27">S145</f>
        <v>4680</v>
      </c>
      <c r="U145" s="169"/>
      <c r="X145" s="152"/>
      <c r="Y145" s="282"/>
      <c r="Z145" s="171">
        <f>S145</f>
        <v>4680</v>
      </c>
      <c r="AA145" s="170">
        <f>S145</f>
        <v>4680</v>
      </c>
      <c r="AB145" s="174"/>
      <c r="AC145" s="174"/>
      <c r="AD145" s="174"/>
      <c r="AE145" s="172"/>
      <c r="AF145" s="172"/>
      <c r="AG145" s="172"/>
      <c r="AH145" s="172"/>
      <c r="AI145" s="152"/>
    </row>
    <row r="146" spans="1:35" x14ac:dyDescent="0.3">
      <c r="A146" s="157" t="s">
        <v>901</v>
      </c>
      <c r="B146" s="157" t="s">
        <v>23</v>
      </c>
      <c r="C146" s="157" t="s">
        <v>909</v>
      </c>
      <c r="D146" s="157" t="s">
        <v>21</v>
      </c>
      <c r="E146" s="157" t="s">
        <v>518</v>
      </c>
      <c r="F146" s="158" t="s">
        <v>910</v>
      </c>
      <c r="G146" s="157">
        <v>1</v>
      </c>
      <c r="H146" s="157" t="s">
        <v>24</v>
      </c>
      <c r="I146" s="159">
        <v>1</v>
      </c>
      <c r="J146" s="161"/>
      <c r="K146" s="161"/>
      <c r="L146" s="2209"/>
      <c r="M146" s="163">
        <v>1</v>
      </c>
      <c r="N146" s="166">
        <v>27025</v>
      </c>
      <c r="O146" s="173">
        <v>0.3</v>
      </c>
      <c r="P146" s="166">
        <f t="shared" ref="P146:P155" si="28">N146*(1-O146)</f>
        <v>18917.5</v>
      </c>
      <c r="Q146" s="166">
        <f t="shared" si="24"/>
        <v>18917.5</v>
      </c>
      <c r="R146" s="167">
        <f t="shared" si="25"/>
        <v>4.9179258168553251E-2</v>
      </c>
      <c r="S146" s="168">
        <f t="shared" si="26"/>
        <v>18917.5</v>
      </c>
      <c r="T146" s="282">
        <f t="shared" si="27"/>
        <v>18917.5</v>
      </c>
      <c r="U146" s="169"/>
      <c r="X146" s="152"/>
      <c r="Y146" s="282"/>
      <c r="Z146" s="171">
        <f>S146</f>
        <v>18917.5</v>
      </c>
      <c r="AA146" s="151"/>
      <c r="AB146" s="172"/>
      <c r="AC146" s="174">
        <f>S146</f>
        <v>18917.5</v>
      </c>
      <c r="AD146" s="172"/>
      <c r="AE146" s="172"/>
      <c r="AF146" s="172"/>
      <c r="AG146" s="172"/>
      <c r="AH146" s="172"/>
      <c r="AI146" s="152"/>
    </row>
    <row r="147" spans="1:35" x14ac:dyDescent="0.3">
      <c r="A147" s="157" t="s">
        <v>901</v>
      </c>
      <c r="B147" s="157" t="s">
        <v>419</v>
      </c>
      <c r="C147" s="157" t="s">
        <v>883</v>
      </c>
      <c r="D147" s="157" t="s">
        <v>166</v>
      </c>
      <c r="E147" s="157" t="s">
        <v>520</v>
      </c>
      <c r="F147" s="158" t="s">
        <v>552</v>
      </c>
      <c r="G147" s="157">
        <v>18</v>
      </c>
      <c r="H147" s="157" t="s">
        <v>63</v>
      </c>
      <c r="I147" s="159">
        <v>18</v>
      </c>
      <c r="J147" s="161"/>
      <c r="L147" s="286"/>
      <c r="M147" s="163">
        <v>1</v>
      </c>
      <c r="N147" s="166">
        <v>3247</v>
      </c>
      <c r="O147" s="173">
        <v>0.2</v>
      </c>
      <c r="P147" s="166">
        <f t="shared" si="28"/>
        <v>2597.6000000000004</v>
      </c>
      <c r="Q147" s="166">
        <f t="shared" si="24"/>
        <v>46756.800000000003</v>
      </c>
      <c r="R147" s="178">
        <f t="shared" si="25"/>
        <v>0.12155225258810154</v>
      </c>
      <c r="S147" s="168">
        <f t="shared" si="26"/>
        <v>46756.800000000003</v>
      </c>
      <c r="T147" s="282">
        <f t="shared" si="27"/>
        <v>46756.800000000003</v>
      </c>
      <c r="X147" s="152"/>
      <c r="Y147" s="282">
        <f>S147</f>
        <v>46756.800000000003</v>
      </c>
      <c r="Z147" s="171"/>
      <c r="AA147" s="151"/>
      <c r="AB147" s="174"/>
      <c r="AC147" s="174">
        <f>S147</f>
        <v>46756.800000000003</v>
      </c>
      <c r="AD147" s="174"/>
      <c r="AE147" s="172"/>
      <c r="AF147" s="172"/>
      <c r="AG147" s="172"/>
      <c r="AH147" s="172"/>
      <c r="AI147" s="152"/>
    </row>
    <row r="148" spans="1:35" x14ac:dyDescent="0.3">
      <c r="A148" s="157" t="s">
        <v>901</v>
      </c>
      <c r="B148" s="157" t="s">
        <v>419</v>
      </c>
      <c r="C148" s="157" t="s">
        <v>909</v>
      </c>
      <c r="D148" s="157" t="s">
        <v>26</v>
      </c>
      <c r="E148" s="157" t="s">
        <v>520</v>
      </c>
      <c r="F148" s="158" t="s">
        <v>641</v>
      </c>
      <c r="G148" s="157">
        <v>2</v>
      </c>
      <c r="H148" s="157" t="s">
        <v>24</v>
      </c>
      <c r="I148" s="175">
        <v>2</v>
      </c>
      <c r="J148" s="176"/>
      <c r="K148" s="176"/>
      <c r="L148" s="177"/>
      <c r="M148" s="163">
        <v>1</v>
      </c>
      <c r="N148" s="166">
        <v>13000</v>
      </c>
      <c r="O148" s="173">
        <v>0.2</v>
      </c>
      <c r="P148" s="166">
        <f t="shared" si="28"/>
        <v>10400</v>
      </c>
      <c r="Q148" s="166">
        <f t="shared" si="24"/>
        <v>20800</v>
      </c>
      <c r="R148" s="178">
        <f t="shared" si="25"/>
        <v>5.4073137037447212E-2</v>
      </c>
      <c r="S148" s="168">
        <f t="shared" si="26"/>
        <v>20800</v>
      </c>
      <c r="T148" s="282">
        <f t="shared" si="27"/>
        <v>20800</v>
      </c>
      <c r="V148" s="169"/>
      <c r="X148" s="152"/>
      <c r="Y148" s="283">
        <f>S148</f>
        <v>20800</v>
      </c>
      <c r="Z148" s="171"/>
      <c r="AA148" s="151"/>
      <c r="AB148" s="174"/>
      <c r="AC148" s="174">
        <f>S148</f>
        <v>20800</v>
      </c>
      <c r="AD148" s="174"/>
      <c r="AE148" s="172"/>
      <c r="AF148" s="172"/>
      <c r="AG148" s="172"/>
      <c r="AH148" s="172"/>
      <c r="AI148" s="152"/>
    </row>
    <row r="149" spans="1:35" x14ac:dyDescent="0.3">
      <c r="A149" s="157" t="s">
        <v>901</v>
      </c>
      <c r="B149" s="157" t="s">
        <v>419</v>
      </c>
      <c r="C149" s="157" t="s">
        <v>909</v>
      </c>
      <c r="D149" s="157" t="s">
        <v>21</v>
      </c>
      <c r="E149" s="157" t="s">
        <v>518</v>
      </c>
      <c r="F149" s="158" t="s">
        <v>910</v>
      </c>
      <c r="G149" s="157">
        <v>2</v>
      </c>
      <c r="H149" s="157" t="s">
        <v>24</v>
      </c>
      <c r="I149" s="159">
        <v>2</v>
      </c>
      <c r="J149" s="161"/>
      <c r="K149" s="161"/>
      <c r="L149" s="2209"/>
      <c r="M149" s="163">
        <v>1</v>
      </c>
      <c r="N149" s="166">
        <v>14950</v>
      </c>
      <c r="O149" s="173">
        <v>0.2</v>
      </c>
      <c r="P149" s="166">
        <f t="shared" si="28"/>
        <v>11960</v>
      </c>
      <c r="Q149" s="166">
        <f t="shared" si="24"/>
        <v>23920</v>
      </c>
      <c r="R149" s="167">
        <f t="shared" si="25"/>
        <v>6.2184107593064294E-2</v>
      </c>
      <c r="S149" s="168">
        <f t="shared" si="26"/>
        <v>23920</v>
      </c>
      <c r="T149" s="282">
        <f t="shared" si="27"/>
        <v>23920</v>
      </c>
      <c r="X149" s="152"/>
      <c r="Y149" s="282"/>
      <c r="Z149" s="171">
        <f>S149</f>
        <v>23920</v>
      </c>
      <c r="AA149" s="151"/>
      <c r="AB149" s="174"/>
      <c r="AC149" s="174">
        <f>S149</f>
        <v>23920</v>
      </c>
      <c r="AD149" s="174"/>
      <c r="AE149" s="172"/>
      <c r="AF149" s="172"/>
      <c r="AG149" s="172"/>
      <c r="AH149" s="172"/>
      <c r="AI149" s="152"/>
    </row>
    <row r="150" spans="1:35" x14ac:dyDescent="0.3">
      <c r="A150" s="157" t="s">
        <v>901</v>
      </c>
      <c r="B150" s="157" t="s">
        <v>420</v>
      </c>
      <c r="C150" s="157" t="s">
        <v>883</v>
      </c>
      <c r="D150" s="157" t="s">
        <v>166</v>
      </c>
      <c r="E150" s="157" t="s">
        <v>524</v>
      </c>
      <c r="F150" s="158" t="s">
        <v>552</v>
      </c>
      <c r="G150" s="157">
        <v>18</v>
      </c>
      <c r="H150" s="157" t="s">
        <v>63</v>
      </c>
      <c r="K150" s="773">
        <v>18</v>
      </c>
      <c r="L150" s="177"/>
      <c r="M150" s="163">
        <v>1</v>
      </c>
      <c r="N150" s="166">
        <v>3750</v>
      </c>
      <c r="O150" s="173">
        <v>0.2</v>
      </c>
      <c r="P150" s="166">
        <f t="shared" si="28"/>
        <v>3000</v>
      </c>
      <c r="Q150" s="166">
        <f t="shared" si="24"/>
        <v>54000</v>
      </c>
      <c r="R150" s="184">
        <f t="shared" si="25"/>
        <v>0.14038218269337258</v>
      </c>
      <c r="S150" s="168">
        <f t="shared" si="26"/>
        <v>54000</v>
      </c>
      <c r="T150" s="282">
        <f t="shared" si="27"/>
        <v>54000</v>
      </c>
      <c r="X150" s="152"/>
      <c r="Y150" s="282">
        <f>S150</f>
        <v>54000</v>
      </c>
      <c r="Z150" s="171"/>
      <c r="AA150" s="151"/>
      <c r="AB150" s="172"/>
      <c r="AC150" s="174"/>
      <c r="AD150" s="174">
        <f>S150</f>
        <v>54000</v>
      </c>
      <c r="AE150" s="172"/>
      <c r="AF150" s="172"/>
      <c r="AG150" s="172"/>
      <c r="AH150" s="172"/>
      <c r="AI150" s="152"/>
    </row>
    <row r="151" spans="1:35" x14ac:dyDescent="0.3">
      <c r="A151" s="157" t="s">
        <v>901</v>
      </c>
      <c r="B151" s="157" t="s">
        <v>422</v>
      </c>
      <c r="C151" s="157" t="s">
        <v>909</v>
      </c>
      <c r="D151" s="157" t="s">
        <v>21</v>
      </c>
      <c r="E151" s="157" t="s">
        <v>518</v>
      </c>
      <c r="F151" s="158" t="s">
        <v>910</v>
      </c>
      <c r="G151" s="157">
        <v>2</v>
      </c>
      <c r="H151" s="157" t="s">
        <v>24</v>
      </c>
      <c r="I151" s="159">
        <v>2</v>
      </c>
      <c r="J151" s="161"/>
      <c r="K151" s="161"/>
      <c r="L151" s="2209"/>
      <c r="M151" s="157">
        <v>1</v>
      </c>
      <c r="N151" s="166">
        <v>5000</v>
      </c>
      <c r="O151" s="173">
        <v>0.35</v>
      </c>
      <c r="P151" s="166">
        <f t="shared" si="28"/>
        <v>3250</v>
      </c>
      <c r="Q151" s="166">
        <f t="shared" si="24"/>
        <v>6500</v>
      </c>
      <c r="R151" s="167">
        <f t="shared" si="25"/>
        <v>1.6897855324202255E-2</v>
      </c>
      <c r="S151" s="168">
        <f t="shared" si="26"/>
        <v>6500</v>
      </c>
      <c r="T151" s="282">
        <f t="shared" si="27"/>
        <v>6500</v>
      </c>
      <c r="X151" s="152"/>
      <c r="Y151" s="280"/>
      <c r="Z151" s="171">
        <f>S151</f>
        <v>6500</v>
      </c>
      <c r="AA151" s="151"/>
      <c r="AB151" s="172"/>
      <c r="AC151" s="172"/>
      <c r="AD151" s="172"/>
      <c r="AE151" s="174">
        <f>S151</f>
        <v>6500</v>
      </c>
      <c r="AF151" s="172"/>
      <c r="AG151" s="172"/>
      <c r="AH151" s="172"/>
      <c r="AI151" s="152"/>
    </row>
    <row r="152" spans="1:35" x14ac:dyDescent="0.3">
      <c r="A152" s="157" t="s">
        <v>901</v>
      </c>
      <c r="B152" s="157" t="s">
        <v>130</v>
      </c>
      <c r="C152" s="157" t="s">
        <v>905</v>
      </c>
      <c r="D152" s="157" t="s">
        <v>148</v>
      </c>
      <c r="E152" s="157" t="s">
        <v>524</v>
      </c>
      <c r="F152" s="158" t="s">
        <v>655</v>
      </c>
      <c r="G152" s="157">
        <v>15</v>
      </c>
      <c r="H152" s="157" t="s">
        <v>24</v>
      </c>
      <c r="I152" s="159">
        <v>15</v>
      </c>
      <c r="J152" s="161"/>
      <c r="K152" s="161"/>
      <c r="L152" s="2209"/>
      <c r="M152" s="157">
        <v>1</v>
      </c>
      <c r="N152" s="166">
        <v>12873</v>
      </c>
      <c r="O152" s="173">
        <v>0.82</v>
      </c>
      <c r="P152" s="186">
        <f t="shared" si="28"/>
        <v>2317.1400000000008</v>
      </c>
      <c r="Q152" s="166">
        <f t="shared" si="24"/>
        <v>34757.100000000013</v>
      </c>
      <c r="R152" s="178">
        <f t="shared" si="25"/>
        <v>9.0356991890589294E-2</v>
      </c>
      <c r="S152" s="168">
        <f t="shared" si="26"/>
        <v>34757.100000000013</v>
      </c>
      <c r="T152" s="282"/>
      <c r="V152" s="169">
        <f>S152</f>
        <v>34757.100000000013</v>
      </c>
      <c r="X152" s="152"/>
      <c r="Y152" s="282">
        <f>S152</f>
        <v>34757.100000000013</v>
      </c>
      <c r="Z152" s="152"/>
      <c r="AA152" s="151"/>
      <c r="AB152" s="172"/>
      <c r="AC152" s="172"/>
      <c r="AD152" s="172"/>
      <c r="AE152" s="172"/>
      <c r="AF152" s="174">
        <f>S152</f>
        <v>34757.100000000013</v>
      </c>
      <c r="AG152" s="172"/>
      <c r="AH152" s="172"/>
      <c r="AI152" s="152"/>
    </row>
    <row r="153" spans="1:35" x14ac:dyDescent="0.3">
      <c r="A153" s="157" t="s">
        <v>901</v>
      </c>
      <c r="B153" s="157" t="s">
        <v>422</v>
      </c>
      <c r="C153" s="157" t="s">
        <v>909</v>
      </c>
      <c r="D153" s="157" t="s">
        <v>26</v>
      </c>
      <c r="E153" s="157" t="s">
        <v>520</v>
      </c>
      <c r="F153" s="158" t="s">
        <v>641</v>
      </c>
      <c r="G153" s="157">
        <v>2</v>
      </c>
      <c r="H153" s="157" t="s">
        <v>24</v>
      </c>
      <c r="I153" s="159">
        <v>2</v>
      </c>
      <c r="J153" s="161"/>
      <c r="K153" s="161"/>
      <c r="L153" s="2209"/>
      <c r="M153" s="157">
        <v>1</v>
      </c>
      <c r="N153" s="166">
        <v>9696</v>
      </c>
      <c r="O153" s="173">
        <v>0.35</v>
      </c>
      <c r="P153" s="186">
        <f t="shared" si="28"/>
        <v>6302.4000000000005</v>
      </c>
      <c r="Q153" s="166">
        <f t="shared" si="24"/>
        <v>12604.800000000001</v>
      </c>
      <c r="R153" s="178">
        <f t="shared" si="25"/>
        <v>3.2768321044693016E-2</v>
      </c>
      <c r="S153" s="168">
        <f t="shared" si="26"/>
        <v>12604.800000000001</v>
      </c>
      <c r="T153" s="282">
        <f t="shared" si="27"/>
        <v>12604.800000000001</v>
      </c>
      <c r="X153" s="152"/>
      <c r="Y153" s="282">
        <f>S153</f>
        <v>12604.800000000001</v>
      </c>
      <c r="Z153" s="152"/>
      <c r="AA153" s="151"/>
      <c r="AB153" s="172"/>
      <c r="AC153" s="172"/>
      <c r="AD153" s="172"/>
      <c r="AE153" s="172"/>
      <c r="AF153" s="174">
        <f>S153</f>
        <v>12604.800000000001</v>
      </c>
      <c r="AG153" s="172"/>
      <c r="AH153" s="172"/>
      <c r="AI153" s="152"/>
    </row>
    <row r="154" spans="1:35" x14ac:dyDescent="0.3">
      <c r="A154" s="157" t="s">
        <v>901</v>
      </c>
      <c r="B154" s="157" t="s">
        <v>158</v>
      </c>
      <c r="C154" s="157" t="s">
        <v>904</v>
      </c>
      <c r="D154" s="157" t="s">
        <v>402</v>
      </c>
      <c r="E154" s="157" t="s">
        <v>520</v>
      </c>
      <c r="F154" s="158" t="s">
        <v>911</v>
      </c>
      <c r="G154" s="157">
        <v>20</v>
      </c>
      <c r="H154" s="157" t="s">
        <v>22</v>
      </c>
      <c r="I154" s="161">
        <v>20</v>
      </c>
      <c r="J154" s="773">
        <v>20</v>
      </c>
      <c r="L154" s="286"/>
      <c r="M154" s="157">
        <v>2</v>
      </c>
      <c r="N154" s="166">
        <v>2200</v>
      </c>
      <c r="O154" s="173">
        <v>0.2</v>
      </c>
      <c r="P154" s="186">
        <f t="shared" si="28"/>
        <v>1760</v>
      </c>
      <c r="Q154" s="166">
        <f t="shared" si="24"/>
        <v>70400</v>
      </c>
      <c r="R154" s="1054">
        <f t="shared" si="25"/>
        <v>0.18301677151135981</v>
      </c>
      <c r="S154" s="168">
        <f t="shared" si="26"/>
        <v>70400</v>
      </c>
      <c r="T154" s="283"/>
      <c r="U154" s="169">
        <f>S154</f>
        <v>70400</v>
      </c>
      <c r="X154" s="152"/>
      <c r="Y154" s="283">
        <f>S154</f>
        <v>70400</v>
      </c>
      <c r="Z154" s="152"/>
      <c r="AA154" s="151"/>
      <c r="AB154" s="172"/>
      <c r="AC154" s="172"/>
      <c r="AD154" s="172"/>
      <c r="AE154" s="172"/>
      <c r="AF154" s="174">
        <f>S154</f>
        <v>70400</v>
      </c>
      <c r="AG154" s="172"/>
      <c r="AH154" s="172"/>
      <c r="AI154" s="152"/>
    </row>
    <row r="155" spans="1:35" x14ac:dyDescent="0.3">
      <c r="A155" s="157" t="s">
        <v>901</v>
      </c>
      <c r="B155" s="157" t="s">
        <v>179</v>
      </c>
      <c r="C155" s="157" t="s">
        <v>886</v>
      </c>
      <c r="D155" s="157" t="s">
        <v>180</v>
      </c>
      <c r="E155" s="157" t="s">
        <v>520</v>
      </c>
      <c r="F155" s="158" t="s">
        <v>911</v>
      </c>
      <c r="G155" s="157">
        <v>10</v>
      </c>
      <c r="H155" s="157" t="s">
        <v>24</v>
      </c>
      <c r="I155" s="159">
        <v>10</v>
      </c>
      <c r="J155" s="161"/>
      <c r="K155" s="161"/>
      <c r="L155" s="2209"/>
      <c r="M155" s="157">
        <v>1</v>
      </c>
      <c r="N155" s="166">
        <v>9388</v>
      </c>
      <c r="O155" s="173">
        <v>0.4</v>
      </c>
      <c r="P155" s="186">
        <f t="shared" si="28"/>
        <v>5632.8</v>
      </c>
      <c r="Q155" s="166">
        <f t="shared" si="24"/>
        <v>56328</v>
      </c>
      <c r="R155" s="1054">
        <f t="shared" si="25"/>
        <v>0.14643421456948685</v>
      </c>
      <c r="S155" s="168">
        <f t="shared" si="26"/>
        <v>56328</v>
      </c>
      <c r="T155" s="280"/>
      <c r="V155" s="169">
        <f>S155</f>
        <v>56328</v>
      </c>
      <c r="X155" s="152"/>
      <c r="Y155" s="283">
        <f>S155</f>
        <v>56328</v>
      </c>
      <c r="Z155" s="152"/>
      <c r="AA155" s="151"/>
      <c r="AB155" s="172"/>
      <c r="AC155" s="172"/>
      <c r="AD155" s="172"/>
      <c r="AE155" s="172"/>
      <c r="AF155" s="172"/>
      <c r="AG155" s="174">
        <f>S155</f>
        <v>56328</v>
      </c>
      <c r="AH155" s="172"/>
      <c r="AI155" s="152"/>
    </row>
    <row r="156" spans="1:35" x14ac:dyDescent="0.3">
      <c r="A156" s="172"/>
      <c r="B156" s="157"/>
      <c r="C156" s="190"/>
      <c r="D156" s="190"/>
      <c r="E156" s="190"/>
      <c r="F156" s="191"/>
      <c r="G156" s="190"/>
      <c r="H156" s="190"/>
      <c r="I156" s="245"/>
      <c r="J156" s="245"/>
      <c r="K156" s="245"/>
      <c r="L156" s="287"/>
      <c r="M156" s="190"/>
      <c r="N156" s="194"/>
      <c r="O156" s="195"/>
      <c r="P156" s="288"/>
      <c r="Q156" s="166"/>
      <c r="R156" s="393"/>
      <c r="S156" s="168"/>
      <c r="T156" s="280"/>
      <c r="X156" s="152"/>
      <c r="Y156" s="280"/>
      <c r="Z156" s="152"/>
      <c r="AA156" s="151"/>
      <c r="AB156" s="172"/>
      <c r="AC156" s="172"/>
      <c r="AD156" s="172"/>
      <c r="AE156" s="172"/>
      <c r="AF156" s="172"/>
      <c r="AG156" s="172"/>
      <c r="AH156" s="172"/>
      <c r="AI156" s="152"/>
    </row>
    <row r="157" spans="1:35" x14ac:dyDescent="0.3">
      <c r="A157" s="108" t="s">
        <v>815</v>
      </c>
      <c r="B157" s="108" t="s">
        <v>528</v>
      </c>
      <c r="C157" s="192"/>
      <c r="D157" s="193"/>
      <c r="E157" s="193"/>
      <c r="F157" s="244"/>
      <c r="G157" s="193"/>
      <c r="H157" s="193"/>
      <c r="I157" s="245"/>
      <c r="J157" s="245"/>
      <c r="K157" s="245"/>
      <c r="L157" s="245"/>
      <c r="M157" s="193"/>
      <c r="N157" s="246"/>
      <c r="O157" s="196"/>
      <c r="P157" s="288"/>
      <c r="Q157" s="257"/>
      <c r="R157" s="256">
        <f>Q157/Q160</f>
        <v>0</v>
      </c>
      <c r="S157" s="168">
        <f>Q157</f>
        <v>0</v>
      </c>
      <c r="T157" s="280"/>
      <c r="W157" s="169">
        <f>S157</f>
        <v>0</v>
      </c>
      <c r="X157" s="152"/>
      <c r="Y157" s="280"/>
      <c r="Z157" s="152"/>
      <c r="AA157" s="151"/>
      <c r="AB157" s="172"/>
      <c r="AC157" s="172"/>
      <c r="AD157" s="172"/>
      <c r="AE157" s="172"/>
      <c r="AF157" s="172"/>
      <c r="AG157" s="172"/>
      <c r="AH157" s="172"/>
      <c r="AI157" s="152"/>
    </row>
    <row r="158" spans="1:35" x14ac:dyDescent="0.3">
      <c r="A158" s="108" t="s">
        <v>815</v>
      </c>
      <c r="B158" s="108" t="s">
        <v>529</v>
      </c>
      <c r="C158" s="289"/>
      <c r="D158" s="252"/>
      <c r="E158" s="252"/>
      <c r="F158" s="253"/>
      <c r="G158" s="252"/>
      <c r="H158" s="252"/>
      <c r="I158" s="254"/>
      <c r="J158" s="254"/>
      <c r="K158" s="254"/>
      <c r="L158" s="254"/>
      <c r="M158" s="252"/>
      <c r="N158" s="255"/>
      <c r="O158" s="256"/>
      <c r="P158" s="290"/>
      <c r="Q158" s="257">
        <v>35000</v>
      </c>
      <c r="R158" s="291">
        <f>Q158/Q160</f>
        <v>9.0988451745704441E-2</v>
      </c>
      <c r="S158" s="168">
        <f>Q158</f>
        <v>35000</v>
      </c>
      <c r="T158" s="280"/>
      <c r="X158" s="171">
        <f>S158</f>
        <v>35000</v>
      </c>
      <c r="Y158" s="280"/>
      <c r="Z158" s="152"/>
      <c r="AA158" s="151"/>
      <c r="AB158" s="172"/>
      <c r="AC158" s="172"/>
      <c r="AD158" s="172"/>
      <c r="AE158" s="172"/>
      <c r="AF158" s="172"/>
      <c r="AG158" s="172"/>
      <c r="AH158" s="172"/>
      <c r="AI158" s="152"/>
    </row>
    <row r="159" spans="1:35" x14ac:dyDescent="0.3">
      <c r="I159" s="115">
        <f>I160/M160</f>
        <v>0.64864864864864868</v>
      </c>
      <c r="J159" s="115">
        <f>J160/M160</f>
        <v>0.1891891891891892</v>
      </c>
      <c r="K159" s="115">
        <f>K160/M160</f>
        <v>0.16216216216216217</v>
      </c>
      <c r="S159" s="149"/>
      <c r="T159" s="280"/>
      <c r="X159" s="152"/>
      <c r="Y159" s="280"/>
      <c r="Z159" s="152"/>
      <c r="AA159" s="737"/>
      <c r="AB159" s="738"/>
      <c r="AC159" s="738"/>
      <c r="AD159" s="738"/>
      <c r="AE159" s="738"/>
      <c r="AF159" s="738"/>
      <c r="AG159" s="738"/>
      <c r="AH159" s="738"/>
      <c r="AI159" s="567"/>
    </row>
    <row r="160" spans="1:35" x14ac:dyDescent="0.3">
      <c r="A160" s="326" t="s">
        <v>531</v>
      </c>
      <c r="B160" s="327"/>
      <c r="C160" s="327"/>
      <c r="D160" s="327"/>
      <c r="E160" s="327"/>
      <c r="F160" s="328"/>
      <c r="G160" s="327"/>
      <c r="H160" s="327"/>
      <c r="I160" s="327">
        <f>I153+I152+I151+I149+I148+I147+I146+I154+I155</f>
        <v>72</v>
      </c>
      <c r="J160" s="327">
        <f>J145+J154</f>
        <v>21</v>
      </c>
      <c r="K160" s="327">
        <f>K150</f>
        <v>18</v>
      </c>
      <c r="L160" s="327"/>
      <c r="M160" s="327">
        <f>SUM(I160:L160)</f>
        <v>111</v>
      </c>
      <c r="N160" s="329"/>
      <c r="O160" s="330"/>
      <c r="P160" s="329"/>
      <c r="Q160" s="331">
        <f>SUM(Q144:Q159)</f>
        <v>384664.19999999995</v>
      </c>
      <c r="R160" s="332">
        <f>SUM(R144:R158)</f>
        <v>1</v>
      </c>
      <c r="S160" s="583">
        <f>SUM(S144:S159)</f>
        <v>384664.19999999995</v>
      </c>
      <c r="T160" s="584">
        <f t="shared" ref="T160:Z160" si="29">SUM(T144:T158)</f>
        <v>188179.09999999998</v>
      </c>
      <c r="U160" s="585">
        <f t="shared" si="29"/>
        <v>70400</v>
      </c>
      <c r="V160" s="585">
        <f t="shared" si="29"/>
        <v>91085.1</v>
      </c>
      <c r="W160" s="585">
        <f t="shared" si="29"/>
        <v>0</v>
      </c>
      <c r="X160" s="586">
        <f t="shared" si="29"/>
        <v>35000</v>
      </c>
      <c r="Y160" s="587">
        <f t="shared" si="29"/>
        <v>295646.7</v>
      </c>
      <c r="Z160" s="586">
        <f t="shared" si="29"/>
        <v>54017.5</v>
      </c>
      <c r="AA160" s="648">
        <f t="shared" ref="AA160:AI160" si="30">SUM(AA144:AA159)</f>
        <v>4680</v>
      </c>
      <c r="AB160" s="1097">
        <f t="shared" si="30"/>
        <v>0</v>
      </c>
      <c r="AC160" s="1097">
        <f t="shared" si="30"/>
        <v>110394.3</v>
      </c>
      <c r="AD160" s="1097">
        <f t="shared" si="30"/>
        <v>54000</v>
      </c>
      <c r="AE160" s="1097">
        <f t="shared" si="30"/>
        <v>6500</v>
      </c>
      <c r="AF160" s="1097">
        <f t="shared" si="30"/>
        <v>117761.90000000002</v>
      </c>
      <c r="AG160" s="1097">
        <f t="shared" si="30"/>
        <v>56328</v>
      </c>
      <c r="AH160" s="1097">
        <f t="shared" si="30"/>
        <v>0</v>
      </c>
      <c r="AI160" s="647">
        <f t="shared" si="30"/>
        <v>0</v>
      </c>
    </row>
    <row r="161" spans="1:35" x14ac:dyDescent="0.3">
      <c r="A161" s="342" t="s">
        <v>532</v>
      </c>
      <c r="B161" s="343"/>
      <c r="C161" s="343"/>
      <c r="D161" s="343"/>
      <c r="E161" s="343"/>
      <c r="F161" s="344"/>
      <c r="G161" s="343"/>
      <c r="H161" s="343"/>
      <c r="I161" s="343">
        <f>I153+I152+I151+I149+I148+I147+I146+I154+I155</f>
        <v>72</v>
      </c>
      <c r="J161" s="343">
        <f>I153+I152+I151+I149+I148+I147+I146+J145+J154+I155</f>
        <v>73</v>
      </c>
      <c r="K161" s="343">
        <f>I153+I152+I151+K150+I149+I148+I146+J145+I155</f>
        <v>53</v>
      </c>
      <c r="L161" s="343"/>
      <c r="M161" s="343">
        <f>SUM(I161:L161)</f>
        <v>198</v>
      </c>
      <c r="N161" s="345"/>
      <c r="O161" s="346"/>
      <c r="P161" s="345"/>
      <c r="Q161" s="345"/>
      <c r="R161" s="347"/>
      <c r="S161" s="348"/>
      <c r="T161" s="349">
        <f>T160/S160</f>
        <v>0.48920357028285971</v>
      </c>
      <c r="U161" s="350">
        <f>U160/S160</f>
        <v>0.18301677151135981</v>
      </c>
      <c r="V161" s="350">
        <f>V160/S160</f>
        <v>0.23679120646007612</v>
      </c>
      <c r="W161" s="350">
        <f>W160/S160</f>
        <v>0</v>
      </c>
      <c r="X161" s="352">
        <f>X160/S160</f>
        <v>9.0988451745704441E-2</v>
      </c>
      <c r="Y161" s="351">
        <f>Y160/S160</f>
        <v>0.76858387133505024</v>
      </c>
      <c r="Z161" s="352">
        <f>Z160/S160</f>
        <v>0.14042767691924543</v>
      </c>
      <c r="AA161" s="354"/>
      <c r="AB161" s="355"/>
      <c r="AC161" s="355"/>
      <c r="AD161" s="355"/>
      <c r="AE161" s="355"/>
      <c r="AF161" s="355"/>
      <c r="AG161" s="355"/>
      <c r="AH161" s="355"/>
      <c r="AI161" s="356"/>
    </row>
    <row r="162" spans="1:35" x14ac:dyDescent="0.3">
      <c r="A162" s="243" t="s">
        <v>533</v>
      </c>
      <c r="B162" s="193"/>
      <c r="C162" s="193"/>
      <c r="D162" s="193"/>
      <c r="E162" s="193"/>
      <c r="F162" s="244"/>
      <c r="G162" s="193"/>
      <c r="H162" s="193"/>
      <c r="I162" s="2182">
        <f>I161/M161</f>
        <v>0.36363636363636365</v>
      </c>
      <c r="J162" s="2182">
        <f>J161/M161</f>
        <v>0.36868686868686867</v>
      </c>
      <c r="K162" s="2182">
        <f>K161/M161</f>
        <v>0.26767676767676768</v>
      </c>
      <c r="L162" s="2182"/>
      <c r="M162" s="193"/>
      <c r="N162" s="246"/>
      <c r="O162" s="196"/>
      <c r="P162" s="246"/>
      <c r="Q162" s="194">
        <f>T160</f>
        <v>188179.09999999998</v>
      </c>
      <c r="R162" s="247">
        <f>Q162/Q167</f>
        <v>0.48920357028285971</v>
      </c>
      <c r="X162" s="248"/>
      <c r="Y162" s="357">
        <f>I147+I148+K150+I152+I153+I154+J154+I155</f>
        <v>105</v>
      </c>
      <c r="Z162" s="358">
        <f>I146++I149+I151+J145</f>
        <v>6</v>
      </c>
    </row>
    <row r="163" spans="1:35" x14ac:dyDescent="0.3">
      <c r="A163" s="251" t="s">
        <v>11</v>
      </c>
      <c r="B163" s="252"/>
      <c r="C163" s="252"/>
      <c r="D163" s="252"/>
      <c r="E163" s="252"/>
      <c r="F163" s="253"/>
      <c r="G163" s="252"/>
      <c r="H163" s="252"/>
      <c r="I163" s="254"/>
      <c r="J163" s="254"/>
      <c r="K163" s="254"/>
      <c r="L163" s="254"/>
      <c r="M163" s="252"/>
      <c r="N163" s="255"/>
      <c r="O163" s="256"/>
      <c r="P163" s="255"/>
      <c r="Q163" s="257">
        <f>U160</f>
        <v>70400</v>
      </c>
      <c r="R163" s="262">
        <f>Q163/Q167</f>
        <v>0.18301677151135981</v>
      </c>
      <c r="S163" s="1068">
        <f>Q160/M160</f>
        <v>3465.4432432432427</v>
      </c>
      <c r="T163" s="1069" t="s">
        <v>535</v>
      </c>
      <c r="Y163" s="195">
        <f>Y162/M160</f>
        <v>0.94594594594594594</v>
      </c>
      <c r="Z163" s="247">
        <f>Z162/M160</f>
        <v>5.4054054054054057E-2</v>
      </c>
    </row>
    <row r="164" spans="1:35" x14ac:dyDescent="0.3">
      <c r="A164" s="251" t="s">
        <v>536</v>
      </c>
      <c r="B164" s="252"/>
      <c r="C164" s="252"/>
      <c r="D164" s="252"/>
      <c r="E164" s="252"/>
      <c r="F164" s="253"/>
      <c r="G164" s="252"/>
      <c r="H164" s="252"/>
      <c r="I164" s="254"/>
      <c r="J164" s="254"/>
      <c r="K164" s="254"/>
      <c r="L164" s="254"/>
      <c r="M164" s="252"/>
      <c r="N164" s="255"/>
      <c r="O164" s="256"/>
      <c r="P164" s="255"/>
      <c r="Q164" s="257">
        <f>V160</f>
        <v>91085.1</v>
      </c>
      <c r="R164" s="262">
        <f>Q164/Q167</f>
        <v>0.23679120646007612</v>
      </c>
      <c r="U164" s="263"/>
      <c r="W164" s="99"/>
    </row>
    <row r="165" spans="1:35" x14ac:dyDescent="0.3">
      <c r="A165" s="251" t="s">
        <v>529</v>
      </c>
      <c r="B165" s="252"/>
      <c r="C165" s="252"/>
      <c r="D165" s="252"/>
      <c r="E165" s="252"/>
      <c r="F165" s="253"/>
      <c r="G165" s="252"/>
      <c r="H165" s="252"/>
      <c r="I165" s="254"/>
      <c r="J165" s="254"/>
      <c r="K165" s="254"/>
      <c r="L165" s="254"/>
      <c r="M165" s="252"/>
      <c r="N165" s="255"/>
      <c r="O165" s="256"/>
      <c r="P165" s="255"/>
      <c r="Q165" s="257">
        <f>X160</f>
        <v>35000</v>
      </c>
      <c r="R165" s="262">
        <f>Q165/Q167</f>
        <v>9.0988451745704441E-2</v>
      </c>
      <c r="T165" s="263"/>
      <c r="U165" s="263"/>
    </row>
    <row r="166" spans="1:35" x14ac:dyDescent="0.3">
      <c r="A166" s="251" t="s">
        <v>528</v>
      </c>
      <c r="B166" s="252"/>
      <c r="C166" s="252"/>
      <c r="D166" s="252"/>
      <c r="E166" s="252"/>
      <c r="F166" s="253"/>
      <c r="G166" s="252"/>
      <c r="H166" s="252"/>
      <c r="I166" s="254"/>
      <c r="J166" s="254"/>
      <c r="K166" s="254"/>
      <c r="L166" s="254"/>
      <c r="M166" s="252"/>
      <c r="N166" s="255"/>
      <c r="O166" s="256"/>
      <c r="P166" s="255"/>
      <c r="Q166" s="257">
        <f>W160</f>
        <v>0</v>
      </c>
      <c r="R166" s="262">
        <f>Q166/Q167</f>
        <v>0</v>
      </c>
    </row>
    <row r="167" spans="1:35" x14ac:dyDescent="0.3">
      <c r="A167" s="251"/>
      <c r="B167" s="252"/>
      <c r="C167" s="252"/>
      <c r="D167" s="252"/>
      <c r="E167" s="252"/>
      <c r="F167" s="253"/>
      <c r="G167" s="252"/>
      <c r="H167" s="252"/>
      <c r="I167" s="254"/>
      <c r="J167" s="254"/>
      <c r="K167" s="254"/>
      <c r="L167" s="254"/>
      <c r="M167" s="252"/>
      <c r="N167" s="255"/>
      <c r="O167" s="256"/>
      <c r="P167" s="255"/>
      <c r="Q167" s="264">
        <f>SUM(Q162:Q166)</f>
        <v>384664.19999999995</v>
      </c>
      <c r="R167" s="262">
        <f>SUM(R162:R166)</f>
        <v>1</v>
      </c>
    </row>
    <row r="170" spans="1:35" x14ac:dyDescent="0.3">
      <c r="E170" s="1" t="s">
        <v>562</v>
      </c>
      <c r="F170" s="2" t="s">
        <v>850</v>
      </c>
    </row>
    <row r="171" spans="1:35" x14ac:dyDescent="0.3">
      <c r="E171" s="1" t="s">
        <v>473</v>
      </c>
      <c r="F171" s="2" t="s">
        <v>170</v>
      </c>
    </row>
    <row r="172" spans="1:35" x14ac:dyDescent="0.3">
      <c r="E172" s="1" t="s">
        <v>475</v>
      </c>
      <c r="F172" s="2" t="s">
        <v>892</v>
      </c>
    </row>
    <row r="173" spans="1:35" x14ac:dyDescent="0.3">
      <c r="E173" s="1" t="s">
        <v>477</v>
      </c>
      <c r="F173" s="2" t="s">
        <v>893</v>
      </c>
    </row>
    <row r="175" spans="1:35" ht="18" x14ac:dyDescent="0.35">
      <c r="A175" s="1037" t="s">
        <v>567</v>
      </c>
      <c r="R175" s="98"/>
    </row>
    <row r="177" spans="1:35" x14ac:dyDescent="0.3">
      <c r="A177" s="2587" t="s">
        <v>480</v>
      </c>
      <c r="B177" s="2588"/>
      <c r="C177" s="2588"/>
      <c r="D177" s="2588"/>
      <c r="E177" s="2588"/>
      <c r="F177" s="2588"/>
      <c r="G177" s="2588"/>
      <c r="H177" s="2588"/>
      <c r="I177" s="2588"/>
      <c r="J177" s="2588"/>
      <c r="K177" s="2588"/>
      <c r="L177" s="2588"/>
      <c r="M177" s="2588"/>
      <c r="N177" s="2588"/>
      <c r="O177" s="2588"/>
      <c r="P177" s="2588"/>
      <c r="Q177" s="2588"/>
      <c r="R177" s="2589"/>
      <c r="S177" s="2563" t="s">
        <v>584</v>
      </c>
      <c r="T177" s="2564"/>
      <c r="U177" s="2564"/>
      <c r="V177" s="2564"/>
      <c r="W177" s="2564"/>
      <c r="X177" s="2564"/>
      <c r="Y177" s="2564"/>
      <c r="Z177" s="2564"/>
      <c r="AA177" s="2564"/>
      <c r="AB177" s="2564"/>
      <c r="AC177" s="2564"/>
      <c r="AD177" s="2564"/>
      <c r="AE177" s="2564"/>
      <c r="AF177" s="2564"/>
      <c r="AG177" s="2564"/>
      <c r="AH177" s="2564"/>
      <c r="AI177" s="2576"/>
    </row>
    <row r="178" spans="1:35" ht="18" x14ac:dyDescent="0.3">
      <c r="A178" s="2227" t="s">
        <v>482</v>
      </c>
      <c r="B178" s="2215" t="s">
        <v>483</v>
      </c>
      <c r="C178" s="2215" t="s">
        <v>484</v>
      </c>
      <c r="D178" s="2215" t="s">
        <v>555</v>
      </c>
      <c r="E178" s="2215" t="s">
        <v>556</v>
      </c>
      <c r="F178" s="2213" t="s">
        <v>487</v>
      </c>
      <c r="G178" s="2215" t="s">
        <v>557</v>
      </c>
      <c r="H178" s="2215" t="s">
        <v>489</v>
      </c>
      <c r="I178" s="2217" t="s">
        <v>490</v>
      </c>
      <c r="J178" s="373"/>
      <c r="K178" s="373"/>
      <c r="L178" s="2218"/>
      <c r="M178" s="374" t="s">
        <v>491</v>
      </c>
      <c r="N178" s="375" t="s">
        <v>558</v>
      </c>
      <c r="O178" s="376" t="s">
        <v>493</v>
      </c>
      <c r="P178" s="375" t="s">
        <v>558</v>
      </c>
      <c r="Q178" s="375" t="s">
        <v>559</v>
      </c>
      <c r="R178" s="2327" t="s">
        <v>495</v>
      </c>
      <c r="S178" s="1073" t="s">
        <v>496</v>
      </c>
      <c r="T178" s="2553" t="s">
        <v>497</v>
      </c>
      <c r="U178" s="2553"/>
      <c r="V178" s="2553"/>
      <c r="W178" s="2553"/>
      <c r="X178" s="2553"/>
      <c r="Y178" s="2552" t="s">
        <v>498</v>
      </c>
      <c r="Z178" s="2556"/>
      <c r="AA178" s="2553"/>
      <c r="AB178" s="2553"/>
      <c r="AC178" s="2553"/>
      <c r="AD178" s="2553"/>
      <c r="AE178" s="2553"/>
      <c r="AF178" s="2553"/>
      <c r="AG178" s="2553"/>
      <c r="AH178" s="2553"/>
      <c r="AI178" s="2556"/>
    </row>
    <row r="179" spans="1:35" ht="18" x14ac:dyDescent="0.3">
      <c r="A179" s="2341"/>
      <c r="B179" s="2326"/>
      <c r="C179" s="2326"/>
      <c r="D179" s="2326"/>
      <c r="E179" s="2326"/>
      <c r="F179" s="2342"/>
      <c r="G179" s="2326"/>
      <c r="H179" s="2326"/>
      <c r="I179" s="536" t="s">
        <v>500</v>
      </c>
      <c r="J179" s="536" t="s">
        <v>501</v>
      </c>
      <c r="K179" s="536" t="s">
        <v>502</v>
      </c>
      <c r="L179" s="536" t="s">
        <v>503</v>
      </c>
      <c r="M179" s="537" t="s">
        <v>504</v>
      </c>
      <c r="N179" s="538" t="s">
        <v>505</v>
      </c>
      <c r="O179" s="539" t="s">
        <v>506</v>
      </c>
      <c r="P179" s="538" t="s">
        <v>507</v>
      </c>
      <c r="Q179" s="538" t="s">
        <v>560</v>
      </c>
      <c r="R179" s="2328"/>
      <c r="S179" s="1098" t="s">
        <v>508</v>
      </c>
      <c r="T179" s="2558"/>
      <c r="U179" s="2558"/>
      <c r="V179" s="2558"/>
      <c r="W179" s="2558"/>
      <c r="X179" s="2558"/>
      <c r="Y179" s="2557"/>
      <c r="Z179" s="2559"/>
      <c r="AA179" s="2558"/>
      <c r="AB179" s="2558"/>
      <c r="AC179" s="2558"/>
      <c r="AD179" s="2558"/>
      <c r="AE179" s="2558"/>
      <c r="AF179" s="2558"/>
      <c r="AG179" s="2558"/>
      <c r="AH179" s="2558"/>
      <c r="AI179" s="2559"/>
    </row>
    <row r="180" spans="1:35" ht="18" x14ac:dyDescent="0.35">
      <c r="A180" s="2323" t="s">
        <v>568</v>
      </c>
      <c r="B180" s="2324"/>
      <c r="C180" s="2324"/>
      <c r="D180" s="2324"/>
      <c r="E180" s="2324"/>
      <c r="F180" s="2324"/>
      <c r="G180" s="2324"/>
      <c r="H180" s="2324"/>
      <c r="I180" s="2324"/>
      <c r="J180" s="2324"/>
      <c r="K180" s="2324"/>
      <c r="L180" s="2324"/>
      <c r="M180" s="2324"/>
      <c r="N180" s="2324"/>
      <c r="O180" s="2324"/>
      <c r="P180" s="2324"/>
      <c r="Q180" s="2324"/>
      <c r="R180" s="2324"/>
      <c r="S180" s="559"/>
      <c r="T180" s="561" t="s">
        <v>510</v>
      </c>
      <c r="U180" s="561" t="s">
        <v>11</v>
      </c>
      <c r="V180" s="561" t="s">
        <v>511</v>
      </c>
      <c r="W180" s="561" t="s">
        <v>512</v>
      </c>
      <c r="X180" s="561" t="s">
        <v>513</v>
      </c>
      <c r="Y180" s="563" t="s">
        <v>514</v>
      </c>
      <c r="Z180" s="562" t="s">
        <v>515</v>
      </c>
      <c r="AA180" s="1042" t="s">
        <v>5</v>
      </c>
      <c r="AB180" s="1044" t="s">
        <v>12</v>
      </c>
      <c r="AC180" s="1044" t="s">
        <v>174</v>
      </c>
      <c r="AD180" s="1044" t="s">
        <v>175</v>
      </c>
      <c r="AE180" s="1044" t="s">
        <v>176</v>
      </c>
      <c r="AF180" s="1044" t="s">
        <v>177</v>
      </c>
      <c r="AG180" s="1044" t="s">
        <v>156</v>
      </c>
      <c r="AH180" s="1044" t="s">
        <v>140</v>
      </c>
      <c r="AI180" s="1045" t="s">
        <v>139</v>
      </c>
    </row>
    <row r="181" spans="1:35" x14ac:dyDescent="0.3">
      <c r="A181" s="154"/>
      <c r="B181" s="462"/>
      <c r="C181" s="462"/>
      <c r="D181" s="462"/>
      <c r="E181" s="462"/>
      <c r="F181" s="463"/>
      <c r="G181" s="462"/>
      <c r="H181" s="462"/>
      <c r="I181" s="465"/>
      <c r="J181" s="465"/>
      <c r="K181" s="465"/>
      <c r="L181" s="465"/>
      <c r="M181" s="462"/>
      <c r="N181" s="468"/>
      <c r="O181" s="469"/>
      <c r="P181" s="468"/>
      <c r="Q181" s="468"/>
      <c r="R181" s="532"/>
      <c r="S181" s="149"/>
      <c r="Y181" s="280"/>
      <c r="Z181" s="152"/>
      <c r="AA181" s="280"/>
      <c r="AI181" s="152"/>
    </row>
    <row r="182" spans="1:35" x14ac:dyDescent="0.3">
      <c r="A182" s="157" t="s">
        <v>901</v>
      </c>
      <c r="B182" s="157" t="s">
        <v>108</v>
      </c>
      <c r="C182" s="157" t="s">
        <v>909</v>
      </c>
      <c r="D182" s="157" t="s">
        <v>21</v>
      </c>
      <c r="E182" s="157" t="s">
        <v>518</v>
      </c>
      <c r="F182" s="158" t="s">
        <v>912</v>
      </c>
      <c r="G182" s="157">
        <v>1</v>
      </c>
      <c r="H182" s="157" t="s">
        <v>63</v>
      </c>
      <c r="I182" s="188"/>
      <c r="J182" s="161">
        <v>1</v>
      </c>
      <c r="K182" s="161"/>
      <c r="L182" s="286"/>
      <c r="M182" s="163">
        <v>1</v>
      </c>
      <c r="N182" s="166">
        <v>7200</v>
      </c>
      <c r="O182" s="173">
        <v>0.35</v>
      </c>
      <c r="P182" s="166">
        <f>N182*(1-O182)</f>
        <v>4680</v>
      </c>
      <c r="Q182" s="166">
        <f t="shared" ref="Q182:Q191" si="31">P182*M182*G182</f>
        <v>4680</v>
      </c>
      <c r="R182" s="167">
        <f t="shared" ref="R182:R191" si="32">Q182/$Q$196</f>
        <v>2.6667165061546445E-2</v>
      </c>
      <c r="S182" s="168">
        <f t="shared" ref="S182:S191" si="33">Q182*4</f>
        <v>18720</v>
      </c>
      <c r="T182" s="169">
        <f>S182</f>
        <v>18720</v>
      </c>
      <c r="U182" s="169"/>
      <c r="Y182" s="282"/>
      <c r="Z182" s="171">
        <f>S182</f>
        <v>18720</v>
      </c>
      <c r="AA182" s="282">
        <f>S182</f>
        <v>18720</v>
      </c>
      <c r="AB182" s="169"/>
      <c r="AC182" s="169"/>
      <c r="AD182" s="169"/>
      <c r="AI182" s="152"/>
    </row>
    <row r="183" spans="1:35" x14ac:dyDescent="0.3">
      <c r="A183" s="157" t="s">
        <v>901</v>
      </c>
      <c r="B183" s="157" t="s">
        <v>419</v>
      </c>
      <c r="C183" s="157" t="s">
        <v>883</v>
      </c>
      <c r="D183" s="157" t="s">
        <v>166</v>
      </c>
      <c r="E183" s="157" t="s">
        <v>520</v>
      </c>
      <c r="F183" s="158" t="s">
        <v>655</v>
      </c>
      <c r="G183" s="157">
        <v>8</v>
      </c>
      <c r="H183" s="157" t="s">
        <v>63</v>
      </c>
      <c r="I183" s="159">
        <v>8</v>
      </c>
      <c r="J183" s="161"/>
      <c r="L183" s="286"/>
      <c r="M183" s="163">
        <v>1</v>
      </c>
      <c r="N183" s="166">
        <v>3247</v>
      </c>
      <c r="O183" s="173">
        <v>0.2</v>
      </c>
      <c r="P183" s="166">
        <f t="shared" ref="P183:P191" si="34">N183*(1-O183)</f>
        <v>2597.6000000000004</v>
      </c>
      <c r="Q183" s="166">
        <f t="shared" si="31"/>
        <v>20780.800000000003</v>
      </c>
      <c r="R183" s="178">
        <f t="shared" si="32"/>
        <v>0.11841132985277446</v>
      </c>
      <c r="S183" s="168">
        <f t="shared" si="33"/>
        <v>83123.200000000012</v>
      </c>
      <c r="T183" s="169">
        <f>S183</f>
        <v>83123.200000000012</v>
      </c>
      <c r="Y183" s="282">
        <f>S183</f>
        <v>83123.200000000012</v>
      </c>
      <c r="Z183" s="171"/>
      <c r="AA183" s="280"/>
      <c r="AC183" s="169">
        <f>S183</f>
        <v>83123.200000000012</v>
      </c>
      <c r="AI183" s="152"/>
    </row>
    <row r="184" spans="1:35" x14ac:dyDescent="0.3">
      <c r="A184" s="157" t="s">
        <v>901</v>
      </c>
      <c r="B184" s="157" t="s">
        <v>419</v>
      </c>
      <c r="C184" s="157" t="s">
        <v>909</v>
      </c>
      <c r="D184" s="157" t="s">
        <v>26</v>
      </c>
      <c r="E184" s="157" t="s">
        <v>520</v>
      </c>
      <c r="F184" s="158" t="s">
        <v>640</v>
      </c>
      <c r="G184" s="157">
        <v>1</v>
      </c>
      <c r="H184" s="157" t="s">
        <v>24</v>
      </c>
      <c r="I184" s="175">
        <v>1</v>
      </c>
      <c r="J184" s="176"/>
      <c r="K184" s="176"/>
      <c r="L184" s="177"/>
      <c r="M184" s="163">
        <v>1</v>
      </c>
      <c r="N184" s="166">
        <v>13000</v>
      </c>
      <c r="O184" s="173">
        <v>0.2</v>
      </c>
      <c r="P184" s="166">
        <f t="shared" si="34"/>
        <v>10400</v>
      </c>
      <c r="Q184" s="166">
        <f t="shared" si="31"/>
        <v>10400</v>
      </c>
      <c r="R184" s="178">
        <f t="shared" si="32"/>
        <v>5.9260366803436541E-2</v>
      </c>
      <c r="S184" s="168">
        <f t="shared" si="33"/>
        <v>41600</v>
      </c>
      <c r="T184" s="169">
        <f>S184</f>
        <v>41600</v>
      </c>
      <c r="V184" s="169"/>
      <c r="Y184" s="283">
        <f>S184</f>
        <v>41600</v>
      </c>
      <c r="Z184" s="171"/>
      <c r="AA184" s="280"/>
      <c r="AB184" s="169"/>
      <c r="AC184" s="169">
        <f>S184</f>
        <v>41600</v>
      </c>
      <c r="AD184" s="169"/>
      <c r="AI184" s="152"/>
    </row>
    <row r="185" spans="1:35" x14ac:dyDescent="0.3">
      <c r="A185" s="157" t="s">
        <v>901</v>
      </c>
      <c r="B185" s="157" t="s">
        <v>419</v>
      </c>
      <c r="C185" s="157" t="s">
        <v>909</v>
      </c>
      <c r="D185" s="157" t="s">
        <v>21</v>
      </c>
      <c r="E185" s="157" t="s">
        <v>518</v>
      </c>
      <c r="F185" s="158" t="s">
        <v>912</v>
      </c>
      <c r="G185" s="157">
        <v>1</v>
      </c>
      <c r="H185" s="157" t="s">
        <v>24</v>
      </c>
      <c r="I185" s="159">
        <v>1</v>
      </c>
      <c r="J185" s="161"/>
      <c r="K185" s="161"/>
      <c r="L185" s="2209"/>
      <c r="M185" s="163">
        <v>1</v>
      </c>
      <c r="N185" s="166">
        <v>14950</v>
      </c>
      <c r="O185" s="173">
        <v>0.2</v>
      </c>
      <c r="P185" s="166">
        <f t="shared" si="34"/>
        <v>11960</v>
      </c>
      <c r="Q185" s="166">
        <f t="shared" si="31"/>
        <v>11960</v>
      </c>
      <c r="R185" s="167">
        <f t="shared" si="32"/>
        <v>6.8149421823952019E-2</v>
      </c>
      <c r="S185" s="168">
        <f t="shared" si="33"/>
        <v>47840</v>
      </c>
      <c r="T185" s="169">
        <f>S185</f>
        <v>47840</v>
      </c>
      <c r="Y185" s="282"/>
      <c r="Z185" s="171">
        <f>S185</f>
        <v>47840</v>
      </c>
      <c r="AA185" s="280"/>
      <c r="AB185" s="169"/>
      <c r="AC185" s="169">
        <f>S185</f>
        <v>47840</v>
      </c>
      <c r="AD185" s="169"/>
      <c r="AI185" s="152"/>
    </row>
    <row r="186" spans="1:35" x14ac:dyDescent="0.3">
      <c r="A186" s="157" t="s">
        <v>901</v>
      </c>
      <c r="B186" s="157" t="s">
        <v>420</v>
      </c>
      <c r="C186" s="157" t="s">
        <v>883</v>
      </c>
      <c r="D186" s="157" t="s">
        <v>166</v>
      </c>
      <c r="E186" s="157" t="s">
        <v>524</v>
      </c>
      <c r="F186" s="158" t="s">
        <v>655</v>
      </c>
      <c r="G186" s="157">
        <v>8</v>
      </c>
      <c r="H186" s="157" t="s">
        <v>63</v>
      </c>
      <c r="K186" s="773">
        <v>8</v>
      </c>
      <c r="L186" s="177"/>
      <c r="M186" s="163">
        <v>1</v>
      </c>
      <c r="N186" s="166">
        <v>3750</v>
      </c>
      <c r="O186" s="173">
        <v>0.2</v>
      </c>
      <c r="P186" s="166">
        <f t="shared" si="34"/>
        <v>3000</v>
      </c>
      <c r="Q186" s="166">
        <f t="shared" si="31"/>
        <v>24000</v>
      </c>
      <c r="R186" s="184">
        <f t="shared" si="32"/>
        <v>0.13675469262331511</v>
      </c>
      <c r="S186" s="168">
        <f t="shared" si="33"/>
        <v>96000</v>
      </c>
      <c r="T186" s="169">
        <f>S186</f>
        <v>96000</v>
      </c>
      <c r="Y186" s="282">
        <f>S186</f>
        <v>96000</v>
      </c>
      <c r="Z186" s="171"/>
      <c r="AA186" s="280"/>
      <c r="AC186" s="169"/>
      <c r="AD186" s="169">
        <f>S186</f>
        <v>96000</v>
      </c>
      <c r="AI186" s="152"/>
    </row>
    <row r="187" spans="1:35" x14ac:dyDescent="0.3">
      <c r="A187" s="157" t="s">
        <v>901</v>
      </c>
      <c r="B187" s="157" t="s">
        <v>422</v>
      </c>
      <c r="C187" s="157" t="s">
        <v>909</v>
      </c>
      <c r="D187" s="157" t="s">
        <v>21</v>
      </c>
      <c r="E187" s="157" t="s">
        <v>518</v>
      </c>
      <c r="F187" s="158" t="s">
        <v>912</v>
      </c>
      <c r="G187" s="157">
        <v>1</v>
      </c>
      <c r="H187" s="157" t="s">
        <v>24</v>
      </c>
      <c r="I187" s="159">
        <v>1</v>
      </c>
      <c r="J187" s="161"/>
      <c r="K187" s="161"/>
      <c r="L187" s="2209"/>
      <c r="M187" s="157">
        <v>1</v>
      </c>
      <c r="N187" s="166">
        <v>5000</v>
      </c>
      <c r="O187" s="173">
        <v>0.35</v>
      </c>
      <c r="P187" s="166">
        <f t="shared" si="34"/>
        <v>3250</v>
      </c>
      <c r="Q187" s="166">
        <f t="shared" si="31"/>
        <v>3250</v>
      </c>
      <c r="R187" s="167">
        <f t="shared" si="32"/>
        <v>1.8518864626073921E-2</v>
      </c>
      <c r="S187" s="168">
        <f t="shared" si="33"/>
        <v>13000</v>
      </c>
      <c r="T187" s="169">
        <f t="shared" ref="T187:T189" si="35">S187</f>
        <v>13000</v>
      </c>
      <c r="Y187" s="280"/>
      <c r="Z187" s="171">
        <f>S187</f>
        <v>13000</v>
      </c>
      <c r="AA187" s="280"/>
      <c r="AF187" s="169">
        <f>S187</f>
        <v>13000</v>
      </c>
      <c r="AI187" s="152"/>
    </row>
    <row r="188" spans="1:35" x14ac:dyDescent="0.3">
      <c r="A188" s="157" t="s">
        <v>901</v>
      </c>
      <c r="B188" s="157" t="s">
        <v>130</v>
      </c>
      <c r="C188" s="157" t="s">
        <v>905</v>
      </c>
      <c r="D188" s="157" t="s">
        <v>148</v>
      </c>
      <c r="E188" s="157" t="s">
        <v>524</v>
      </c>
      <c r="F188" s="158" t="s">
        <v>541</v>
      </c>
      <c r="G188" s="157">
        <v>8</v>
      </c>
      <c r="H188" s="157" t="s">
        <v>24</v>
      </c>
      <c r="I188" s="159">
        <v>8</v>
      </c>
      <c r="J188" s="161"/>
      <c r="K188" s="161"/>
      <c r="L188" s="2209"/>
      <c r="M188" s="157">
        <v>1</v>
      </c>
      <c r="N188" s="166">
        <v>12873</v>
      </c>
      <c r="O188" s="173">
        <v>0.82</v>
      </c>
      <c r="P188" s="186">
        <f t="shared" si="34"/>
        <v>2317.1400000000008</v>
      </c>
      <c r="Q188" s="166">
        <f t="shared" si="31"/>
        <v>18537.120000000006</v>
      </c>
      <c r="R188" s="178">
        <f t="shared" si="32"/>
        <v>0.10562658948839615</v>
      </c>
      <c r="S188" s="168">
        <f t="shared" si="33"/>
        <v>74148.480000000025</v>
      </c>
      <c r="T188" s="169"/>
      <c r="V188" s="169">
        <f>S188</f>
        <v>74148.480000000025</v>
      </c>
      <c r="Y188" s="282">
        <f>S188</f>
        <v>74148.480000000025</v>
      </c>
      <c r="Z188" s="152"/>
      <c r="AA188" s="280"/>
      <c r="AH188" s="169">
        <f>S188</f>
        <v>74148.480000000025</v>
      </c>
      <c r="AI188" s="152"/>
    </row>
    <row r="189" spans="1:35" x14ac:dyDescent="0.3">
      <c r="A189" s="157" t="s">
        <v>901</v>
      </c>
      <c r="B189" s="157" t="s">
        <v>422</v>
      </c>
      <c r="C189" s="157" t="s">
        <v>909</v>
      </c>
      <c r="D189" s="157" t="s">
        <v>26</v>
      </c>
      <c r="E189" s="157" t="s">
        <v>520</v>
      </c>
      <c r="F189" s="158" t="s">
        <v>640</v>
      </c>
      <c r="G189" s="157">
        <v>2</v>
      </c>
      <c r="H189" s="157" t="s">
        <v>24</v>
      </c>
      <c r="I189" s="159">
        <v>2</v>
      </c>
      <c r="J189" s="161"/>
      <c r="K189" s="161"/>
      <c r="L189" s="2209"/>
      <c r="M189" s="157">
        <v>1</v>
      </c>
      <c r="N189" s="166">
        <v>9696</v>
      </c>
      <c r="O189" s="173">
        <v>0.35</v>
      </c>
      <c r="P189" s="186">
        <f t="shared" si="34"/>
        <v>6302.4000000000005</v>
      </c>
      <c r="Q189" s="166">
        <f t="shared" si="31"/>
        <v>12604.800000000001</v>
      </c>
      <c r="R189" s="178">
        <f t="shared" si="32"/>
        <v>7.1823564565765094E-2</v>
      </c>
      <c r="S189" s="168">
        <f t="shared" si="33"/>
        <v>50419.200000000004</v>
      </c>
      <c r="T189" s="169">
        <f t="shared" si="35"/>
        <v>50419.200000000004</v>
      </c>
      <c r="Y189" s="282">
        <f>S189</f>
        <v>50419.200000000004</v>
      </c>
      <c r="Z189" s="152"/>
      <c r="AA189" s="280"/>
      <c r="AF189" s="169">
        <f>S189</f>
        <v>50419.200000000004</v>
      </c>
      <c r="AI189" s="152"/>
    </row>
    <row r="190" spans="1:35" x14ac:dyDescent="0.3">
      <c r="A190" s="157" t="s">
        <v>901</v>
      </c>
      <c r="B190" s="157" t="s">
        <v>158</v>
      </c>
      <c r="C190" s="157" t="s">
        <v>904</v>
      </c>
      <c r="D190" s="157" t="s">
        <v>402</v>
      </c>
      <c r="E190" s="157" t="s">
        <v>520</v>
      </c>
      <c r="F190" s="158" t="s">
        <v>169</v>
      </c>
      <c r="G190" s="157">
        <v>6</v>
      </c>
      <c r="H190" s="157" t="s">
        <v>22</v>
      </c>
      <c r="I190" s="161">
        <v>5</v>
      </c>
      <c r="J190" s="773">
        <v>5</v>
      </c>
      <c r="L190" s="286"/>
      <c r="M190" s="157">
        <v>2</v>
      </c>
      <c r="N190" s="166">
        <v>2200</v>
      </c>
      <c r="O190" s="173">
        <v>0.2</v>
      </c>
      <c r="P190" s="186">
        <f t="shared" si="34"/>
        <v>1760</v>
      </c>
      <c r="Q190" s="166">
        <f t="shared" si="31"/>
        <v>21120</v>
      </c>
      <c r="R190" s="1054">
        <f t="shared" si="32"/>
        <v>0.12034412950851729</v>
      </c>
      <c r="S190" s="168">
        <f t="shared" si="33"/>
        <v>84480</v>
      </c>
      <c r="T190" s="5"/>
      <c r="U190" s="169">
        <f>S190</f>
        <v>84480</v>
      </c>
      <c r="Y190" s="282">
        <f t="shared" ref="Y190:Y191" si="36">S190</f>
        <v>84480</v>
      </c>
      <c r="Z190" s="171"/>
      <c r="AA190" s="280"/>
      <c r="AG190" s="169">
        <f>S190</f>
        <v>84480</v>
      </c>
      <c r="AI190" s="152"/>
    </row>
    <row r="191" spans="1:35" x14ac:dyDescent="0.3">
      <c r="A191" s="157" t="s">
        <v>901</v>
      </c>
      <c r="B191" s="157" t="s">
        <v>179</v>
      </c>
      <c r="C191" s="157" t="s">
        <v>886</v>
      </c>
      <c r="D191" s="157" t="s">
        <v>180</v>
      </c>
      <c r="E191" s="157" t="s">
        <v>520</v>
      </c>
      <c r="F191" s="158" t="s">
        <v>911</v>
      </c>
      <c r="G191" s="157">
        <v>5</v>
      </c>
      <c r="H191" s="157" t="s">
        <v>24</v>
      </c>
      <c r="I191" s="159">
        <v>5</v>
      </c>
      <c r="J191" s="161"/>
      <c r="K191" s="161"/>
      <c r="L191" s="2209"/>
      <c r="M191" s="157">
        <v>1</v>
      </c>
      <c r="N191" s="166">
        <v>9388</v>
      </c>
      <c r="O191" s="173">
        <v>0.4</v>
      </c>
      <c r="P191" s="186">
        <f t="shared" si="34"/>
        <v>5632.8</v>
      </c>
      <c r="Q191" s="166">
        <f t="shared" si="31"/>
        <v>28164</v>
      </c>
      <c r="R191" s="1054">
        <f t="shared" si="32"/>
        <v>0.16048163179346028</v>
      </c>
      <c r="S191" s="168">
        <f t="shared" si="33"/>
        <v>112656</v>
      </c>
      <c r="V191" s="169">
        <f>S191</f>
        <v>112656</v>
      </c>
      <c r="Y191" s="282">
        <f t="shared" si="36"/>
        <v>112656</v>
      </c>
      <c r="Z191" s="171"/>
      <c r="AA191" s="280"/>
      <c r="AI191" s="171">
        <f>S191</f>
        <v>112656</v>
      </c>
    </row>
    <row r="192" spans="1:35" x14ac:dyDescent="0.3">
      <c r="A192" s="172"/>
      <c r="B192" s="157"/>
      <c r="C192" s="190"/>
      <c r="D192" s="190"/>
      <c r="E192" s="190"/>
      <c r="F192" s="191"/>
      <c r="G192" s="190"/>
      <c r="H192" s="190"/>
      <c r="I192" s="245"/>
      <c r="J192" s="245"/>
      <c r="K192" s="245"/>
      <c r="L192" s="287"/>
      <c r="M192" s="190"/>
      <c r="N192" s="194"/>
      <c r="O192" s="195"/>
      <c r="P192" s="288"/>
      <c r="Q192" s="166"/>
      <c r="R192" s="393"/>
      <c r="S192" s="168"/>
      <c r="Y192" s="280"/>
      <c r="Z192" s="152"/>
      <c r="AA192" s="280"/>
      <c r="AI192" s="152"/>
    </row>
    <row r="193" spans="1:35" x14ac:dyDescent="0.3">
      <c r="A193" s="108" t="s">
        <v>815</v>
      </c>
      <c r="B193" s="108" t="s">
        <v>528</v>
      </c>
      <c r="C193" s="192"/>
      <c r="D193" s="193"/>
      <c r="E193" s="193"/>
      <c r="F193" s="244"/>
      <c r="G193" s="193"/>
      <c r="H193" s="193"/>
      <c r="I193" s="245"/>
      <c r="J193" s="245"/>
      <c r="K193" s="245"/>
      <c r="L193" s="245"/>
      <c r="M193" s="193"/>
      <c r="N193" s="246"/>
      <c r="O193" s="196"/>
      <c r="P193" s="288"/>
      <c r="Q193" s="257"/>
      <c r="R193" s="256">
        <f>Q193/Q196</f>
        <v>0</v>
      </c>
      <c r="S193" s="168">
        <f>Q193*4</f>
        <v>0</v>
      </c>
      <c r="W193" s="169">
        <f>S193</f>
        <v>0</v>
      </c>
      <c r="Y193" s="280"/>
      <c r="Z193" s="152"/>
      <c r="AA193" s="280"/>
      <c r="AI193" s="152"/>
    </row>
    <row r="194" spans="1:35" x14ac:dyDescent="0.3">
      <c r="A194" s="108" t="s">
        <v>815</v>
      </c>
      <c r="B194" s="108" t="s">
        <v>529</v>
      </c>
      <c r="C194" s="289"/>
      <c r="D194" s="252"/>
      <c r="E194" s="252"/>
      <c r="F194" s="253"/>
      <c r="G194" s="252"/>
      <c r="H194" s="252"/>
      <c r="I194" s="254"/>
      <c r="J194" s="254"/>
      <c r="K194" s="254"/>
      <c r="L194" s="254"/>
      <c r="M194" s="252"/>
      <c r="N194" s="255"/>
      <c r="O194" s="256"/>
      <c r="P194" s="290"/>
      <c r="Q194" s="257">
        <v>20000</v>
      </c>
      <c r="R194" s="291">
        <f>Q194/Q196</f>
        <v>0.11396224385276259</v>
      </c>
      <c r="S194" s="168">
        <f>Q194*4</f>
        <v>80000</v>
      </c>
      <c r="X194" s="169">
        <f>S194</f>
        <v>80000</v>
      </c>
      <c r="Y194" s="280"/>
      <c r="Z194" s="152"/>
      <c r="AA194" s="280"/>
      <c r="AI194" s="152"/>
    </row>
    <row r="195" spans="1:35" x14ac:dyDescent="0.3">
      <c r="I195" s="115">
        <f>I196/M196</f>
        <v>0.68888888888888888</v>
      </c>
      <c r="J195" s="115">
        <f>J196/M196</f>
        <v>0.13333333333333333</v>
      </c>
      <c r="K195" s="115">
        <f>K196/M196</f>
        <v>0.17777777777777778</v>
      </c>
      <c r="S195" s="645"/>
      <c r="T195" s="566"/>
      <c r="U195" s="245"/>
      <c r="V195" s="245"/>
      <c r="W195" s="245"/>
      <c r="X195" s="245"/>
      <c r="Y195" s="566"/>
      <c r="Z195" s="567"/>
      <c r="AA195" s="566"/>
      <c r="AB195" s="245"/>
      <c r="AC195" s="245"/>
      <c r="AD195" s="245"/>
      <c r="AE195" s="245"/>
      <c r="AF195" s="245"/>
      <c r="AG195" s="245"/>
      <c r="AH195" s="245"/>
      <c r="AI195" s="567"/>
    </row>
    <row r="196" spans="1:35" x14ac:dyDescent="0.3">
      <c r="A196" s="396" t="s">
        <v>531</v>
      </c>
      <c r="B196" s="373"/>
      <c r="C196" s="373"/>
      <c r="D196" s="373"/>
      <c r="E196" s="373"/>
      <c r="F196" s="397"/>
      <c r="G196" s="373"/>
      <c r="H196" s="373"/>
      <c r="I196" s="373">
        <f>I189+I188+I187+I185+I184+I183+I190+I191</f>
        <v>31</v>
      </c>
      <c r="J196" s="373">
        <f>J182+J190</f>
        <v>6</v>
      </c>
      <c r="K196" s="373">
        <f>K186</f>
        <v>8</v>
      </c>
      <c r="L196" s="373"/>
      <c r="M196" s="373">
        <f>SUM(I196:L196)</f>
        <v>45</v>
      </c>
      <c r="N196" s="398"/>
      <c r="O196" s="399"/>
      <c r="P196" s="398"/>
      <c r="Q196" s="400">
        <f>SUM(Q181:Q195)</f>
        <v>175496.72000000003</v>
      </c>
      <c r="R196" s="401">
        <f>SUM(R181:R194)</f>
        <v>0.99999999999999989</v>
      </c>
      <c r="S196" s="651">
        <f>SUM(S181:S195)</f>
        <v>701986.88000000012</v>
      </c>
      <c r="T196" s="652">
        <f t="shared" ref="T196:Z196" si="37">SUM(T181:T194)</f>
        <v>350702.4</v>
      </c>
      <c r="U196" s="652">
        <f t="shared" si="37"/>
        <v>84480</v>
      </c>
      <c r="V196" s="652">
        <f t="shared" si="37"/>
        <v>186804.48000000004</v>
      </c>
      <c r="W196" s="652">
        <f t="shared" si="37"/>
        <v>0</v>
      </c>
      <c r="X196" s="652">
        <f t="shared" si="37"/>
        <v>80000</v>
      </c>
      <c r="Y196" s="653">
        <f t="shared" si="37"/>
        <v>542426.88000000012</v>
      </c>
      <c r="Z196" s="654">
        <f t="shared" si="37"/>
        <v>79560</v>
      </c>
      <c r="AA196" s="754">
        <f>SUM(AA182:AA195)</f>
        <v>18720</v>
      </c>
      <c r="AB196" s="652">
        <f>SUM(AB182:AB195)</f>
        <v>0</v>
      </c>
      <c r="AC196" s="652">
        <f t="shared" ref="AC196:AH196" si="38">SUM(AC182:AC195)</f>
        <v>172563.20000000001</v>
      </c>
      <c r="AD196" s="652">
        <f t="shared" si="38"/>
        <v>96000</v>
      </c>
      <c r="AE196" s="652">
        <f t="shared" si="38"/>
        <v>0</v>
      </c>
      <c r="AF196" s="652">
        <f t="shared" si="38"/>
        <v>63419.200000000004</v>
      </c>
      <c r="AG196" s="652">
        <f t="shared" si="38"/>
        <v>84480</v>
      </c>
      <c r="AH196" s="652">
        <f t="shared" si="38"/>
        <v>74148.480000000025</v>
      </c>
      <c r="AI196" s="654">
        <f>SUM(AI181:AI195)</f>
        <v>112656</v>
      </c>
    </row>
    <row r="197" spans="1:35" x14ac:dyDescent="0.3">
      <c r="A197" s="410" t="s">
        <v>532</v>
      </c>
      <c r="B197" s="411"/>
      <c r="C197" s="411"/>
      <c r="D197" s="411"/>
      <c r="E197" s="411"/>
      <c r="F197" s="412"/>
      <c r="G197" s="411"/>
      <c r="H197" s="411"/>
      <c r="I197" s="411">
        <f>I189+I188+I187+I185+I184+I183+I190+I191</f>
        <v>31</v>
      </c>
      <c r="J197" s="411">
        <f>I189+I188+I187+I185+I184+I183+J182+J190+I191</f>
        <v>32</v>
      </c>
      <c r="K197" s="411">
        <f>I189+I188+I187+K186+I185+I184+J182+I191</f>
        <v>27</v>
      </c>
      <c r="L197" s="411"/>
      <c r="M197" s="411">
        <f>SUM(I197:L197)</f>
        <v>90</v>
      </c>
      <c r="N197" s="413"/>
      <c r="O197" s="414"/>
      <c r="P197" s="413"/>
      <c r="Q197" s="413"/>
      <c r="R197" s="415"/>
      <c r="S197" s="416"/>
      <c r="T197" s="418">
        <f>T196/S196</f>
        <v>0.49958540535686358</v>
      </c>
      <c r="U197" s="418">
        <f>U196/S196</f>
        <v>0.12034412950851729</v>
      </c>
      <c r="V197" s="418">
        <f>V196/S196</f>
        <v>0.26610822128185646</v>
      </c>
      <c r="W197" s="418">
        <f>W196/S196</f>
        <v>0</v>
      </c>
      <c r="X197" s="418">
        <f>X196/S196</f>
        <v>0.11396224385276259</v>
      </c>
      <c r="Y197" s="420">
        <f>Y196/S196</f>
        <v>0.77270230463566503</v>
      </c>
      <c r="Z197" s="419">
        <f>Z196/S196</f>
        <v>0.11333545151157239</v>
      </c>
      <c r="AA197" s="599"/>
      <c r="AB197" s="550"/>
      <c r="AC197" s="550"/>
      <c r="AD197" s="550"/>
      <c r="AE197" s="550"/>
      <c r="AF197" s="550"/>
      <c r="AG197" s="550"/>
      <c r="AH197" s="550"/>
      <c r="AI197" s="424"/>
    </row>
    <row r="198" spans="1:35" x14ac:dyDescent="0.3">
      <c r="A198" s="243" t="s">
        <v>533</v>
      </c>
      <c r="B198" s="193"/>
      <c r="C198" s="193"/>
      <c r="D198" s="193"/>
      <c r="E198" s="193"/>
      <c r="F198" s="244"/>
      <c r="G198" s="193"/>
      <c r="H198" s="193"/>
      <c r="I198" s="2182">
        <f>I197/M197</f>
        <v>0.34444444444444444</v>
      </c>
      <c r="J198" s="2182">
        <f>J197/M197</f>
        <v>0.35555555555555557</v>
      </c>
      <c r="K198" s="2182">
        <f>K197/M197</f>
        <v>0.3</v>
      </c>
      <c r="L198" s="245">
        <f>L197/M197</f>
        <v>0</v>
      </c>
      <c r="M198" s="193"/>
      <c r="N198" s="246"/>
      <c r="O198" s="196"/>
      <c r="P198" s="246"/>
      <c r="Q198" s="194">
        <f>T196/4</f>
        <v>87675.6</v>
      </c>
      <c r="R198" s="247">
        <f>Q198/Q203</f>
        <v>0.49958540535686358</v>
      </c>
      <c r="X198" s="248">
        <f>SUM(T181:X195)</f>
        <v>701986.88000000012</v>
      </c>
      <c r="Y198" s="357">
        <f>I183+I184+K186+I188+I189+I190+J190+I191</f>
        <v>42</v>
      </c>
      <c r="Z198" s="358">
        <f>+I185+I187+J182</f>
        <v>3</v>
      </c>
    </row>
    <row r="199" spans="1:35" x14ac:dyDescent="0.3">
      <c r="A199" s="251" t="s">
        <v>11</v>
      </c>
      <c r="B199" s="252"/>
      <c r="C199" s="252"/>
      <c r="D199" s="252"/>
      <c r="E199" s="252"/>
      <c r="F199" s="253"/>
      <c r="G199" s="252"/>
      <c r="H199" s="252"/>
      <c r="I199" s="254"/>
      <c r="J199" s="254"/>
      <c r="K199" s="254"/>
      <c r="L199" s="254"/>
      <c r="M199" s="252"/>
      <c r="N199" s="255"/>
      <c r="O199" s="256"/>
      <c r="P199" s="255"/>
      <c r="Q199" s="257">
        <f>U196/4</f>
        <v>21120</v>
      </c>
      <c r="R199" s="262">
        <f>Q199/Q203</f>
        <v>0.12034412950851729</v>
      </c>
      <c r="S199" s="1077">
        <f>Q196/M196</f>
        <v>3899.9271111111116</v>
      </c>
      <c r="T199" s="1078" t="s">
        <v>535</v>
      </c>
      <c r="Y199" s="195">
        <f>Y198/M196</f>
        <v>0.93333333333333335</v>
      </c>
      <c r="Z199" s="247">
        <f>Z198/M196</f>
        <v>6.6666666666666666E-2</v>
      </c>
    </row>
    <row r="200" spans="1:35" x14ac:dyDescent="0.3">
      <c r="A200" s="251" t="s">
        <v>536</v>
      </c>
      <c r="B200" s="252"/>
      <c r="C200" s="252"/>
      <c r="D200" s="252"/>
      <c r="E200" s="252"/>
      <c r="F200" s="253"/>
      <c r="G200" s="252"/>
      <c r="H200" s="252"/>
      <c r="I200" s="254"/>
      <c r="J200" s="254"/>
      <c r="K200" s="254"/>
      <c r="L200" s="254"/>
      <c r="M200" s="252"/>
      <c r="N200" s="255"/>
      <c r="O200" s="256"/>
      <c r="P200" s="255"/>
      <c r="Q200" s="257">
        <f>V196/4</f>
        <v>46701.12000000001</v>
      </c>
      <c r="R200" s="262">
        <f>Q200/Q203</f>
        <v>0.26610822128185646</v>
      </c>
      <c r="U200" s="263"/>
      <c r="W200" s="99"/>
    </row>
    <row r="201" spans="1:35" x14ac:dyDescent="0.3">
      <c r="A201" s="251" t="s">
        <v>529</v>
      </c>
      <c r="B201" s="252"/>
      <c r="C201" s="252"/>
      <c r="D201" s="252"/>
      <c r="E201" s="252"/>
      <c r="F201" s="253"/>
      <c r="G201" s="252"/>
      <c r="H201" s="252"/>
      <c r="I201" s="254"/>
      <c r="J201" s="254"/>
      <c r="K201" s="254"/>
      <c r="L201" s="254"/>
      <c r="M201" s="252"/>
      <c r="N201" s="255"/>
      <c r="O201" s="256"/>
      <c r="P201" s="255"/>
      <c r="Q201" s="257">
        <f>X196/4</f>
        <v>20000</v>
      </c>
      <c r="R201" s="262">
        <f>Q201/Q203</f>
        <v>0.11396224385276259</v>
      </c>
      <c r="T201" s="263"/>
      <c r="U201" s="263"/>
    </row>
    <row r="202" spans="1:35" x14ac:dyDescent="0.3">
      <c r="A202" s="251" t="s">
        <v>528</v>
      </c>
      <c r="B202" s="252"/>
      <c r="C202" s="252"/>
      <c r="D202" s="252"/>
      <c r="E202" s="252"/>
      <c r="F202" s="253"/>
      <c r="G202" s="252"/>
      <c r="H202" s="252"/>
      <c r="I202" s="254"/>
      <c r="J202" s="254"/>
      <c r="K202" s="254"/>
      <c r="L202" s="254"/>
      <c r="M202" s="252"/>
      <c r="N202" s="255"/>
      <c r="O202" s="256"/>
      <c r="P202" s="255"/>
      <c r="Q202" s="257">
        <f>W196/4</f>
        <v>0</v>
      </c>
      <c r="R202" s="262">
        <f>Q202/Q203</f>
        <v>0</v>
      </c>
    </row>
    <row r="203" spans="1:35" x14ac:dyDescent="0.3">
      <c r="A203" s="251"/>
      <c r="B203" s="252"/>
      <c r="C203" s="252"/>
      <c r="D203" s="252"/>
      <c r="E203" s="252"/>
      <c r="F203" s="253"/>
      <c r="G203" s="252"/>
      <c r="H203" s="252"/>
      <c r="I203" s="254"/>
      <c r="J203" s="254"/>
      <c r="K203" s="254"/>
      <c r="L203" s="254"/>
      <c r="M203" s="252"/>
      <c r="N203" s="255"/>
      <c r="O203" s="256"/>
      <c r="P203" s="255"/>
      <c r="Q203" s="264">
        <f>SUM(Q198:Q202)</f>
        <v>175496.72000000003</v>
      </c>
      <c r="R203" s="262">
        <f>SUM(R198:R202)</f>
        <v>0.99999999999999978</v>
      </c>
    </row>
    <row r="204" spans="1:35" x14ac:dyDescent="0.3">
      <c r="A204" s="188"/>
      <c r="N204" s="5"/>
      <c r="O204" s="6"/>
      <c r="P204" s="5"/>
      <c r="Q204" s="5"/>
      <c r="R204" s="6"/>
      <c r="S204" s="600"/>
    </row>
    <row r="205" spans="1:35" x14ac:dyDescent="0.3">
      <c r="A205" s="188"/>
      <c r="N205" s="5"/>
      <c r="O205" s="6"/>
      <c r="P205" s="5"/>
      <c r="Q205" s="5"/>
      <c r="R205" s="6"/>
      <c r="S205" s="600"/>
      <c r="Z205" s="303">
        <f>SUM(AA206:AI206)</f>
        <v>3465600.3600000003</v>
      </c>
      <c r="AA205" s="1082" t="s">
        <v>5</v>
      </c>
      <c r="AB205" s="1082" t="s">
        <v>12</v>
      </c>
      <c r="AC205" s="1082" t="s">
        <v>174</v>
      </c>
      <c r="AD205" s="1082" t="s">
        <v>175</v>
      </c>
      <c r="AE205" s="1082" t="s">
        <v>176</v>
      </c>
      <c r="AF205" s="1082" t="s">
        <v>177</v>
      </c>
      <c r="AG205" s="1082" t="s">
        <v>156</v>
      </c>
      <c r="AH205" s="1082" t="s">
        <v>140</v>
      </c>
      <c r="AI205" s="1081" t="s">
        <v>139</v>
      </c>
    </row>
    <row r="206" spans="1:35" ht="18" x14ac:dyDescent="0.35">
      <c r="A206" s="430" t="s">
        <v>569</v>
      </c>
      <c r="B206" s="431"/>
      <c r="C206" s="431"/>
      <c r="D206" s="432"/>
      <c r="E206" s="432"/>
      <c r="F206" s="433"/>
      <c r="G206" s="432"/>
      <c r="H206" s="432"/>
      <c r="I206" s="434"/>
      <c r="J206" s="434"/>
      <c r="K206" s="434"/>
      <c r="L206" s="434"/>
      <c r="M206" s="431"/>
      <c r="N206" s="435"/>
      <c r="O206" s="436"/>
      <c r="P206" s="435"/>
      <c r="Q206" s="435"/>
      <c r="R206" s="763" t="s">
        <v>878</v>
      </c>
      <c r="S206" s="763">
        <f>S196+S160+S124+S83+S51</f>
        <v>3794362.86</v>
      </c>
      <c r="Z206" s="137" t="s">
        <v>601</v>
      </c>
      <c r="AA206" s="1083">
        <f>AA196+AA160+AA124+AA83+AA51</f>
        <v>65717.5</v>
      </c>
      <c r="AB206" s="1035">
        <f t="shared" ref="AB206:AI206" si="39">AB196+AB160+AB124+AB83+AB51</f>
        <v>56752.5</v>
      </c>
      <c r="AC206" s="1035">
        <f t="shared" si="39"/>
        <v>1173151.8999999999</v>
      </c>
      <c r="AD206" s="1035">
        <f t="shared" si="39"/>
        <v>507000</v>
      </c>
      <c r="AE206" s="1035">
        <f t="shared" si="39"/>
        <v>385940</v>
      </c>
      <c r="AF206" s="1035">
        <f t="shared" si="39"/>
        <v>516869.70000000007</v>
      </c>
      <c r="AG206" s="1035">
        <f t="shared" si="39"/>
        <v>443528</v>
      </c>
      <c r="AH206" s="1035">
        <f t="shared" si="39"/>
        <v>125125.56000000004</v>
      </c>
      <c r="AI206" s="1084">
        <f t="shared" si="39"/>
        <v>191515.2</v>
      </c>
    </row>
    <row r="207" spans="1:35" x14ac:dyDescent="0.3">
      <c r="R207" s="3" t="s">
        <v>571</v>
      </c>
      <c r="S207" s="98">
        <f>D18-S206</f>
        <v>-53799.060000000056</v>
      </c>
      <c r="U207" s="11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F87"/>
  <sheetViews>
    <sheetView topLeftCell="A41" workbookViewId="0">
      <selection activeCell="H51" sqref="H51:H60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394</v>
      </c>
      <c r="C2" t="s">
        <v>417</v>
      </c>
      <c r="D2" t="s">
        <v>418</v>
      </c>
      <c r="E2" s="1" t="s">
        <v>108</v>
      </c>
      <c r="F2" s="1" t="s">
        <v>21</v>
      </c>
      <c r="G2" s="2186">
        <v>2</v>
      </c>
      <c r="H2" s="2186">
        <f>VLOOKUP(G2,Pesos!A:B,2,0)</f>
        <v>0.8</v>
      </c>
      <c r="I2" s="1"/>
      <c r="J2" s="1" t="s">
        <v>305</v>
      </c>
      <c r="K2" s="1">
        <v>8</v>
      </c>
      <c r="L2" s="2" t="s">
        <v>59</v>
      </c>
      <c r="M2" s="1">
        <v>1</v>
      </c>
      <c r="N2" s="1" t="s">
        <v>63</v>
      </c>
      <c r="O2" s="1"/>
      <c r="P2" s="74">
        <v>1</v>
      </c>
      <c r="Q2" s="1">
        <v>1</v>
      </c>
      <c r="R2" s="1"/>
      <c r="S2" s="1">
        <v>2</v>
      </c>
      <c r="T2" s="5">
        <v>7200</v>
      </c>
      <c r="U2" s="24">
        <v>0.35</v>
      </c>
      <c r="V2" s="25">
        <f>T2*(1-U2)</f>
        <v>4680</v>
      </c>
      <c r="W2" s="25">
        <f>V2*S2*M2</f>
        <v>9360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394</v>
      </c>
      <c r="C3" t="s">
        <v>417</v>
      </c>
      <c r="D3" t="s">
        <v>418</v>
      </c>
      <c r="E3" s="1" t="s">
        <v>23</v>
      </c>
      <c r="F3" s="1" t="s">
        <v>21</v>
      </c>
      <c r="G3" s="2186">
        <v>2</v>
      </c>
      <c r="H3" s="2186">
        <f>VLOOKUP(G3,Pesos!A:B,2,0)</f>
        <v>0.8</v>
      </c>
      <c r="J3" s="1" t="s">
        <v>305</v>
      </c>
      <c r="K3" s="1">
        <v>8</v>
      </c>
      <c r="L3" s="2" t="s">
        <v>59</v>
      </c>
      <c r="M3" s="1">
        <v>1</v>
      </c>
      <c r="N3" s="1" t="s">
        <v>24</v>
      </c>
      <c r="O3" s="1">
        <v>1</v>
      </c>
      <c r="P3" s="13"/>
      <c r="S3" s="1">
        <v>1</v>
      </c>
      <c r="T3" s="5">
        <v>27025</v>
      </c>
      <c r="U3" s="24">
        <v>0.3</v>
      </c>
      <c r="V3" s="26">
        <f>T3*(1-U3)</f>
        <v>18917.5</v>
      </c>
      <c r="W3" s="25">
        <f t="shared" ref="W3:W49" si="0">V3*S3*M3</f>
        <v>18917.5</v>
      </c>
      <c r="X3" s="6"/>
      <c r="Y3" s="22"/>
      <c r="Z3" s="1"/>
    </row>
    <row r="4" spans="1:32" x14ac:dyDescent="0.3">
      <c r="A4" t="s">
        <v>327</v>
      </c>
      <c r="B4" t="s">
        <v>394</v>
      </c>
      <c r="C4" t="s">
        <v>417</v>
      </c>
      <c r="D4" t="s">
        <v>418</v>
      </c>
      <c r="E4" s="1" t="s">
        <v>419</v>
      </c>
      <c r="F4" s="1" t="s">
        <v>166</v>
      </c>
      <c r="G4" s="2186">
        <v>1</v>
      </c>
      <c r="H4" s="2186">
        <f>VLOOKUP(G4,Pesos!A:B,2,0)</f>
        <v>0.9</v>
      </c>
      <c r="I4" s="1" t="s">
        <v>305</v>
      </c>
      <c r="K4" s="1">
        <v>15</v>
      </c>
      <c r="L4" s="2" t="s">
        <v>185</v>
      </c>
      <c r="M4" s="1">
        <v>20</v>
      </c>
      <c r="N4" s="1" t="s">
        <v>63</v>
      </c>
      <c r="O4" s="1">
        <v>20</v>
      </c>
      <c r="P4" s="13"/>
      <c r="S4" s="1">
        <v>1</v>
      </c>
      <c r="T4" s="5">
        <v>3247</v>
      </c>
      <c r="U4" s="24">
        <v>0.2</v>
      </c>
      <c r="V4" s="26">
        <f t="shared" ref="V4" si="1">T4*(1-U4)</f>
        <v>2597.6000000000004</v>
      </c>
      <c r="W4" s="25">
        <f t="shared" si="0"/>
        <v>51952.000000000007</v>
      </c>
      <c r="X4" s="6"/>
      <c r="Y4" s="22"/>
      <c r="Z4" s="1"/>
    </row>
    <row r="5" spans="1:32" x14ac:dyDescent="0.3">
      <c r="A5" t="s">
        <v>327</v>
      </c>
      <c r="B5" t="s">
        <v>394</v>
      </c>
      <c r="C5" t="s">
        <v>417</v>
      </c>
      <c r="D5" t="s">
        <v>418</v>
      </c>
      <c r="E5" s="1" t="s">
        <v>419</v>
      </c>
      <c r="F5" s="1" t="s">
        <v>26</v>
      </c>
      <c r="G5" s="2186">
        <v>5</v>
      </c>
      <c r="H5" s="2186">
        <f>VLOOKUP(G5,Pesos!A:B,2,0)</f>
        <v>0.5</v>
      </c>
      <c r="I5" s="1" t="s">
        <v>305</v>
      </c>
      <c r="K5" s="1">
        <v>7</v>
      </c>
      <c r="L5" s="2" t="s">
        <v>170</v>
      </c>
      <c r="M5" s="1">
        <v>3</v>
      </c>
      <c r="N5" s="1" t="s">
        <v>24</v>
      </c>
      <c r="O5" s="1">
        <v>3</v>
      </c>
      <c r="P5" s="13"/>
      <c r="S5" s="1">
        <v>1</v>
      </c>
      <c r="T5" s="5">
        <v>13000</v>
      </c>
      <c r="U5" s="24">
        <v>0.2</v>
      </c>
      <c r="V5" s="26">
        <f>T5*(1-U5)</f>
        <v>10400</v>
      </c>
      <c r="W5" s="25">
        <f t="shared" si="0"/>
        <v>31200</v>
      </c>
      <c r="X5" s="18"/>
      <c r="Y5" s="22"/>
      <c r="Z5" s="1"/>
    </row>
    <row r="6" spans="1:32" x14ac:dyDescent="0.3">
      <c r="A6" t="s">
        <v>327</v>
      </c>
      <c r="B6" t="s">
        <v>394</v>
      </c>
      <c r="C6" t="s">
        <v>417</v>
      </c>
      <c r="D6" t="s">
        <v>418</v>
      </c>
      <c r="E6" s="1" t="s">
        <v>419</v>
      </c>
      <c r="F6" s="1" t="s">
        <v>21</v>
      </c>
      <c r="G6" s="2186">
        <v>2</v>
      </c>
      <c r="H6" s="2186">
        <f>VLOOKUP(G6,Pesos!A:B,2,0)</f>
        <v>0.8</v>
      </c>
      <c r="J6" s="1" t="s">
        <v>305</v>
      </c>
      <c r="K6" s="1">
        <v>8</v>
      </c>
      <c r="L6" s="2" t="s">
        <v>59</v>
      </c>
      <c r="M6" s="1">
        <v>4</v>
      </c>
      <c r="N6" s="1" t="s">
        <v>24</v>
      </c>
      <c r="O6" s="1">
        <v>4</v>
      </c>
      <c r="P6" s="13"/>
      <c r="S6" s="1">
        <v>1</v>
      </c>
      <c r="T6" s="5">
        <v>14950</v>
      </c>
      <c r="U6" s="24">
        <v>0.2</v>
      </c>
      <c r="V6" s="26">
        <f>T6*(1-U6)</f>
        <v>11960</v>
      </c>
      <c r="W6" s="25">
        <f t="shared" si="0"/>
        <v>47840</v>
      </c>
      <c r="X6" s="6"/>
      <c r="Y6" s="22"/>
      <c r="Z6" s="1"/>
    </row>
    <row r="7" spans="1:32" x14ac:dyDescent="0.3">
      <c r="A7" t="s">
        <v>327</v>
      </c>
      <c r="B7" t="s">
        <v>394</v>
      </c>
      <c r="C7" t="s">
        <v>417</v>
      </c>
      <c r="D7" t="s">
        <v>418</v>
      </c>
      <c r="E7" s="1" t="s">
        <v>419</v>
      </c>
      <c r="F7" s="1" t="s">
        <v>29</v>
      </c>
      <c r="G7" s="2186">
        <v>3</v>
      </c>
      <c r="H7" s="2186">
        <f>VLOOKUP(G7,Pesos!A:B,2,0)</f>
        <v>0.7</v>
      </c>
      <c r="I7" s="1" t="s">
        <v>305</v>
      </c>
      <c r="K7" s="1">
        <v>3</v>
      </c>
      <c r="L7" s="2" t="s">
        <v>354</v>
      </c>
      <c r="M7" s="1">
        <v>2</v>
      </c>
      <c r="N7" s="1" t="s">
        <v>24</v>
      </c>
      <c r="O7" s="1">
        <v>2</v>
      </c>
      <c r="P7" s="13"/>
      <c r="S7" s="1">
        <v>1</v>
      </c>
      <c r="T7" s="5">
        <v>39600</v>
      </c>
      <c r="U7" s="24">
        <v>0.2</v>
      </c>
      <c r="V7" s="26">
        <f t="shared" ref="V7:V17" si="2">T7*(1-U7)</f>
        <v>31680</v>
      </c>
      <c r="W7" s="25">
        <f t="shared" si="0"/>
        <v>63360</v>
      </c>
      <c r="X7" s="6"/>
      <c r="Y7" s="22"/>
      <c r="Z7" s="1"/>
    </row>
    <row r="8" spans="1:32" x14ac:dyDescent="0.3">
      <c r="A8" t="s">
        <v>327</v>
      </c>
      <c r="B8" t="s">
        <v>394</v>
      </c>
      <c r="C8" t="s">
        <v>417</v>
      </c>
      <c r="D8" t="s">
        <v>418</v>
      </c>
      <c r="E8" s="1" t="s">
        <v>420</v>
      </c>
      <c r="F8" s="1" t="s">
        <v>166</v>
      </c>
      <c r="G8" s="2186">
        <v>1</v>
      </c>
      <c r="H8" s="2186">
        <f>VLOOKUP(G8,Pesos!A:B,2,0)</f>
        <v>0.9</v>
      </c>
      <c r="I8" s="1" t="s">
        <v>305</v>
      </c>
      <c r="K8" s="1">
        <v>15</v>
      </c>
      <c r="L8" s="2" t="s">
        <v>185</v>
      </c>
      <c r="M8" s="1">
        <v>20</v>
      </c>
      <c r="N8" s="1" t="s">
        <v>63</v>
      </c>
      <c r="P8" s="13"/>
      <c r="Q8" s="1">
        <v>20</v>
      </c>
      <c r="S8" s="1">
        <v>1</v>
      </c>
      <c r="T8" s="5">
        <v>3750</v>
      </c>
      <c r="U8" s="24">
        <v>0.2</v>
      </c>
      <c r="V8" s="26">
        <f t="shared" si="2"/>
        <v>3000</v>
      </c>
      <c r="W8" s="25">
        <f t="shared" si="0"/>
        <v>60000</v>
      </c>
      <c r="X8" s="6"/>
      <c r="Y8" s="22"/>
      <c r="Z8" s="1"/>
    </row>
    <row r="9" spans="1:32" x14ac:dyDescent="0.3">
      <c r="A9" t="s">
        <v>327</v>
      </c>
      <c r="B9" t="s">
        <v>394</v>
      </c>
      <c r="C9" t="s">
        <v>417</v>
      </c>
      <c r="D9" t="s">
        <v>418</v>
      </c>
      <c r="E9" s="1" t="s">
        <v>421</v>
      </c>
      <c r="F9" s="1" t="s">
        <v>29</v>
      </c>
      <c r="G9" s="2186">
        <v>3</v>
      </c>
      <c r="H9" s="2186">
        <f>VLOOKUP(G9,Pesos!A:B,2,0)</f>
        <v>0.7</v>
      </c>
      <c r="I9" s="1" t="s">
        <v>305</v>
      </c>
      <c r="K9" s="1">
        <v>3</v>
      </c>
      <c r="L9" s="2" t="s">
        <v>354</v>
      </c>
      <c r="M9" s="1">
        <v>1</v>
      </c>
      <c r="N9" s="1" t="s">
        <v>24</v>
      </c>
      <c r="O9" s="1">
        <v>1</v>
      </c>
      <c r="P9" s="13"/>
      <c r="S9" s="1">
        <v>1</v>
      </c>
      <c r="T9" s="5">
        <v>94860</v>
      </c>
      <c r="U9" s="24">
        <v>0.2</v>
      </c>
      <c r="V9" s="26">
        <f t="shared" si="2"/>
        <v>75888</v>
      </c>
      <c r="W9" s="25">
        <f t="shared" si="0"/>
        <v>75888</v>
      </c>
      <c r="X9" s="6"/>
      <c r="Y9" s="22"/>
      <c r="Z9" s="1"/>
    </row>
    <row r="10" spans="1:32" x14ac:dyDescent="0.3">
      <c r="A10" t="s">
        <v>327</v>
      </c>
      <c r="B10" t="s">
        <v>394</v>
      </c>
      <c r="C10" t="s">
        <v>417</v>
      </c>
      <c r="D10" t="s">
        <v>418</v>
      </c>
      <c r="E10" s="1" t="s">
        <v>422</v>
      </c>
      <c r="F10" s="1" t="s">
        <v>21</v>
      </c>
      <c r="G10" s="2186">
        <v>2</v>
      </c>
      <c r="H10" s="2186">
        <f>VLOOKUP(G10,Pesos!A:B,2,0)</f>
        <v>0.8</v>
      </c>
      <c r="J10" s="1" t="s">
        <v>305</v>
      </c>
      <c r="K10" s="1">
        <v>8</v>
      </c>
      <c r="L10" s="2" t="s">
        <v>59</v>
      </c>
      <c r="M10" s="1">
        <v>3</v>
      </c>
      <c r="N10" s="1" t="s">
        <v>24</v>
      </c>
      <c r="O10" s="1">
        <v>3</v>
      </c>
      <c r="S10" s="1">
        <v>1</v>
      </c>
      <c r="T10" s="5">
        <v>5000</v>
      </c>
      <c r="U10" s="24">
        <v>0.35</v>
      </c>
      <c r="V10" s="26">
        <f t="shared" si="2"/>
        <v>3250</v>
      </c>
      <c r="W10" s="25">
        <f t="shared" si="0"/>
        <v>9750</v>
      </c>
      <c r="X10" s="6"/>
      <c r="Y10" s="22"/>
      <c r="Z10" s="1"/>
    </row>
    <row r="11" spans="1:32" x14ac:dyDescent="0.3">
      <c r="A11" t="s">
        <v>327</v>
      </c>
      <c r="B11" t="s">
        <v>394</v>
      </c>
      <c r="C11" t="s">
        <v>417</v>
      </c>
      <c r="D11" t="s">
        <v>418</v>
      </c>
      <c r="E11" s="1" t="s">
        <v>422</v>
      </c>
      <c r="F11" s="1" t="s">
        <v>29</v>
      </c>
      <c r="G11" s="2186">
        <v>3</v>
      </c>
      <c r="H11" s="2186">
        <f>VLOOKUP(G11,Pesos!A:B,2,0)</f>
        <v>0.7</v>
      </c>
      <c r="I11" s="1" t="s">
        <v>305</v>
      </c>
      <c r="K11" s="1">
        <v>3</v>
      </c>
      <c r="L11" s="2" t="s">
        <v>354</v>
      </c>
      <c r="M11" s="1">
        <v>2</v>
      </c>
      <c r="N11" s="1" t="s">
        <v>24</v>
      </c>
      <c r="O11" s="1">
        <v>2</v>
      </c>
      <c r="P11" s="13"/>
      <c r="S11" s="1">
        <v>1</v>
      </c>
      <c r="T11" s="5">
        <v>35988</v>
      </c>
      <c r="U11" s="24">
        <v>0.35</v>
      </c>
      <c r="V11" s="26">
        <f t="shared" si="2"/>
        <v>23392.2</v>
      </c>
      <c r="W11" s="25">
        <f t="shared" si="0"/>
        <v>46784.4</v>
      </c>
      <c r="X11" s="6"/>
      <c r="Y11" s="22"/>
      <c r="Z11" s="1"/>
    </row>
    <row r="12" spans="1:32" x14ac:dyDescent="0.3">
      <c r="A12" t="s">
        <v>327</v>
      </c>
      <c r="B12" t="s">
        <v>394</v>
      </c>
      <c r="C12" t="s">
        <v>417</v>
      </c>
      <c r="D12" t="s">
        <v>418</v>
      </c>
      <c r="E12" s="1" t="s">
        <v>422</v>
      </c>
      <c r="F12" s="1" t="s">
        <v>26</v>
      </c>
      <c r="G12" s="2186">
        <v>5</v>
      </c>
      <c r="H12" s="2186">
        <f>VLOOKUP(G12,Pesos!A:B,2,0)</f>
        <v>0.5</v>
      </c>
      <c r="I12" s="1" t="s">
        <v>305</v>
      </c>
      <c r="K12" s="1">
        <v>7</v>
      </c>
      <c r="L12" s="2" t="s">
        <v>170</v>
      </c>
      <c r="M12" s="1">
        <v>4</v>
      </c>
      <c r="N12" s="1" t="s">
        <v>24</v>
      </c>
      <c r="O12" s="1">
        <v>4</v>
      </c>
      <c r="S12" s="1">
        <v>1</v>
      </c>
      <c r="T12" s="5">
        <v>9696</v>
      </c>
      <c r="U12" s="24">
        <v>0.35</v>
      </c>
      <c r="V12" s="26">
        <f t="shared" si="2"/>
        <v>6302.4000000000005</v>
      </c>
      <c r="W12" s="25">
        <f t="shared" si="0"/>
        <v>25209.600000000002</v>
      </c>
      <c r="X12" s="6"/>
      <c r="Y12" s="22"/>
      <c r="Z12" s="1"/>
    </row>
    <row r="13" spans="1:32" x14ac:dyDescent="0.3">
      <c r="A13" t="s">
        <v>327</v>
      </c>
      <c r="B13" t="s">
        <v>394</v>
      </c>
      <c r="C13" t="s">
        <v>417</v>
      </c>
      <c r="D13" t="s">
        <v>418</v>
      </c>
      <c r="E13" s="1" t="s">
        <v>158</v>
      </c>
      <c r="F13" s="1" t="s">
        <v>423</v>
      </c>
      <c r="G13" s="2186">
        <v>4</v>
      </c>
      <c r="H13" s="2186">
        <f>VLOOKUP(G13,Pesos!A:B,2,0)</f>
        <v>0.6</v>
      </c>
      <c r="I13" s="1" t="s">
        <v>305</v>
      </c>
      <c r="K13" s="1">
        <v>10</v>
      </c>
      <c r="L13" s="2" t="s">
        <v>185</v>
      </c>
      <c r="M13" s="1">
        <v>13</v>
      </c>
      <c r="N13" s="1" t="s">
        <v>22</v>
      </c>
      <c r="O13" s="13">
        <v>13</v>
      </c>
      <c r="P13" s="1">
        <v>13</v>
      </c>
      <c r="S13" s="1">
        <v>2</v>
      </c>
      <c r="T13" s="5">
        <v>2200</v>
      </c>
      <c r="U13" s="24">
        <v>0.2</v>
      </c>
      <c r="V13" s="26">
        <f t="shared" si="2"/>
        <v>1760</v>
      </c>
      <c r="W13" s="25">
        <f t="shared" si="0"/>
        <v>45760</v>
      </c>
      <c r="X13" s="6"/>
      <c r="Y13" s="22"/>
      <c r="Z13" s="1"/>
    </row>
    <row r="14" spans="1:32" x14ac:dyDescent="0.3">
      <c r="G14" s="2186"/>
      <c r="H14" s="2186"/>
      <c r="L14" s="2"/>
      <c r="M14" s="1"/>
      <c r="T14" s="5"/>
      <c r="U14" s="24"/>
      <c r="V14" s="26"/>
      <c r="X14" s="6"/>
      <c r="Y14" s="22"/>
      <c r="Z14" s="1"/>
    </row>
    <row r="15" spans="1:32" x14ac:dyDescent="0.3">
      <c r="A15" t="s">
        <v>340</v>
      </c>
      <c r="B15" t="s">
        <v>394</v>
      </c>
      <c r="C15" t="s">
        <v>417</v>
      </c>
      <c r="D15" t="s">
        <v>418</v>
      </c>
      <c r="E15" s="1" t="s">
        <v>108</v>
      </c>
      <c r="F15" s="1" t="s">
        <v>21</v>
      </c>
      <c r="G15" s="2186">
        <v>1</v>
      </c>
      <c r="H15" s="2186">
        <f>VLOOKUP(G15,Pesos!A:B,2,0)</f>
        <v>0.9</v>
      </c>
      <c r="J15" s="1" t="s">
        <v>305</v>
      </c>
      <c r="K15" s="1">
        <v>8</v>
      </c>
      <c r="L15" s="2" t="s">
        <v>59</v>
      </c>
      <c r="M15" s="1">
        <v>1</v>
      </c>
      <c r="N15" s="1" t="s">
        <v>63</v>
      </c>
      <c r="P15">
        <v>1</v>
      </c>
      <c r="Q15" s="1">
        <v>1</v>
      </c>
      <c r="S15" s="1">
        <v>1</v>
      </c>
      <c r="T15" s="5">
        <v>7200</v>
      </c>
      <c r="U15" s="24">
        <v>0.35</v>
      </c>
      <c r="V15" s="26">
        <f t="shared" si="2"/>
        <v>4680</v>
      </c>
      <c r="W15" s="25">
        <f t="shared" si="0"/>
        <v>4680</v>
      </c>
      <c r="X15" s="6"/>
      <c r="Y15" s="22"/>
      <c r="Z15" s="1"/>
    </row>
    <row r="16" spans="1:32" x14ac:dyDescent="0.3">
      <c r="A16" t="s">
        <v>340</v>
      </c>
      <c r="B16" t="s">
        <v>394</v>
      </c>
      <c r="C16" t="s">
        <v>417</v>
      </c>
      <c r="D16" t="s">
        <v>418</v>
      </c>
      <c r="E16" s="1" t="s">
        <v>23</v>
      </c>
      <c r="F16" s="1" t="s">
        <v>21</v>
      </c>
      <c r="G16" s="2186">
        <v>1</v>
      </c>
      <c r="H16" s="2186">
        <f>VLOOKUP(G16,Pesos!A:B,2,0)</f>
        <v>0.9</v>
      </c>
      <c r="J16" s="1" t="s">
        <v>305</v>
      </c>
      <c r="K16" s="1">
        <v>8</v>
      </c>
      <c r="L16" s="2" t="s">
        <v>59</v>
      </c>
      <c r="M16" s="1">
        <v>1</v>
      </c>
      <c r="N16" s="1" t="s">
        <v>24</v>
      </c>
      <c r="O16" s="1">
        <v>1</v>
      </c>
      <c r="S16" s="1">
        <v>1</v>
      </c>
      <c r="T16" s="5">
        <v>27025</v>
      </c>
      <c r="U16" s="24">
        <v>0.3</v>
      </c>
      <c r="V16" s="26">
        <f t="shared" si="2"/>
        <v>18917.5</v>
      </c>
      <c r="W16" s="25">
        <f t="shared" si="0"/>
        <v>18917.5</v>
      </c>
      <c r="X16" s="6"/>
      <c r="Y16" s="22"/>
      <c r="Z16" s="1"/>
    </row>
    <row r="17" spans="1:30" x14ac:dyDescent="0.3">
      <c r="A17" t="s">
        <v>340</v>
      </c>
      <c r="B17" t="s">
        <v>394</v>
      </c>
      <c r="C17" t="s">
        <v>417</v>
      </c>
      <c r="D17" t="s">
        <v>418</v>
      </c>
      <c r="E17" s="1" t="s">
        <v>419</v>
      </c>
      <c r="F17" s="1" t="s">
        <v>166</v>
      </c>
      <c r="G17" s="2186">
        <v>2</v>
      </c>
      <c r="H17" s="2186">
        <f>VLOOKUP(G17,Pesos!A:B,2,0)</f>
        <v>0.8</v>
      </c>
      <c r="I17" s="1" t="s">
        <v>305</v>
      </c>
      <c r="K17" s="1">
        <v>15</v>
      </c>
      <c r="L17" s="2" t="s">
        <v>185</v>
      </c>
      <c r="M17" s="1">
        <v>25</v>
      </c>
      <c r="N17" s="1" t="s">
        <v>63</v>
      </c>
      <c r="O17" s="1">
        <v>25</v>
      </c>
      <c r="S17" s="1">
        <v>1</v>
      </c>
      <c r="T17" s="5">
        <v>3247</v>
      </c>
      <c r="U17" s="24">
        <v>0.2</v>
      </c>
      <c r="V17" s="26">
        <f t="shared" si="2"/>
        <v>2597.6000000000004</v>
      </c>
      <c r="W17" s="25">
        <f t="shared" si="0"/>
        <v>64940.000000000007</v>
      </c>
      <c r="X17" s="6"/>
      <c r="Y17" s="22"/>
      <c r="Z17" s="1"/>
    </row>
    <row r="18" spans="1:30" x14ac:dyDescent="0.3">
      <c r="A18" t="s">
        <v>340</v>
      </c>
      <c r="B18" t="s">
        <v>394</v>
      </c>
      <c r="C18" t="s">
        <v>417</v>
      </c>
      <c r="D18" t="s">
        <v>418</v>
      </c>
      <c r="E18" s="1" t="s">
        <v>419</v>
      </c>
      <c r="F18" s="1" t="s">
        <v>26</v>
      </c>
      <c r="G18" s="2186">
        <v>6</v>
      </c>
      <c r="H18" s="2186">
        <f>VLOOKUP(G18,Pesos!A:B,2,0)</f>
        <v>0.4</v>
      </c>
      <c r="I18" s="1" t="s">
        <v>305</v>
      </c>
      <c r="K18" s="1">
        <v>7</v>
      </c>
      <c r="L18" s="2" t="s">
        <v>170</v>
      </c>
      <c r="M18" s="1">
        <v>3</v>
      </c>
      <c r="N18" s="1" t="s">
        <v>24</v>
      </c>
      <c r="O18" s="1">
        <v>3</v>
      </c>
      <c r="S18" s="1">
        <v>1</v>
      </c>
      <c r="T18" s="5">
        <v>13000</v>
      </c>
      <c r="U18" s="24">
        <v>0.2</v>
      </c>
      <c r="V18" s="25">
        <f>T18*(1-U18)</f>
        <v>10400</v>
      </c>
      <c r="W18" s="25">
        <f t="shared" si="0"/>
        <v>31200</v>
      </c>
      <c r="X18" s="18"/>
    </row>
    <row r="19" spans="1:30" x14ac:dyDescent="0.3">
      <c r="A19" t="s">
        <v>340</v>
      </c>
      <c r="B19" t="s">
        <v>394</v>
      </c>
      <c r="C19" t="s">
        <v>417</v>
      </c>
      <c r="D19" t="s">
        <v>418</v>
      </c>
      <c r="E19" s="1" t="s">
        <v>419</v>
      </c>
      <c r="F19" s="1" t="s">
        <v>21</v>
      </c>
      <c r="G19" s="2186">
        <v>1</v>
      </c>
      <c r="H19" s="2186">
        <f>VLOOKUP(G19,Pesos!A:B,2,0)</f>
        <v>0.9</v>
      </c>
      <c r="I19" s="1"/>
      <c r="J19" s="16" t="s">
        <v>305</v>
      </c>
      <c r="K19" s="79">
        <v>8</v>
      </c>
      <c r="L19" s="2" t="s">
        <v>59</v>
      </c>
      <c r="M19" s="1">
        <v>3</v>
      </c>
      <c r="N19" s="1" t="s">
        <v>24</v>
      </c>
      <c r="O19" s="13">
        <v>3</v>
      </c>
      <c r="P19" s="13"/>
      <c r="Q19" s="1"/>
      <c r="R19" s="1"/>
      <c r="S19" s="1">
        <v>1</v>
      </c>
      <c r="T19" s="5">
        <v>14950</v>
      </c>
      <c r="U19" s="24">
        <v>0.2</v>
      </c>
      <c r="V19" s="25">
        <f>T19*(1-U19)</f>
        <v>11960</v>
      </c>
      <c r="W19" s="25">
        <f t="shared" si="0"/>
        <v>35880</v>
      </c>
      <c r="X19" s="6"/>
      <c r="AB19" s="1"/>
      <c r="AD19" s="1"/>
    </row>
    <row r="20" spans="1:30" x14ac:dyDescent="0.3">
      <c r="A20" t="s">
        <v>340</v>
      </c>
      <c r="B20" t="s">
        <v>394</v>
      </c>
      <c r="C20" t="s">
        <v>417</v>
      </c>
      <c r="D20" t="s">
        <v>418</v>
      </c>
      <c r="E20" s="1" t="s">
        <v>420</v>
      </c>
      <c r="F20" s="1" t="s">
        <v>166</v>
      </c>
      <c r="G20" s="2186">
        <v>2</v>
      </c>
      <c r="H20" s="2186">
        <f>VLOOKUP(G20,Pesos!A:B,2,0)</f>
        <v>0.8</v>
      </c>
      <c r="I20" s="1" t="s">
        <v>305</v>
      </c>
      <c r="K20" s="79">
        <v>15</v>
      </c>
      <c r="L20" s="2" t="s">
        <v>185</v>
      </c>
      <c r="M20" s="1">
        <v>25</v>
      </c>
      <c r="N20" s="1" t="s">
        <v>63</v>
      </c>
      <c r="O20" s="79"/>
      <c r="P20" s="79"/>
      <c r="Q20" s="79">
        <v>25</v>
      </c>
      <c r="R20" s="79"/>
      <c r="S20" s="1">
        <v>1</v>
      </c>
      <c r="T20" s="5">
        <v>3750</v>
      </c>
      <c r="U20" s="24">
        <v>0.2</v>
      </c>
      <c r="V20" s="26">
        <f t="shared" ref="V20:V60" si="3">T20*(1-U20)</f>
        <v>3000</v>
      </c>
      <c r="W20" s="25">
        <f t="shared" si="0"/>
        <v>75000</v>
      </c>
      <c r="X20" s="6"/>
      <c r="AB20" s="1"/>
      <c r="AD20" s="1"/>
    </row>
    <row r="21" spans="1:30" x14ac:dyDescent="0.3">
      <c r="A21" t="s">
        <v>340</v>
      </c>
      <c r="B21" t="s">
        <v>394</v>
      </c>
      <c r="C21" t="s">
        <v>417</v>
      </c>
      <c r="D21" t="s">
        <v>418</v>
      </c>
      <c r="E21" s="1" t="s">
        <v>422</v>
      </c>
      <c r="F21" s="1" t="s">
        <v>21</v>
      </c>
      <c r="G21" s="2186">
        <v>1</v>
      </c>
      <c r="H21" s="2186">
        <f>VLOOKUP(G21,Pesos!A:B,2,0)</f>
        <v>0.9</v>
      </c>
      <c r="I21" s="1"/>
      <c r="J21" s="16" t="s">
        <v>305</v>
      </c>
      <c r="K21" s="79">
        <v>8</v>
      </c>
      <c r="L21" s="2" t="s">
        <v>59</v>
      </c>
      <c r="M21" s="1">
        <v>3</v>
      </c>
      <c r="N21" s="1" t="s">
        <v>24</v>
      </c>
      <c r="O21" s="79">
        <v>3</v>
      </c>
      <c r="P21" s="79"/>
      <c r="Q21" s="79"/>
      <c r="R21" s="80"/>
      <c r="S21" s="1">
        <v>1</v>
      </c>
      <c r="T21" s="5">
        <v>5000</v>
      </c>
      <c r="U21" s="24">
        <v>0.35</v>
      </c>
      <c r="V21" s="26">
        <f t="shared" si="3"/>
        <v>3250</v>
      </c>
      <c r="W21" s="25">
        <f t="shared" si="0"/>
        <v>9750</v>
      </c>
      <c r="X21" s="6"/>
      <c r="AB21" s="1"/>
      <c r="AD21" s="1"/>
    </row>
    <row r="22" spans="1:30" x14ac:dyDescent="0.3">
      <c r="A22" t="s">
        <v>340</v>
      </c>
      <c r="B22" t="s">
        <v>394</v>
      </c>
      <c r="C22" t="s">
        <v>417</v>
      </c>
      <c r="D22" t="s">
        <v>418</v>
      </c>
      <c r="E22" s="1" t="s">
        <v>130</v>
      </c>
      <c r="F22" s="1" t="s">
        <v>148</v>
      </c>
      <c r="G22" s="2186">
        <v>5</v>
      </c>
      <c r="H22" s="2186">
        <f>VLOOKUP(G22,Pesos!A:B,2,0)</f>
        <v>0.5</v>
      </c>
      <c r="I22" s="1" t="s">
        <v>305</v>
      </c>
      <c r="K22" s="79">
        <v>10</v>
      </c>
      <c r="L22" s="2" t="s">
        <v>83</v>
      </c>
      <c r="M22" s="1">
        <v>22</v>
      </c>
      <c r="N22" s="1" t="s">
        <v>24</v>
      </c>
      <c r="O22" s="79">
        <v>22</v>
      </c>
      <c r="P22" s="79"/>
      <c r="Q22" s="79"/>
      <c r="R22" s="81"/>
      <c r="S22" s="1">
        <v>1</v>
      </c>
      <c r="T22" s="5">
        <v>12873</v>
      </c>
      <c r="U22" s="24">
        <v>0.82</v>
      </c>
      <c r="V22" s="26">
        <f t="shared" si="3"/>
        <v>2317.1400000000008</v>
      </c>
      <c r="W22" s="25">
        <f t="shared" si="0"/>
        <v>50977.080000000016</v>
      </c>
      <c r="X22" s="6"/>
      <c r="AB22" s="1"/>
      <c r="AD22" s="1"/>
    </row>
    <row r="23" spans="1:30" x14ac:dyDescent="0.3">
      <c r="A23" t="s">
        <v>340</v>
      </c>
      <c r="B23" t="s">
        <v>394</v>
      </c>
      <c r="C23" t="s">
        <v>417</v>
      </c>
      <c r="D23" t="s">
        <v>418</v>
      </c>
      <c r="E23" s="1" t="s">
        <v>422</v>
      </c>
      <c r="F23" s="1" t="s">
        <v>26</v>
      </c>
      <c r="G23" s="2186">
        <v>6</v>
      </c>
      <c r="H23" s="2186">
        <f>VLOOKUP(G23,Pesos!A:B,2,0)</f>
        <v>0.4</v>
      </c>
      <c r="I23" s="1" t="s">
        <v>305</v>
      </c>
      <c r="K23" s="79">
        <v>7</v>
      </c>
      <c r="L23" s="2" t="s">
        <v>170</v>
      </c>
      <c r="M23" s="1">
        <v>4</v>
      </c>
      <c r="N23" s="1" t="s">
        <v>24</v>
      </c>
      <c r="O23" s="79">
        <v>4</v>
      </c>
      <c r="P23" s="79"/>
      <c r="Q23" s="79"/>
      <c r="R23" s="81"/>
      <c r="S23" s="1">
        <v>1</v>
      </c>
      <c r="T23" s="5">
        <v>9696</v>
      </c>
      <c r="U23" s="24">
        <v>0.35</v>
      </c>
      <c r="V23" s="26">
        <f t="shared" si="3"/>
        <v>6302.4000000000005</v>
      </c>
      <c r="W23" s="25">
        <f t="shared" si="0"/>
        <v>25209.600000000002</v>
      </c>
      <c r="X23" s="6"/>
      <c r="AB23" s="1"/>
      <c r="AD23" s="1"/>
    </row>
    <row r="24" spans="1:30" x14ac:dyDescent="0.3">
      <c r="A24" t="s">
        <v>340</v>
      </c>
      <c r="B24" t="s">
        <v>394</v>
      </c>
      <c r="C24" t="s">
        <v>417</v>
      </c>
      <c r="D24" t="s">
        <v>418</v>
      </c>
      <c r="E24" s="1" t="s">
        <v>158</v>
      </c>
      <c r="F24" s="1" t="s">
        <v>402</v>
      </c>
      <c r="G24" s="2186">
        <v>4</v>
      </c>
      <c r="H24" s="2186">
        <f>VLOOKUP(G24,Pesos!A:B,2,0)</f>
        <v>0.6</v>
      </c>
      <c r="I24" s="1" t="s">
        <v>305</v>
      </c>
      <c r="K24" s="79">
        <v>10</v>
      </c>
      <c r="L24" s="2" t="s">
        <v>185</v>
      </c>
      <c r="M24" s="1">
        <v>24</v>
      </c>
      <c r="N24" s="1" t="s">
        <v>22</v>
      </c>
      <c r="O24" s="79">
        <v>24</v>
      </c>
      <c r="P24" s="79">
        <v>24</v>
      </c>
      <c r="Q24" s="79"/>
      <c r="R24" s="80"/>
      <c r="S24" s="1">
        <v>2</v>
      </c>
      <c r="T24" s="5">
        <v>2200</v>
      </c>
      <c r="U24" s="24">
        <v>0.2</v>
      </c>
      <c r="V24" s="26">
        <f t="shared" si="3"/>
        <v>1760</v>
      </c>
      <c r="W24" s="25">
        <f t="shared" si="0"/>
        <v>84480</v>
      </c>
      <c r="X24" s="6"/>
      <c r="AB24" s="1"/>
      <c r="AD24" s="1"/>
    </row>
    <row r="25" spans="1:30" x14ac:dyDescent="0.3">
      <c r="A25" t="s">
        <v>340</v>
      </c>
      <c r="B25" t="s">
        <v>394</v>
      </c>
      <c r="C25" t="s">
        <v>417</v>
      </c>
      <c r="D25" t="s">
        <v>418</v>
      </c>
      <c r="E25" s="1" t="s">
        <v>179</v>
      </c>
      <c r="F25" s="1" t="s">
        <v>180</v>
      </c>
      <c r="G25" s="2186">
        <v>3</v>
      </c>
      <c r="H25" s="2186">
        <f>VLOOKUP(G25,Pesos!A:B,2,0)</f>
        <v>0.7</v>
      </c>
      <c r="I25" s="1" t="s">
        <v>305</v>
      </c>
      <c r="K25" s="79">
        <v>10</v>
      </c>
      <c r="L25" s="2" t="s">
        <v>83</v>
      </c>
      <c r="M25" s="1">
        <v>14</v>
      </c>
      <c r="N25" s="1" t="s">
        <v>24</v>
      </c>
      <c r="O25" s="79">
        <v>14</v>
      </c>
      <c r="P25" s="79"/>
      <c r="Q25" s="79"/>
      <c r="R25" s="80"/>
      <c r="S25" s="1">
        <v>1</v>
      </c>
      <c r="T25" s="5">
        <v>9388</v>
      </c>
      <c r="U25" s="24">
        <v>0.4</v>
      </c>
      <c r="V25" s="26">
        <f t="shared" si="3"/>
        <v>5632.8</v>
      </c>
      <c r="W25" s="25">
        <f t="shared" si="0"/>
        <v>78859.199999999997</v>
      </c>
      <c r="X25" s="6"/>
      <c r="AB25" s="1"/>
      <c r="AD25" s="1"/>
    </row>
    <row r="26" spans="1:30" x14ac:dyDescent="0.3">
      <c r="E26" s="1"/>
      <c r="F26" s="1"/>
      <c r="G26" s="2186"/>
      <c r="H26" s="2186"/>
      <c r="I26" s="1"/>
      <c r="K26" s="79"/>
      <c r="L26" s="2"/>
      <c r="M26" s="1"/>
      <c r="N26" s="1"/>
      <c r="O26" s="1"/>
      <c r="P26" s="1"/>
      <c r="Q26" s="1"/>
      <c r="R26" s="1"/>
      <c r="S26" s="1"/>
      <c r="T26" s="5"/>
      <c r="U26" s="24"/>
      <c r="V26" s="26"/>
      <c r="W26" s="25"/>
      <c r="AB26" s="1"/>
      <c r="AD26" s="1"/>
    </row>
    <row r="27" spans="1:30" x14ac:dyDescent="0.3">
      <c r="A27" t="s">
        <v>342</v>
      </c>
      <c r="B27" t="s">
        <v>394</v>
      </c>
      <c r="C27" t="s">
        <v>417</v>
      </c>
      <c r="D27" t="s">
        <v>418</v>
      </c>
      <c r="E27" s="1" t="s">
        <v>108</v>
      </c>
      <c r="F27" s="1" t="s">
        <v>21</v>
      </c>
      <c r="G27" s="2186">
        <v>2</v>
      </c>
      <c r="H27" s="2186">
        <f>VLOOKUP(G27,Pesos!A:B,2,0)</f>
        <v>0.8</v>
      </c>
      <c r="I27" s="1"/>
      <c r="J27" s="16" t="s">
        <v>305</v>
      </c>
      <c r="K27" s="79">
        <v>5</v>
      </c>
      <c r="L27" s="2" t="s">
        <v>351</v>
      </c>
      <c r="M27" s="1">
        <v>1</v>
      </c>
      <c r="N27" s="1" t="s">
        <v>63</v>
      </c>
      <c r="O27" s="1"/>
      <c r="P27" s="1">
        <v>1</v>
      </c>
      <c r="Q27" s="1"/>
      <c r="R27" s="1"/>
      <c r="S27" s="1">
        <v>1</v>
      </c>
      <c r="T27" s="5">
        <v>7200</v>
      </c>
      <c r="U27" s="24">
        <v>0.35</v>
      </c>
      <c r="V27" s="26">
        <f t="shared" si="3"/>
        <v>4680</v>
      </c>
      <c r="W27" s="25">
        <f t="shared" si="0"/>
        <v>4680</v>
      </c>
      <c r="AB27" s="1"/>
      <c r="AD27" s="1"/>
    </row>
    <row r="28" spans="1:30" x14ac:dyDescent="0.3">
      <c r="A28" t="s">
        <v>342</v>
      </c>
      <c r="B28" t="s">
        <v>394</v>
      </c>
      <c r="C28" t="s">
        <v>417</v>
      </c>
      <c r="D28" t="s">
        <v>418</v>
      </c>
      <c r="E28" s="1" t="s">
        <v>419</v>
      </c>
      <c r="F28" s="1" t="s">
        <v>166</v>
      </c>
      <c r="G28" s="2186">
        <v>1</v>
      </c>
      <c r="H28" s="2186">
        <f>VLOOKUP(G28,Pesos!A:B,2,0)</f>
        <v>0.9</v>
      </c>
      <c r="I28" s="1" t="s">
        <v>305</v>
      </c>
      <c r="K28" s="79">
        <v>10</v>
      </c>
      <c r="L28" s="2" t="s">
        <v>51</v>
      </c>
      <c r="M28" s="1">
        <v>18</v>
      </c>
      <c r="N28" s="1" t="s">
        <v>63</v>
      </c>
      <c r="O28" s="1">
        <v>18</v>
      </c>
      <c r="P28" s="1"/>
      <c r="Q28" s="1"/>
      <c r="R28" s="1"/>
      <c r="S28" s="1">
        <v>1</v>
      </c>
      <c r="T28" s="5">
        <v>3247</v>
      </c>
      <c r="U28" s="24">
        <v>0.2</v>
      </c>
      <c r="V28" s="26">
        <f t="shared" si="3"/>
        <v>2597.6000000000004</v>
      </c>
      <c r="W28" s="25">
        <f t="shared" si="0"/>
        <v>46756.800000000003</v>
      </c>
      <c r="AB28" s="1"/>
      <c r="AD28" s="1"/>
    </row>
    <row r="29" spans="1:30" x14ac:dyDescent="0.3">
      <c r="A29" t="s">
        <v>342</v>
      </c>
      <c r="B29" t="s">
        <v>394</v>
      </c>
      <c r="C29" t="s">
        <v>417</v>
      </c>
      <c r="D29" t="s">
        <v>418</v>
      </c>
      <c r="E29" s="1" t="s">
        <v>419</v>
      </c>
      <c r="F29" s="1" t="s">
        <v>26</v>
      </c>
      <c r="G29" s="2186">
        <v>5</v>
      </c>
      <c r="H29" s="2186">
        <f>VLOOKUP(G29,Pesos!A:B,2,0)</f>
        <v>0.5</v>
      </c>
      <c r="I29" s="1" t="s">
        <v>305</v>
      </c>
      <c r="K29" s="79">
        <v>4</v>
      </c>
      <c r="L29" s="2" t="s">
        <v>203</v>
      </c>
      <c r="M29" s="1">
        <v>2</v>
      </c>
      <c r="N29" s="1" t="s">
        <v>24</v>
      </c>
      <c r="O29" s="1">
        <v>2</v>
      </c>
      <c r="P29" s="1"/>
      <c r="Q29" s="1"/>
      <c r="R29" s="1"/>
      <c r="S29" s="1">
        <v>1</v>
      </c>
      <c r="T29" s="5">
        <v>13000</v>
      </c>
      <c r="U29" s="24">
        <v>0.2</v>
      </c>
      <c r="V29" s="26">
        <f t="shared" si="3"/>
        <v>10400</v>
      </c>
      <c r="W29" s="25">
        <f t="shared" si="0"/>
        <v>20800</v>
      </c>
      <c r="AB29" s="1"/>
      <c r="AD29" s="1"/>
    </row>
    <row r="30" spans="1:30" x14ac:dyDescent="0.3">
      <c r="A30" t="s">
        <v>342</v>
      </c>
      <c r="B30" t="s">
        <v>394</v>
      </c>
      <c r="C30" t="s">
        <v>417</v>
      </c>
      <c r="D30" t="s">
        <v>418</v>
      </c>
      <c r="E30" s="1" t="s">
        <v>419</v>
      </c>
      <c r="F30" s="1" t="s">
        <v>21</v>
      </c>
      <c r="G30" s="2186">
        <v>2</v>
      </c>
      <c r="H30" s="2186">
        <f>VLOOKUP(G30,Pesos!A:B,2,0)</f>
        <v>0.8</v>
      </c>
      <c r="I30" s="1"/>
      <c r="J30" s="16" t="s">
        <v>305</v>
      </c>
      <c r="K30" s="79">
        <v>5</v>
      </c>
      <c r="L30" s="2" t="s">
        <v>351</v>
      </c>
      <c r="M30" s="1">
        <v>2</v>
      </c>
      <c r="N30" s="1" t="s">
        <v>24</v>
      </c>
      <c r="O30" s="1">
        <v>2</v>
      </c>
      <c r="P30" s="1"/>
      <c r="Q30" s="1"/>
      <c r="R30" s="1"/>
      <c r="S30" s="1">
        <v>1</v>
      </c>
      <c r="T30" s="5">
        <v>14950</v>
      </c>
      <c r="U30" s="24">
        <v>0.2</v>
      </c>
      <c r="V30" s="26">
        <f t="shared" si="3"/>
        <v>11960</v>
      </c>
      <c r="W30" s="25">
        <f t="shared" si="0"/>
        <v>23920</v>
      </c>
      <c r="AB30" s="1"/>
      <c r="AD30" s="1"/>
    </row>
    <row r="31" spans="1:30" x14ac:dyDescent="0.3">
      <c r="A31" t="s">
        <v>342</v>
      </c>
      <c r="B31" t="s">
        <v>394</v>
      </c>
      <c r="C31" t="s">
        <v>417</v>
      </c>
      <c r="D31" t="s">
        <v>418</v>
      </c>
      <c r="E31" s="1" t="s">
        <v>419</v>
      </c>
      <c r="F31" s="1" t="s">
        <v>29</v>
      </c>
      <c r="G31" s="2186">
        <v>4</v>
      </c>
      <c r="H31" s="2186">
        <f>VLOOKUP(G31,Pesos!A:B,2,0)</f>
        <v>0.6</v>
      </c>
      <c r="I31" s="1" t="s">
        <v>305</v>
      </c>
      <c r="K31" s="79">
        <v>1</v>
      </c>
      <c r="L31" s="2" t="s">
        <v>333</v>
      </c>
      <c r="M31" s="1">
        <v>1</v>
      </c>
      <c r="N31" s="1" t="s">
        <v>24</v>
      </c>
      <c r="O31" s="1">
        <v>1</v>
      </c>
      <c r="P31" s="1"/>
      <c r="Q31" s="1"/>
      <c r="R31" s="1"/>
      <c r="S31" s="1">
        <v>1</v>
      </c>
      <c r="T31" s="5">
        <v>39600</v>
      </c>
      <c r="U31" s="24">
        <v>0.2</v>
      </c>
      <c r="V31" s="26">
        <f t="shared" si="3"/>
        <v>31680</v>
      </c>
      <c r="W31" s="25">
        <f t="shared" si="0"/>
        <v>31680</v>
      </c>
      <c r="AB31" s="1"/>
      <c r="AD31" s="1"/>
    </row>
    <row r="32" spans="1:30" x14ac:dyDescent="0.3">
      <c r="A32" t="s">
        <v>342</v>
      </c>
      <c r="B32" t="s">
        <v>394</v>
      </c>
      <c r="C32" t="s">
        <v>417</v>
      </c>
      <c r="D32" t="s">
        <v>418</v>
      </c>
      <c r="E32" s="1" t="s">
        <v>420</v>
      </c>
      <c r="F32" s="1" t="s">
        <v>166</v>
      </c>
      <c r="G32" s="2186">
        <v>1</v>
      </c>
      <c r="H32" s="2186">
        <f>VLOOKUP(G32,Pesos!A:B,2,0)</f>
        <v>0.9</v>
      </c>
      <c r="I32" s="1" t="s">
        <v>305</v>
      </c>
      <c r="K32" s="79">
        <v>10</v>
      </c>
      <c r="L32" s="2" t="s">
        <v>51</v>
      </c>
      <c r="M32" s="1">
        <v>18</v>
      </c>
      <c r="N32" s="1" t="s">
        <v>63</v>
      </c>
      <c r="O32" s="1"/>
      <c r="P32" s="1"/>
      <c r="Q32" s="1">
        <v>18</v>
      </c>
      <c r="R32" s="1"/>
      <c r="S32" s="1">
        <v>1</v>
      </c>
      <c r="T32" s="5">
        <v>3750</v>
      </c>
      <c r="U32" s="24">
        <v>0.2</v>
      </c>
      <c r="V32" s="26">
        <f t="shared" si="3"/>
        <v>3000</v>
      </c>
      <c r="W32" s="25">
        <f t="shared" si="0"/>
        <v>54000</v>
      </c>
      <c r="AB32" s="1"/>
      <c r="AD32" s="1"/>
    </row>
    <row r="33" spans="1:30" x14ac:dyDescent="0.3">
      <c r="A33" t="s">
        <v>342</v>
      </c>
      <c r="B33" t="s">
        <v>394</v>
      </c>
      <c r="C33" t="s">
        <v>417</v>
      </c>
      <c r="D33" t="s">
        <v>418</v>
      </c>
      <c r="E33" s="1" t="s">
        <v>421</v>
      </c>
      <c r="F33" s="1" t="s">
        <v>29</v>
      </c>
      <c r="G33" s="2186">
        <v>4</v>
      </c>
      <c r="H33" s="2186">
        <f>VLOOKUP(G33,Pesos!A:B,2,0)</f>
        <v>0.6</v>
      </c>
      <c r="I33" s="1" t="s">
        <v>305</v>
      </c>
      <c r="K33" s="79">
        <v>1</v>
      </c>
      <c r="L33" s="2" t="s">
        <v>333</v>
      </c>
      <c r="M33" s="1">
        <v>1</v>
      </c>
      <c r="N33" s="1" t="s">
        <v>24</v>
      </c>
      <c r="O33" s="1">
        <v>1</v>
      </c>
      <c r="P33" s="1"/>
      <c r="Q33" s="1"/>
      <c r="R33" s="1"/>
      <c r="S33" s="1">
        <v>1</v>
      </c>
      <c r="T33" s="5">
        <v>94860</v>
      </c>
      <c r="U33" s="24">
        <v>0.2</v>
      </c>
      <c r="V33" s="26">
        <f t="shared" si="3"/>
        <v>75888</v>
      </c>
      <c r="W33" s="25">
        <f t="shared" si="0"/>
        <v>75888</v>
      </c>
      <c r="AB33" s="1"/>
      <c r="AD33" s="1"/>
    </row>
    <row r="34" spans="1:30" x14ac:dyDescent="0.3">
      <c r="A34" t="s">
        <v>342</v>
      </c>
      <c r="B34" t="s">
        <v>394</v>
      </c>
      <c r="C34" t="s">
        <v>417</v>
      </c>
      <c r="D34" t="s">
        <v>418</v>
      </c>
      <c r="E34" s="1" t="s">
        <v>422</v>
      </c>
      <c r="F34" s="1" t="s">
        <v>21</v>
      </c>
      <c r="G34" s="2186">
        <v>2</v>
      </c>
      <c r="H34" s="2186">
        <f>VLOOKUP(G34,Pesos!A:B,2,0)</f>
        <v>0.8</v>
      </c>
      <c r="I34" s="1"/>
      <c r="J34" s="16" t="s">
        <v>305</v>
      </c>
      <c r="K34" s="79">
        <v>5</v>
      </c>
      <c r="L34" s="2" t="s">
        <v>351</v>
      </c>
      <c r="M34" s="1">
        <v>3</v>
      </c>
      <c r="N34" s="1" t="s">
        <v>24</v>
      </c>
      <c r="O34" s="1">
        <v>3</v>
      </c>
      <c r="P34" s="1"/>
      <c r="Q34" s="1"/>
      <c r="R34" s="1"/>
      <c r="S34" s="1">
        <v>1</v>
      </c>
      <c r="T34" s="5">
        <v>5000</v>
      </c>
      <c r="U34" s="24">
        <v>0.35</v>
      </c>
      <c r="V34" s="26">
        <f t="shared" si="3"/>
        <v>3250</v>
      </c>
      <c r="W34" s="25">
        <f t="shared" si="0"/>
        <v>9750</v>
      </c>
      <c r="AB34" s="1"/>
      <c r="AD34" s="1"/>
    </row>
    <row r="35" spans="1:30" x14ac:dyDescent="0.3">
      <c r="A35" t="s">
        <v>343</v>
      </c>
      <c r="B35" t="s">
        <v>394</v>
      </c>
      <c r="C35" t="s">
        <v>417</v>
      </c>
      <c r="D35" t="s">
        <v>418</v>
      </c>
      <c r="E35" s="1" t="s">
        <v>422</v>
      </c>
      <c r="F35" s="1" t="s">
        <v>29</v>
      </c>
      <c r="G35" s="2186">
        <v>4</v>
      </c>
      <c r="H35" s="2186">
        <f>VLOOKUP(G35,Pesos!A:B,2,0)</f>
        <v>0.6</v>
      </c>
      <c r="I35" s="1" t="s">
        <v>305</v>
      </c>
      <c r="K35" s="79">
        <v>1</v>
      </c>
      <c r="L35" s="2" t="s">
        <v>333</v>
      </c>
      <c r="M35" s="1">
        <v>1</v>
      </c>
      <c r="N35" s="1" t="s">
        <v>24</v>
      </c>
      <c r="O35" s="1">
        <v>1</v>
      </c>
      <c r="P35" s="1"/>
      <c r="Q35" s="1"/>
      <c r="R35" s="1"/>
      <c r="S35" s="1">
        <v>1</v>
      </c>
      <c r="T35" s="5">
        <v>35988</v>
      </c>
      <c r="U35" s="24">
        <v>0.35</v>
      </c>
      <c r="V35" s="26">
        <f t="shared" si="3"/>
        <v>23392.2</v>
      </c>
      <c r="W35" s="25">
        <f t="shared" si="0"/>
        <v>23392.2</v>
      </c>
      <c r="AB35" s="1"/>
      <c r="AD35" s="1"/>
    </row>
    <row r="36" spans="1:30" x14ac:dyDescent="0.3">
      <c r="A36" t="s">
        <v>343</v>
      </c>
      <c r="B36" t="s">
        <v>394</v>
      </c>
      <c r="C36" t="s">
        <v>417</v>
      </c>
      <c r="D36" t="s">
        <v>418</v>
      </c>
      <c r="E36" s="1" t="s">
        <v>422</v>
      </c>
      <c r="F36" s="1" t="s">
        <v>26</v>
      </c>
      <c r="G36" s="2186">
        <v>5</v>
      </c>
      <c r="H36" s="2186">
        <f>VLOOKUP(G36,Pesos!A:B,2,0)</f>
        <v>0.5</v>
      </c>
      <c r="I36" s="1" t="s">
        <v>305</v>
      </c>
      <c r="K36" s="79">
        <v>4</v>
      </c>
      <c r="L36" s="2" t="s">
        <v>203</v>
      </c>
      <c r="M36" s="1">
        <v>2</v>
      </c>
      <c r="N36" s="1" t="s">
        <v>24</v>
      </c>
      <c r="O36" s="1">
        <v>2</v>
      </c>
      <c r="P36" s="1"/>
      <c r="Q36" s="1"/>
      <c r="R36" s="1"/>
      <c r="S36" s="1">
        <v>1</v>
      </c>
      <c r="T36" s="5">
        <v>9696</v>
      </c>
      <c r="U36" s="24">
        <v>0.35</v>
      </c>
      <c r="V36" s="26">
        <f t="shared" si="3"/>
        <v>6302.4000000000005</v>
      </c>
      <c r="W36" s="25">
        <f t="shared" si="0"/>
        <v>12604.800000000001</v>
      </c>
      <c r="AB36" s="1"/>
      <c r="AD36" s="1"/>
    </row>
    <row r="37" spans="1:30" x14ac:dyDescent="0.3">
      <c r="A37" t="s">
        <v>343</v>
      </c>
      <c r="B37" t="s">
        <v>394</v>
      </c>
      <c r="C37" t="s">
        <v>417</v>
      </c>
      <c r="D37" t="s">
        <v>418</v>
      </c>
      <c r="E37" s="1" t="s">
        <v>158</v>
      </c>
      <c r="F37" s="1" t="s">
        <v>424</v>
      </c>
      <c r="G37" s="2186">
        <v>3</v>
      </c>
      <c r="H37" s="2186">
        <f>VLOOKUP(G37,Pesos!A:B,2,0)</f>
        <v>0.7</v>
      </c>
      <c r="I37" s="1" t="s">
        <v>305</v>
      </c>
      <c r="K37" s="79">
        <v>8</v>
      </c>
      <c r="L37" s="2" t="s">
        <v>51</v>
      </c>
      <c r="M37" s="1">
        <v>12</v>
      </c>
      <c r="N37" s="1" t="s">
        <v>22</v>
      </c>
      <c r="O37" s="2" t="s">
        <v>331</v>
      </c>
      <c r="P37" s="1">
        <v>12</v>
      </c>
      <c r="Q37" s="1"/>
      <c r="R37" s="1"/>
      <c r="S37" s="1">
        <v>2</v>
      </c>
      <c r="T37" s="5">
        <v>2200</v>
      </c>
      <c r="U37" s="24">
        <v>0.2</v>
      </c>
      <c r="V37" s="26">
        <f t="shared" si="3"/>
        <v>1760</v>
      </c>
      <c r="W37" s="25">
        <f t="shared" si="0"/>
        <v>42240</v>
      </c>
      <c r="AB37" s="1"/>
      <c r="AD37" s="1"/>
    </row>
    <row r="38" spans="1:30" x14ac:dyDescent="0.3">
      <c r="E38" s="1"/>
      <c r="F38" s="1"/>
      <c r="G38" s="2186"/>
      <c r="H38" s="2186"/>
      <c r="I38" s="1"/>
      <c r="K38" s="79"/>
      <c r="L38" s="2"/>
      <c r="M38" s="1"/>
      <c r="N38" s="1"/>
      <c r="O38" s="2"/>
      <c r="P38" s="1"/>
      <c r="Q38" s="1"/>
      <c r="R38" s="1"/>
      <c r="S38" s="1"/>
      <c r="T38" s="5"/>
      <c r="U38" s="24"/>
      <c r="V38" s="26"/>
      <c r="W38" s="25"/>
      <c r="AB38" s="1"/>
      <c r="AD38" s="1"/>
    </row>
    <row r="39" spans="1:30" x14ac:dyDescent="0.3">
      <c r="A39" t="s">
        <v>343</v>
      </c>
      <c r="B39" t="s">
        <v>394</v>
      </c>
      <c r="C39" t="s">
        <v>417</v>
      </c>
      <c r="D39" t="s">
        <v>418</v>
      </c>
      <c r="E39" s="1" t="s">
        <v>108</v>
      </c>
      <c r="F39" s="1" t="s">
        <v>21</v>
      </c>
      <c r="G39" s="2186">
        <v>1</v>
      </c>
      <c r="H39" s="2186">
        <f>VLOOKUP(G39,Pesos!A:B,2,0)</f>
        <v>0.9</v>
      </c>
      <c r="I39" s="1"/>
      <c r="J39" s="16" t="s">
        <v>305</v>
      </c>
      <c r="K39" s="79">
        <v>5</v>
      </c>
      <c r="L39" s="2" t="s">
        <v>351</v>
      </c>
      <c r="M39" s="1">
        <v>1</v>
      </c>
      <c r="N39" s="1" t="s">
        <v>63</v>
      </c>
      <c r="O39" s="1"/>
      <c r="P39" s="1">
        <v>1</v>
      </c>
      <c r="Q39" s="1">
        <v>1</v>
      </c>
      <c r="R39" s="1"/>
      <c r="S39" s="1">
        <v>1</v>
      </c>
      <c r="T39" s="5">
        <v>7200</v>
      </c>
      <c r="U39" s="24">
        <v>0.35</v>
      </c>
      <c r="V39" s="26">
        <f t="shared" si="3"/>
        <v>4680</v>
      </c>
      <c r="W39" s="25">
        <f t="shared" si="0"/>
        <v>4680</v>
      </c>
      <c r="AB39" s="1"/>
      <c r="AD39" s="1"/>
    </row>
    <row r="40" spans="1:30" x14ac:dyDescent="0.3">
      <c r="A40" t="s">
        <v>343</v>
      </c>
      <c r="B40" t="s">
        <v>394</v>
      </c>
      <c r="C40" t="s">
        <v>417</v>
      </c>
      <c r="D40" t="s">
        <v>418</v>
      </c>
      <c r="E40" s="1" t="s">
        <v>23</v>
      </c>
      <c r="F40" s="1" t="s">
        <v>21</v>
      </c>
      <c r="G40" s="2186">
        <v>1</v>
      </c>
      <c r="H40" s="2186">
        <f>VLOOKUP(G40,Pesos!A:B,2,0)</f>
        <v>0.9</v>
      </c>
      <c r="J40" s="1" t="s">
        <v>305</v>
      </c>
      <c r="K40" s="79">
        <v>5</v>
      </c>
      <c r="L40" s="2" t="s">
        <v>351</v>
      </c>
      <c r="M40" s="1">
        <v>1</v>
      </c>
      <c r="N40" s="1" t="s">
        <v>24</v>
      </c>
      <c r="O40" s="1">
        <v>1</v>
      </c>
      <c r="S40" s="1">
        <v>1</v>
      </c>
      <c r="T40" s="5">
        <v>27025</v>
      </c>
      <c r="U40" s="24">
        <v>0.3</v>
      </c>
      <c r="V40" s="26">
        <f t="shared" si="3"/>
        <v>18917.5</v>
      </c>
      <c r="W40" s="25">
        <f t="shared" si="0"/>
        <v>18917.5</v>
      </c>
    </row>
    <row r="41" spans="1:30" x14ac:dyDescent="0.3">
      <c r="A41" t="s">
        <v>343</v>
      </c>
      <c r="B41" t="s">
        <v>394</v>
      </c>
      <c r="C41" t="s">
        <v>417</v>
      </c>
      <c r="D41" t="s">
        <v>418</v>
      </c>
      <c r="E41" s="1" t="s">
        <v>419</v>
      </c>
      <c r="F41" s="1" t="s">
        <v>166</v>
      </c>
      <c r="G41" s="2186">
        <v>2</v>
      </c>
      <c r="H41" s="2186">
        <f>VLOOKUP(G41,Pesos!A:B,2,0)</f>
        <v>0.8</v>
      </c>
      <c r="I41" s="1" t="s">
        <v>305</v>
      </c>
      <c r="K41" s="79">
        <v>10</v>
      </c>
      <c r="L41" s="2" t="s">
        <v>51</v>
      </c>
      <c r="M41" s="1">
        <v>18</v>
      </c>
      <c r="N41" s="1" t="s">
        <v>63</v>
      </c>
      <c r="O41" s="1">
        <v>18</v>
      </c>
      <c r="P41" s="1"/>
      <c r="Q41" s="1"/>
      <c r="R41" s="1"/>
      <c r="S41" s="1">
        <v>1</v>
      </c>
      <c r="T41" s="5">
        <v>3247</v>
      </c>
      <c r="U41" s="24">
        <v>0.2</v>
      </c>
      <c r="V41" s="26">
        <f t="shared" si="3"/>
        <v>2597.6000000000004</v>
      </c>
      <c r="W41" s="25">
        <f t="shared" si="0"/>
        <v>46756.800000000003</v>
      </c>
      <c r="AB41" s="1"/>
      <c r="AD41" s="1"/>
    </row>
    <row r="42" spans="1:30" x14ac:dyDescent="0.3">
      <c r="A42" t="s">
        <v>343</v>
      </c>
      <c r="B42" t="s">
        <v>394</v>
      </c>
      <c r="C42" t="s">
        <v>417</v>
      </c>
      <c r="D42" t="s">
        <v>418</v>
      </c>
      <c r="E42" s="1" t="s">
        <v>419</v>
      </c>
      <c r="F42" s="1" t="s">
        <v>26</v>
      </c>
      <c r="G42" s="2186">
        <v>5</v>
      </c>
      <c r="H42" s="2186">
        <f>VLOOKUP(G42,Pesos!A:B,2,0)</f>
        <v>0.5</v>
      </c>
      <c r="I42" s="1" t="s">
        <v>305</v>
      </c>
      <c r="K42" s="79">
        <v>4</v>
      </c>
      <c r="L42" s="2" t="s">
        <v>203</v>
      </c>
      <c r="M42" s="1">
        <v>2</v>
      </c>
      <c r="N42" s="1" t="s">
        <v>24</v>
      </c>
      <c r="O42" s="1">
        <v>2</v>
      </c>
      <c r="P42" s="1"/>
      <c r="Q42" s="1"/>
      <c r="R42" s="1"/>
      <c r="S42" s="1">
        <v>1</v>
      </c>
      <c r="T42" s="5">
        <v>13000</v>
      </c>
      <c r="U42" s="24">
        <v>0.2</v>
      </c>
      <c r="V42" s="26">
        <f t="shared" si="3"/>
        <v>10400</v>
      </c>
      <c r="W42" s="25">
        <f t="shared" si="0"/>
        <v>20800</v>
      </c>
      <c r="AB42" s="1"/>
      <c r="AD42" s="1"/>
    </row>
    <row r="43" spans="1:30" x14ac:dyDescent="0.3">
      <c r="A43" t="s">
        <v>343</v>
      </c>
      <c r="B43" t="s">
        <v>394</v>
      </c>
      <c r="C43" t="s">
        <v>417</v>
      </c>
      <c r="D43" t="s">
        <v>418</v>
      </c>
      <c r="E43" s="1" t="s">
        <v>419</v>
      </c>
      <c r="F43" s="1" t="s">
        <v>21</v>
      </c>
      <c r="G43" s="2186">
        <v>1</v>
      </c>
      <c r="H43" s="2186">
        <f>VLOOKUP(G43,Pesos!A:B,2,0)</f>
        <v>0.9</v>
      </c>
      <c r="I43" s="1"/>
      <c r="J43" s="16" t="s">
        <v>305</v>
      </c>
      <c r="K43" s="79">
        <v>5</v>
      </c>
      <c r="L43" s="2" t="s">
        <v>351</v>
      </c>
      <c r="M43" s="1">
        <v>2</v>
      </c>
      <c r="N43" s="1" t="s">
        <v>24</v>
      </c>
      <c r="O43" s="1">
        <v>2</v>
      </c>
      <c r="P43" s="1"/>
      <c r="Q43" s="1"/>
      <c r="R43" s="1"/>
      <c r="S43" s="1">
        <v>1</v>
      </c>
      <c r="T43" s="5">
        <v>14950</v>
      </c>
      <c r="U43" s="24">
        <v>0.2</v>
      </c>
      <c r="V43" s="26">
        <f t="shared" si="3"/>
        <v>11960</v>
      </c>
      <c r="W43" s="25">
        <f t="shared" si="0"/>
        <v>23920</v>
      </c>
      <c r="AB43" s="1"/>
      <c r="AD43" s="1"/>
    </row>
    <row r="44" spans="1:30" x14ac:dyDescent="0.3">
      <c r="A44" t="s">
        <v>343</v>
      </c>
      <c r="B44" t="s">
        <v>394</v>
      </c>
      <c r="C44" t="s">
        <v>417</v>
      </c>
      <c r="D44" t="s">
        <v>418</v>
      </c>
      <c r="E44" s="1" t="s">
        <v>420</v>
      </c>
      <c r="F44" s="1" t="s">
        <v>166</v>
      </c>
      <c r="G44" s="2186">
        <v>2</v>
      </c>
      <c r="H44" s="2186">
        <f>VLOOKUP(G44,Pesos!A:B,2,0)</f>
        <v>0.8</v>
      </c>
      <c r="I44" s="1" t="s">
        <v>305</v>
      </c>
      <c r="K44" s="79">
        <v>10</v>
      </c>
      <c r="L44" s="2" t="s">
        <v>51</v>
      </c>
      <c r="M44" s="1">
        <v>18</v>
      </c>
      <c r="N44" s="1" t="s">
        <v>63</v>
      </c>
      <c r="O44" s="1"/>
      <c r="P44" s="1"/>
      <c r="Q44" s="1">
        <v>18</v>
      </c>
      <c r="R44" s="1"/>
      <c r="S44" s="1">
        <v>1</v>
      </c>
      <c r="T44" s="5">
        <v>3750</v>
      </c>
      <c r="U44" s="24">
        <v>0.2</v>
      </c>
      <c r="V44" s="26">
        <f t="shared" si="3"/>
        <v>3000</v>
      </c>
      <c r="W44" s="25">
        <f t="shared" si="0"/>
        <v>54000</v>
      </c>
      <c r="AB44" s="1"/>
      <c r="AD44" s="1"/>
    </row>
    <row r="45" spans="1:30" x14ac:dyDescent="0.3">
      <c r="A45" t="s">
        <v>343</v>
      </c>
      <c r="B45" t="s">
        <v>394</v>
      </c>
      <c r="C45" t="s">
        <v>417</v>
      </c>
      <c r="D45" t="s">
        <v>418</v>
      </c>
      <c r="E45" s="1" t="s">
        <v>422</v>
      </c>
      <c r="F45" s="1" t="s">
        <v>21</v>
      </c>
      <c r="G45" s="2186">
        <v>1</v>
      </c>
      <c r="H45" s="2186">
        <f>VLOOKUP(G45,Pesos!A:B,2,0)</f>
        <v>0.9</v>
      </c>
      <c r="I45" s="1"/>
      <c r="J45" s="16" t="s">
        <v>305</v>
      </c>
      <c r="K45" s="79">
        <v>5</v>
      </c>
      <c r="L45" s="2" t="s">
        <v>351</v>
      </c>
      <c r="M45" s="1">
        <v>2</v>
      </c>
      <c r="N45" s="1" t="s">
        <v>24</v>
      </c>
      <c r="O45" s="1">
        <v>2</v>
      </c>
      <c r="P45" s="1"/>
      <c r="Q45" s="1"/>
      <c r="R45" s="1"/>
      <c r="S45" s="1">
        <v>1</v>
      </c>
      <c r="T45" s="5">
        <v>5000</v>
      </c>
      <c r="U45" s="24">
        <v>0.35</v>
      </c>
      <c r="V45" s="26">
        <f t="shared" si="3"/>
        <v>3250</v>
      </c>
      <c r="W45" s="25">
        <f t="shared" si="0"/>
        <v>6500</v>
      </c>
      <c r="AB45" s="1"/>
      <c r="AD45" s="1"/>
    </row>
    <row r="46" spans="1:30" x14ac:dyDescent="0.3">
      <c r="A46" t="s">
        <v>343</v>
      </c>
      <c r="B46" t="s">
        <v>394</v>
      </c>
      <c r="C46" t="s">
        <v>417</v>
      </c>
      <c r="D46" t="s">
        <v>418</v>
      </c>
      <c r="E46" s="1" t="s">
        <v>130</v>
      </c>
      <c r="F46" s="1" t="s">
        <v>148</v>
      </c>
      <c r="G46" s="2186">
        <v>6</v>
      </c>
      <c r="H46" s="2186">
        <f>VLOOKUP(G46,Pesos!A:B,2,0)</f>
        <v>0.4</v>
      </c>
      <c r="I46" s="1" t="s">
        <v>305</v>
      </c>
      <c r="K46" s="79">
        <v>8</v>
      </c>
      <c r="L46" s="2" t="s">
        <v>256</v>
      </c>
      <c r="M46" s="1">
        <v>15</v>
      </c>
      <c r="N46" s="1" t="s">
        <v>24</v>
      </c>
      <c r="O46" s="1">
        <v>15</v>
      </c>
      <c r="P46" s="1"/>
      <c r="Q46" s="1"/>
      <c r="R46" s="1"/>
      <c r="S46" s="1">
        <v>1</v>
      </c>
      <c r="T46" s="5">
        <v>12873</v>
      </c>
      <c r="U46" s="24">
        <v>0.82</v>
      </c>
      <c r="V46" s="26">
        <f t="shared" si="3"/>
        <v>2317.1400000000008</v>
      </c>
      <c r="W46" s="25">
        <f t="shared" si="0"/>
        <v>34757.100000000013</v>
      </c>
      <c r="AB46" s="1"/>
      <c r="AD46" s="1"/>
    </row>
    <row r="47" spans="1:30" x14ac:dyDescent="0.3">
      <c r="A47" t="s">
        <v>343</v>
      </c>
      <c r="B47" t="s">
        <v>394</v>
      </c>
      <c r="C47" t="s">
        <v>417</v>
      </c>
      <c r="D47" t="s">
        <v>418</v>
      </c>
      <c r="E47" s="1" t="s">
        <v>422</v>
      </c>
      <c r="F47" s="1" t="s">
        <v>26</v>
      </c>
      <c r="G47" s="2186">
        <v>5</v>
      </c>
      <c r="H47" s="2186">
        <f>VLOOKUP(G47,Pesos!A:B,2,0)</f>
        <v>0.5</v>
      </c>
      <c r="I47" s="1" t="s">
        <v>305</v>
      </c>
      <c r="K47" s="79">
        <v>4</v>
      </c>
      <c r="L47" s="2" t="s">
        <v>203</v>
      </c>
      <c r="M47" s="1">
        <v>2</v>
      </c>
      <c r="N47" s="1" t="s">
        <v>24</v>
      </c>
      <c r="O47" s="1">
        <v>2</v>
      </c>
      <c r="P47" s="1"/>
      <c r="Q47" s="1"/>
      <c r="R47" s="1"/>
      <c r="S47" s="1">
        <v>1</v>
      </c>
      <c r="T47" s="5">
        <v>9696</v>
      </c>
      <c r="U47" s="24">
        <v>0.35</v>
      </c>
      <c r="V47" s="26">
        <f t="shared" si="3"/>
        <v>6302.4000000000005</v>
      </c>
      <c r="W47" s="25">
        <f t="shared" si="0"/>
        <v>12604.800000000001</v>
      </c>
      <c r="AB47" s="1"/>
      <c r="AD47" s="1"/>
    </row>
    <row r="48" spans="1:30" x14ac:dyDescent="0.3">
      <c r="A48" t="s">
        <v>343</v>
      </c>
      <c r="B48" t="s">
        <v>394</v>
      </c>
      <c r="C48" t="s">
        <v>417</v>
      </c>
      <c r="D48" t="s">
        <v>418</v>
      </c>
      <c r="E48" s="1" t="s">
        <v>158</v>
      </c>
      <c r="F48" s="1" t="s">
        <v>402</v>
      </c>
      <c r="G48" s="2186">
        <v>4</v>
      </c>
      <c r="H48" s="2186">
        <f>VLOOKUP(G48,Pesos!A:B,2,0)</f>
        <v>0.6</v>
      </c>
      <c r="I48" s="1" t="s">
        <v>305</v>
      </c>
      <c r="K48" s="79">
        <v>7</v>
      </c>
      <c r="L48" s="2" t="s">
        <v>51</v>
      </c>
      <c r="M48" s="1">
        <v>20</v>
      </c>
      <c r="N48" s="1" t="s">
        <v>22</v>
      </c>
      <c r="O48" s="1">
        <v>20</v>
      </c>
      <c r="P48" s="1">
        <v>20</v>
      </c>
      <c r="Q48" s="1"/>
      <c r="R48" s="1"/>
      <c r="S48" s="1">
        <v>2</v>
      </c>
      <c r="T48" s="5">
        <v>2200</v>
      </c>
      <c r="U48" s="24">
        <v>0.2</v>
      </c>
      <c r="V48" s="26">
        <f t="shared" si="3"/>
        <v>1760</v>
      </c>
      <c r="W48" s="25">
        <f t="shared" si="0"/>
        <v>70400</v>
      </c>
      <c r="AB48" s="1"/>
      <c r="AD48" s="1"/>
    </row>
    <row r="49" spans="1:30" x14ac:dyDescent="0.3">
      <c r="A49" t="s">
        <v>343</v>
      </c>
      <c r="B49" t="s">
        <v>394</v>
      </c>
      <c r="C49" t="s">
        <v>417</v>
      </c>
      <c r="D49" t="s">
        <v>418</v>
      </c>
      <c r="E49" s="1" t="s">
        <v>179</v>
      </c>
      <c r="F49" s="1" t="s">
        <v>180</v>
      </c>
      <c r="G49" s="2186">
        <v>3</v>
      </c>
      <c r="H49" s="2186">
        <f>VLOOKUP(G49,Pesos!A:B,2,0)</f>
        <v>0.7</v>
      </c>
      <c r="I49" s="1" t="s">
        <v>305</v>
      </c>
      <c r="K49" s="79">
        <v>7</v>
      </c>
      <c r="L49" s="2" t="s">
        <v>51</v>
      </c>
      <c r="M49" s="1">
        <v>10</v>
      </c>
      <c r="N49" s="1" t="s">
        <v>24</v>
      </c>
      <c r="O49" s="1">
        <v>10</v>
      </c>
      <c r="P49" s="1"/>
      <c r="Q49" s="1"/>
      <c r="R49" s="1"/>
      <c r="S49" s="1">
        <v>1</v>
      </c>
      <c r="T49" s="5">
        <v>9388</v>
      </c>
      <c r="U49" s="24">
        <v>0.4</v>
      </c>
      <c r="V49" s="26">
        <f t="shared" si="3"/>
        <v>5632.8</v>
      </c>
      <c r="W49" s="25">
        <f t="shared" si="0"/>
        <v>56328</v>
      </c>
      <c r="AB49" s="1"/>
      <c r="AD49" s="1"/>
    </row>
    <row r="50" spans="1:30" x14ac:dyDescent="0.3">
      <c r="G50" s="2186"/>
      <c r="H50" s="2186"/>
      <c r="K50" s="79"/>
      <c r="L50" s="2"/>
      <c r="M50" s="1"/>
      <c r="T50" s="5"/>
      <c r="U50" s="24"/>
      <c r="V50" s="26"/>
    </row>
    <row r="51" spans="1:30" x14ac:dyDescent="0.3">
      <c r="A51" t="s">
        <v>326</v>
      </c>
      <c r="B51" t="s">
        <v>394</v>
      </c>
      <c r="C51" t="s">
        <v>417</v>
      </c>
      <c r="D51" t="s">
        <v>418</v>
      </c>
      <c r="E51" s="1" t="s">
        <v>108</v>
      </c>
      <c r="F51" s="1" t="s">
        <v>21</v>
      </c>
      <c r="G51" s="2186">
        <v>1</v>
      </c>
      <c r="H51" s="2186">
        <f>VLOOKUP(G51,Pesos!A:B,2,0)</f>
        <v>0.9</v>
      </c>
      <c r="J51" s="2" t="s">
        <v>305</v>
      </c>
      <c r="K51" s="1">
        <v>3</v>
      </c>
      <c r="L51" s="2" t="s">
        <v>203</v>
      </c>
      <c r="M51" s="1">
        <v>1</v>
      </c>
      <c r="N51" s="1" t="s">
        <v>63</v>
      </c>
      <c r="P51" s="1">
        <v>1</v>
      </c>
      <c r="Q51" s="1">
        <v>1</v>
      </c>
      <c r="S51" s="1">
        <v>1</v>
      </c>
      <c r="T51" s="5">
        <v>7200</v>
      </c>
      <c r="U51" s="24">
        <v>0.35</v>
      </c>
      <c r="V51" s="26">
        <f t="shared" si="3"/>
        <v>4680</v>
      </c>
      <c r="W51" s="25">
        <f t="shared" ref="W51:W60" si="4">V51*S51*M51</f>
        <v>4680</v>
      </c>
    </row>
    <row r="52" spans="1:30" x14ac:dyDescent="0.3">
      <c r="A52" t="s">
        <v>326</v>
      </c>
      <c r="B52" t="s">
        <v>394</v>
      </c>
      <c r="C52" t="s">
        <v>417</v>
      </c>
      <c r="D52" t="s">
        <v>418</v>
      </c>
      <c r="E52" s="1" t="s">
        <v>419</v>
      </c>
      <c r="F52" s="1" t="s">
        <v>166</v>
      </c>
      <c r="G52" s="2186">
        <v>2</v>
      </c>
      <c r="H52" s="2186">
        <f>VLOOKUP(G52,Pesos!A:B,2,0)</f>
        <v>0.8</v>
      </c>
      <c r="I52" s="1" t="s">
        <v>305</v>
      </c>
      <c r="J52" s="2"/>
      <c r="K52" s="1">
        <v>8</v>
      </c>
      <c r="L52" s="2" t="s">
        <v>256</v>
      </c>
      <c r="M52" s="1">
        <v>8</v>
      </c>
      <c r="N52" s="1" t="s">
        <v>63</v>
      </c>
      <c r="O52" s="1">
        <v>8</v>
      </c>
      <c r="S52" s="1">
        <v>1</v>
      </c>
      <c r="T52" s="5">
        <v>3247</v>
      </c>
      <c r="U52" s="24">
        <v>0.2</v>
      </c>
      <c r="V52" s="26">
        <f t="shared" si="3"/>
        <v>2597.6000000000004</v>
      </c>
      <c r="W52" s="25">
        <f t="shared" si="4"/>
        <v>20780.800000000003</v>
      </c>
    </row>
    <row r="53" spans="1:30" x14ac:dyDescent="0.3">
      <c r="A53" t="s">
        <v>326</v>
      </c>
      <c r="B53" t="s">
        <v>394</v>
      </c>
      <c r="C53" t="s">
        <v>417</v>
      </c>
      <c r="D53" t="s">
        <v>418</v>
      </c>
      <c r="E53" s="1" t="s">
        <v>419</v>
      </c>
      <c r="F53" s="1" t="s">
        <v>26</v>
      </c>
      <c r="G53" s="2186">
        <v>5</v>
      </c>
      <c r="H53" s="2186">
        <f>VLOOKUP(G53,Pesos!A:B,2,0)</f>
        <v>0.5</v>
      </c>
      <c r="I53" s="1" t="s">
        <v>305</v>
      </c>
      <c r="J53" s="2"/>
      <c r="K53" s="1">
        <v>2</v>
      </c>
      <c r="L53" s="2" t="s">
        <v>354</v>
      </c>
      <c r="M53" s="1">
        <v>1</v>
      </c>
      <c r="N53" s="1" t="s">
        <v>24</v>
      </c>
      <c r="O53" s="1">
        <v>1</v>
      </c>
      <c r="S53" s="1">
        <v>1</v>
      </c>
      <c r="T53" s="5">
        <v>13000</v>
      </c>
      <c r="U53" s="24">
        <v>0.2</v>
      </c>
      <c r="V53" s="26">
        <f t="shared" si="3"/>
        <v>10400</v>
      </c>
      <c r="W53" s="25">
        <f t="shared" si="4"/>
        <v>10400</v>
      </c>
    </row>
    <row r="54" spans="1:30" x14ac:dyDescent="0.3">
      <c r="A54" t="s">
        <v>326</v>
      </c>
      <c r="B54" t="s">
        <v>394</v>
      </c>
      <c r="C54" t="s">
        <v>417</v>
      </c>
      <c r="D54" t="s">
        <v>418</v>
      </c>
      <c r="E54" s="1" t="s">
        <v>419</v>
      </c>
      <c r="F54" s="1" t="s">
        <v>21</v>
      </c>
      <c r="G54" s="2186">
        <v>1</v>
      </c>
      <c r="H54" s="2186">
        <f>VLOOKUP(G54,Pesos!A:B,2,0)</f>
        <v>0.9</v>
      </c>
      <c r="J54" s="2" t="s">
        <v>305</v>
      </c>
      <c r="K54" s="1">
        <v>3</v>
      </c>
      <c r="L54" s="2" t="s">
        <v>203</v>
      </c>
      <c r="M54" s="1">
        <v>1</v>
      </c>
      <c r="N54" s="1" t="s">
        <v>24</v>
      </c>
      <c r="O54" s="1">
        <v>1</v>
      </c>
      <c r="S54" s="1">
        <v>1</v>
      </c>
      <c r="T54" s="5">
        <v>14950</v>
      </c>
      <c r="U54" s="24">
        <v>0.2</v>
      </c>
      <c r="V54" s="26">
        <f t="shared" si="3"/>
        <v>11960</v>
      </c>
      <c r="W54" s="25">
        <f t="shared" si="4"/>
        <v>11960</v>
      </c>
    </row>
    <row r="55" spans="1:30" x14ac:dyDescent="0.3">
      <c r="A55" t="s">
        <v>326</v>
      </c>
      <c r="B55" t="s">
        <v>394</v>
      </c>
      <c r="C55" t="s">
        <v>417</v>
      </c>
      <c r="D55" t="s">
        <v>418</v>
      </c>
      <c r="E55" s="1" t="s">
        <v>420</v>
      </c>
      <c r="F55" s="1" t="s">
        <v>166</v>
      </c>
      <c r="G55" s="2186">
        <v>2</v>
      </c>
      <c r="H55" s="2186">
        <f>VLOOKUP(G55,Pesos!A:B,2,0)</f>
        <v>0.8</v>
      </c>
      <c r="I55" s="1" t="s">
        <v>305</v>
      </c>
      <c r="J55" s="2"/>
      <c r="K55" s="1">
        <v>8</v>
      </c>
      <c r="L55" s="2" t="s">
        <v>256</v>
      </c>
      <c r="M55" s="1">
        <v>8</v>
      </c>
      <c r="N55" s="1" t="s">
        <v>63</v>
      </c>
      <c r="Q55" s="1">
        <v>8</v>
      </c>
      <c r="S55" s="1">
        <v>1</v>
      </c>
      <c r="T55" s="5">
        <v>3750</v>
      </c>
      <c r="U55" s="24">
        <v>0.2</v>
      </c>
      <c r="V55" s="26">
        <f t="shared" si="3"/>
        <v>3000</v>
      </c>
      <c r="W55" s="25">
        <f t="shared" si="4"/>
        <v>24000</v>
      </c>
    </row>
    <row r="56" spans="1:30" x14ac:dyDescent="0.3">
      <c r="A56" t="s">
        <v>326</v>
      </c>
      <c r="B56" t="s">
        <v>394</v>
      </c>
      <c r="C56" t="s">
        <v>417</v>
      </c>
      <c r="D56" t="s">
        <v>418</v>
      </c>
      <c r="E56" s="1" t="s">
        <v>422</v>
      </c>
      <c r="F56" s="1" t="s">
        <v>21</v>
      </c>
      <c r="G56" s="2186">
        <v>1</v>
      </c>
      <c r="H56" s="2186">
        <f>VLOOKUP(G56,Pesos!A:B,2,0)</f>
        <v>0.9</v>
      </c>
      <c r="J56" s="2" t="s">
        <v>305</v>
      </c>
      <c r="K56" s="1">
        <v>3</v>
      </c>
      <c r="L56" s="2" t="s">
        <v>203</v>
      </c>
      <c r="M56" s="1">
        <v>1</v>
      </c>
      <c r="N56" s="1" t="s">
        <v>24</v>
      </c>
      <c r="O56" s="1">
        <v>1</v>
      </c>
      <c r="S56" s="1">
        <v>1</v>
      </c>
      <c r="T56" s="5">
        <v>5000</v>
      </c>
      <c r="U56" s="24">
        <v>0.35</v>
      </c>
      <c r="V56" s="26">
        <f t="shared" si="3"/>
        <v>3250</v>
      </c>
      <c r="W56" s="25">
        <f t="shared" si="4"/>
        <v>3250</v>
      </c>
    </row>
    <row r="57" spans="1:30" x14ac:dyDescent="0.3">
      <c r="A57" t="s">
        <v>326</v>
      </c>
      <c r="B57" t="s">
        <v>394</v>
      </c>
      <c r="C57" t="s">
        <v>417</v>
      </c>
      <c r="D57" t="s">
        <v>418</v>
      </c>
      <c r="E57" s="1" t="s">
        <v>130</v>
      </c>
      <c r="F57" s="1" t="s">
        <v>148</v>
      </c>
      <c r="G57" s="2186">
        <v>6</v>
      </c>
      <c r="H57" s="2186">
        <f>VLOOKUP(G57,Pesos!A:B,2,0)</f>
        <v>0.4</v>
      </c>
      <c r="I57" s="1" t="s">
        <v>305</v>
      </c>
      <c r="J57" s="2"/>
      <c r="K57" s="1">
        <v>5</v>
      </c>
      <c r="L57" s="2" t="s">
        <v>203</v>
      </c>
      <c r="M57" s="1">
        <v>8</v>
      </c>
      <c r="N57" s="1" t="s">
        <v>24</v>
      </c>
      <c r="O57" s="1">
        <v>8</v>
      </c>
      <c r="S57" s="1">
        <v>1</v>
      </c>
      <c r="T57" s="5">
        <v>12873</v>
      </c>
      <c r="U57" s="24">
        <v>0.82</v>
      </c>
      <c r="V57" s="26">
        <f t="shared" si="3"/>
        <v>2317.1400000000008</v>
      </c>
      <c r="W57" s="25">
        <f t="shared" si="4"/>
        <v>18537.120000000006</v>
      </c>
    </row>
    <row r="58" spans="1:30" x14ac:dyDescent="0.3">
      <c r="A58" t="s">
        <v>326</v>
      </c>
      <c r="B58" t="s">
        <v>394</v>
      </c>
      <c r="C58" t="s">
        <v>417</v>
      </c>
      <c r="D58" t="s">
        <v>418</v>
      </c>
      <c r="E58" s="1" t="s">
        <v>422</v>
      </c>
      <c r="F58" s="1" t="s">
        <v>26</v>
      </c>
      <c r="G58" s="2186">
        <v>5</v>
      </c>
      <c r="H58" s="2186">
        <f>VLOOKUP(G58,Pesos!A:B,2,0)</f>
        <v>0.5</v>
      </c>
      <c r="I58" s="1" t="s">
        <v>305</v>
      </c>
      <c r="J58" s="2"/>
      <c r="K58" s="1">
        <v>2</v>
      </c>
      <c r="L58" s="2" t="s">
        <v>354</v>
      </c>
      <c r="M58" s="1">
        <v>2</v>
      </c>
      <c r="N58" s="1" t="s">
        <v>24</v>
      </c>
      <c r="O58" s="1">
        <v>2</v>
      </c>
      <c r="S58" s="1">
        <v>1</v>
      </c>
      <c r="T58" s="5">
        <v>9696</v>
      </c>
      <c r="U58" s="24">
        <v>0.35</v>
      </c>
      <c r="V58" s="26">
        <f t="shared" si="3"/>
        <v>6302.4000000000005</v>
      </c>
      <c r="W58" s="25">
        <f t="shared" si="4"/>
        <v>12604.800000000001</v>
      </c>
    </row>
    <row r="59" spans="1:30" x14ac:dyDescent="0.3">
      <c r="A59" t="s">
        <v>326</v>
      </c>
      <c r="B59" t="s">
        <v>394</v>
      </c>
      <c r="C59" t="s">
        <v>417</v>
      </c>
      <c r="D59" t="s">
        <v>418</v>
      </c>
      <c r="E59" s="1" t="s">
        <v>158</v>
      </c>
      <c r="F59" s="1" t="s">
        <v>402</v>
      </c>
      <c r="G59" s="2186">
        <v>3</v>
      </c>
      <c r="H59" s="2186">
        <f>VLOOKUP(G59,Pesos!A:B,2,0)</f>
        <v>0.7</v>
      </c>
      <c r="I59" s="1" t="s">
        <v>305</v>
      </c>
      <c r="J59" s="2"/>
      <c r="K59" s="1">
        <v>5</v>
      </c>
      <c r="L59" s="2" t="s">
        <v>256</v>
      </c>
      <c r="M59" s="1">
        <v>6</v>
      </c>
      <c r="N59" s="1" t="s">
        <v>22</v>
      </c>
      <c r="O59" s="1">
        <v>5</v>
      </c>
      <c r="P59" s="1">
        <v>5</v>
      </c>
      <c r="S59" s="1">
        <v>2</v>
      </c>
      <c r="T59" s="5">
        <v>2200</v>
      </c>
      <c r="U59" s="24">
        <v>0.2</v>
      </c>
      <c r="V59" s="26">
        <f t="shared" si="3"/>
        <v>1760</v>
      </c>
      <c r="W59" s="25">
        <f t="shared" si="4"/>
        <v>21120</v>
      </c>
    </row>
    <row r="60" spans="1:30" x14ac:dyDescent="0.3">
      <c r="A60" t="s">
        <v>326</v>
      </c>
      <c r="B60" t="s">
        <v>394</v>
      </c>
      <c r="C60" t="s">
        <v>417</v>
      </c>
      <c r="D60" t="s">
        <v>418</v>
      </c>
      <c r="E60" s="1" t="s">
        <v>179</v>
      </c>
      <c r="F60" s="1" t="s">
        <v>180</v>
      </c>
      <c r="G60" s="2186">
        <v>4</v>
      </c>
      <c r="H60" s="2186">
        <f>VLOOKUP(G60,Pesos!A:B,2,0)</f>
        <v>0.6</v>
      </c>
      <c r="I60" s="1" t="s">
        <v>305</v>
      </c>
      <c r="J60" s="2"/>
      <c r="K60" s="1">
        <v>7</v>
      </c>
      <c r="L60" s="2" t="s">
        <v>51</v>
      </c>
      <c r="M60" s="1">
        <v>5</v>
      </c>
      <c r="N60" s="1" t="s">
        <v>24</v>
      </c>
      <c r="O60" s="1">
        <v>5</v>
      </c>
      <c r="S60" s="1">
        <v>1</v>
      </c>
      <c r="T60" s="5">
        <v>9388</v>
      </c>
      <c r="U60" s="24">
        <v>0.4</v>
      </c>
      <c r="V60" s="26">
        <f t="shared" si="3"/>
        <v>5632.8</v>
      </c>
      <c r="W60" s="25">
        <f t="shared" si="4"/>
        <v>28164</v>
      </c>
    </row>
    <row r="66" spans="1:30" x14ac:dyDescent="0.3">
      <c r="A66" s="47"/>
      <c r="D66" s="43" t="s">
        <v>1158</v>
      </c>
      <c r="E66" s="43" t="s">
        <v>1159</v>
      </c>
      <c r="F66" s="43" t="s">
        <v>1160</v>
      </c>
      <c r="G66" s="4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29"/>
      <c r="V66" s="26"/>
      <c r="W66" s="26"/>
      <c r="AB66" s="1"/>
      <c r="AD66" s="1"/>
    </row>
    <row r="67" spans="1:30" x14ac:dyDescent="0.3">
      <c r="A67" s="47" t="s">
        <v>1161</v>
      </c>
      <c r="B67" s="2174"/>
      <c r="C67" s="2174"/>
      <c r="D67" s="2181">
        <f>E67*(1-10%)</f>
        <v>5393.187931034483</v>
      </c>
      <c r="E67" s="427">
        <f>GOIANIA!S54</f>
        <v>5992.4310344827591</v>
      </c>
      <c r="F67" s="427">
        <f>E67*(1+15%)</f>
        <v>6891.2956896551723</v>
      </c>
      <c r="G67" s="427"/>
    </row>
    <row r="68" spans="1:30" x14ac:dyDescent="0.3">
      <c r="A68" s="47" t="s">
        <v>1162</v>
      </c>
      <c r="B68" s="2174"/>
      <c r="C68" s="2174"/>
      <c r="D68" s="2181">
        <f>E68*(1-25%)</f>
        <v>2632.0136577181206</v>
      </c>
      <c r="E68" s="427">
        <f>GOIANIA!S86</f>
        <v>3509.351543624161</v>
      </c>
      <c r="F68" s="427">
        <f>E68*(1+5%)</f>
        <v>3684.819120805369</v>
      </c>
      <c r="G68" s="42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5"/>
      <c r="U68" s="24"/>
      <c r="V68" s="26"/>
      <c r="W68" s="26"/>
      <c r="AB68" s="1"/>
      <c r="AD68" s="1"/>
    </row>
    <row r="69" spans="1:30" x14ac:dyDescent="0.3">
      <c r="A69" s="47" t="s">
        <v>550</v>
      </c>
      <c r="B69" s="2174"/>
      <c r="C69" s="2174"/>
      <c r="D69" s="2181">
        <f>E69*(1-15%)</f>
        <v>4432.9456164383564</v>
      </c>
      <c r="E69" s="427">
        <f>GOIANIA!S127</f>
        <v>5215.2301369863017</v>
      </c>
      <c r="F69" s="427">
        <f>E69*(1+15%)</f>
        <v>5997.514657534246</v>
      </c>
      <c r="G69" s="42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5"/>
      <c r="U69" s="24"/>
      <c r="V69" s="26"/>
      <c r="W69" s="26"/>
      <c r="AB69" s="1"/>
      <c r="AD69" s="1"/>
    </row>
    <row r="70" spans="1:30" x14ac:dyDescent="0.3">
      <c r="A70" s="47" t="s">
        <v>679</v>
      </c>
      <c r="B70" s="2174"/>
      <c r="C70" s="2174"/>
      <c r="D70" s="2181">
        <f>E70*(1-25%)</f>
        <v>2599.0824324324321</v>
      </c>
      <c r="E70" s="427">
        <f>GOIANIA!S163</f>
        <v>3465.4432432432427</v>
      </c>
      <c r="F70" s="427">
        <f>E70*(1+5%)</f>
        <v>3638.7154054054049</v>
      </c>
      <c r="G70" s="42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5"/>
      <c r="U70" s="24"/>
      <c r="V70" s="26"/>
      <c r="W70" s="26"/>
      <c r="AB70" s="1"/>
      <c r="AD70" s="1"/>
    </row>
    <row r="71" spans="1:30" x14ac:dyDescent="0.3">
      <c r="A71" s="47" t="s">
        <v>568</v>
      </c>
      <c r="B71" s="2174"/>
      <c r="C71" s="2174"/>
      <c r="D71" s="2181">
        <f>E71*(1-25%)</f>
        <v>2924.9453333333336</v>
      </c>
      <c r="E71" s="427">
        <f>GOIANIA!S199</f>
        <v>3899.9271111111116</v>
      </c>
      <c r="F71" s="427">
        <f>E71*(1+5%)</f>
        <v>4094.9234666666675</v>
      </c>
      <c r="G71" s="42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5"/>
      <c r="U71" s="24"/>
      <c r="V71" s="26"/>
      <c r="W71" s="26"/>
      <c r="AB71" s="1"/>
      <c r="AD71" s="1"/>
    </row>
    <row r="72" spans="1:30" x14ac:dyDescent="0.3">
      <c r="A72" s="47"/>
      <c r="B72" s="47"/>
      <c r="C72" s="47"/>
      <c r="D72" s="4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5"/>
      <c r="U72" s="24"/>
      <c r="V72" s="26"/>
      <c r="W72" s="26"/>
      <c r="AB72" s="1"/>
      <c r="AD72" s="1"/>
    </row>
    <row r="73" spans="1:30" x14ac:dyDescent="0.3">
      <c r="A73" s="47"/>
      <c r="B73" s="46"/>
      <c r="C73" s="46"/>
      <c r="D73" s="2314" t="s">
        <v>1163</v>
      </c>
      <c r="E73" s="2315"/>
      <c r="F73" s="2315"/>
      <c r="G73" s="231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5"/>
      <c r="U73" s="24"/>
      <c r="V73" s="26"/>
      <c r="W73" s="26"/>
      <c r="AB73" s="1"/>
      <c r="AD73" s="1"/>
    </row>
    <row r="74" spans="1:30" x14ac:dyDescent="0.3">
      <c r="A74" s="47" t="s">
        <v>1161</v>
      </c>
      <c r="B74" s="2175"/>
      <c r="C74" s="2175"/>
      <c r="D74" s="3">
        <v>0.60919540229885061</v>
      </c>
      <c r="E74" s="3">
        <v>0.16091954022988506</v>
      </c>
      <c r="F74" s="3">
        <v>0.22988505747126436</v>
      </c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29"/>
      <c r="V74" s="26"/>
      <c r="W74" s="26"/>
      <c r="AB74" s="1"/>
      <c r="AD74" s="1"/>
    </row>
    <row r="75" spans="1:30" x14ac:dyDescent="0.3">
      <c r="A75" s="47" t="s">
        <v>1162</v>
      </c>
      <c r="B75" s="2175"/>
      <c r="C75" s="2175"/>
      <c r="D75" s="2175">
        <v>0.66442953020134232</v>
      </c>
      <c r="E75" s="304">
        <v>0.16778523489932887</v>
      </c>
      <c r="F75" s="304">
        <v>0.16778523489932887</v>
      </c>
      <c r="G75" s="30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29"/>
      <c r="V75" s="26"/>
      <c r="W75" s="26"/>
      <c r="AB75" s="1"/>
      <c r="AD75" s="1"/>
    </row>
    <row r="76" spans="1:30" x14ac:dyDescent="0.3">
      <c r="A76" s="47" t="s">
        <v>550</v>
      </c>
      <c r="B76" s="2175"/>
      <c r="C76" s="2175"/>
      <c r="D76" s="2175">
        <v>0.57534246575342463</v>
      </c>
      <c r="E76" s="304">
        <v>0.17808219178082191</v>
      </c>
      <c r="F76" s="304">
        <v>0.24657534246575341</v>
      </c>
      <c r="G76" s="30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29"/>
      <c r="V76" s="26"/>
      <c r="W76" s="26"/>
      <c r="AB76" s="1"/>
      <c r="AD76" s="1"/>
    </row>
    <row r="77" spans="1:30" x14ac:dyDescent="0.3">
      <c r="A77" s="47" t="s">
        <v>679</v>
      </c>
      <c r="B77" s="2175"/>
      <c r="C77" s="2175"/>
      <c r="D77" s="2175">
        <v>0.64864864864864868</v>
      </c>
      <c r="E77" s="304">
        <v>0.1891891891891892</v>
      </c>
      <c r="F77" s="304">
        <v>0.16216216216216217</v>
      </c>
      <c r="G77" s="304"/>
    </row>
    <row r="78" spans="1:30" x14ac:dyDescent="0.3">
      <c r="A78" s="47" t="s">
        <v>568</v>
      </c>
      <c r="B78" s="47"/>
      <c r="C78" s="47"/>
      <c r="D78" s="2175">
        <v>0.68888888888888888</v>
      </c>
      <c r="E78" s="3">
        <v>0.13333333333333333</v>
      </c>
      <c r="F78" s="304">
        <v>0.17777777777777778</v>
      </c>
    </row>
    <row r="79" spans="1:30" x14ac:dyDescent="0.3">
      <c r="A79" s="47"/>
      <c r="B79" s="47"/>
      <c r="C79" s="47"/>
      <c r="D79" s="48"/>
    </row>
    <row r="80" spans="1:30" x14ac:dyDescent="0.3">
      <c r="A80" s="47"/>
      <c r="B80" s="47"/>
      <c r="C80" s="47"/>
      <c r="D80" s="48"/>
    </row>
    <row r="81" spans="1:7" x14ac:dyDescent="0.3">
      <c r="A81" s="47"/>
      <c r="B81" s="47"/>
      <c r="C81" s="47"/>
      <c r="D81" s="48"/>
    </row>
    <row r="82" spans="1:7" x14ac:dyDescent="0.3">
      <c r="A82" s="47"/>
      <c r="B82" s="46"/>
      <c r="C82" s="46"/>
      <c r="D82" s="2314" t="s">
        <v>1164</v>
      </c>
      <c r="E82" s="2315"/>
      <c r="F82" s="2315"/>
      <c r="G82" s="2316"/>
    </row>
    <row r="83" spans="1:7" x14ac:dyDescent="0.3">
      <c r="A83" s="47" t="s">
        <v>1161</v>
      </c>
      <c r="B83" s="2175"/>
      <c r="C83" s="2175"/>
      <c r="D83" s="2175">
        <v>0.28191489361702127</v>
      </c>
      <c r="E83" s="2175">
        <v>0.28723404255319152</v>
      </c>
      <c r="F83" s="2175">
        <v>0.21808510638297873</v>
      </c>
      <c r="G83" s="2175">
        <v>0.21276595744680851</v>
      </c>
    </row>
    <row r="84" spans="1:7" x14ac:dyDescent="0.3">
      <c r="A84" s="47" t="s">
        <v>1162</v>
      </c>
      <c r="B84" s="6"/>
      <c r="C84" s="6"/>
      <c r="D84" s="6">
        <v>0.28285714285714286</v>
      </c>
      <c r="E84" s="2175">
        <v>0.2857142857142857</v>
      </c>
      <c r="F84" s="2175">
        <v>0.21714285714285714</v>
      </c>
      <c r="G84" s="2175">
        <v>0.21428571428571427</v>
      </c>
    </row>
    <row r="85" spans="1:7" x14ac:dyDescent="0.3">
      <c r="A85" s="47" t="s">
        <v>550</v>
      </c>
      <c r="B85" s="2175"/>
      <c r="C85" s="2175"/>
      <c r="D85" s="2175">
        <v>0.36206896551724138</v>
      </c>
      <c r="E85" s="2175">
        <v>0.37068965517241381</v>
      </c>
      <c r="F85" s="2175">
        <v>0.26724137931034481</v>
      </c>
      <c r="G85" s="2175"/>
    </row>
    <row r="86" spans="1:7" x14ac:dyDescent="0.3">
      <c r="A86" s="47" t="s">
        <v>679</v>
      </c>
      <c r="B86" s="2175"/>
      <c r="C86" s="2175"/>
      <c r="D86" s="6">
        <v>0.36363636363636365</v>
      </c>
      <c r="E86" s="2175">
        <v>0.36868686868686867</v>
      </c>
      <c r="F86" s="2175">
        <v>0.26767676767676768</v>
      </c>
      <c r="G86" s="2175"/>
    </row>
    <row r="87" spans="1:7" x14ac:dyDescent="0.3">
      <c r="A87" s="47" t="s">
        <v>568</v>
      </c>
      <c r="B87" s="47"/>
      <c r="C87" s="47"/>
      <c r="D87" s="6">
        <v>0.34444444444444444</v>
      </c>
      <c r="E87" s="2175">
        <v>0.35555555555555557</v>
      </c>
      <c r="F87" s="2175">
        <v>0.3</v>
      </c>
      <c r="G87" s="217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223"/>
  <sheetViews>
    <sheetView workbookViewId="0"/>
  </sheetViews>
  <sheetFormatPr defaultRowHeight="14.4" x14ac:dyDescent="0.3"/>
  <sheetData>
    <row r="1" spans="1:22" ht="20.399999999999999" x14ac:dyDescent="0.35">
      <c r="A1" s="1099" t="s">
        <v>1196</v>
      </c>
    </row>
    <row r="2" spans="1:22" x14ac:dyDescent="0.3">
      <c r="A2" s="1085" t="s">
        <v>452</v>
      </c>
    </row>
    <row r="4" spans="1:22" x14ac:dyDescent="0.3">
      <c r="B4" s="1102"/>
    </row>
    <row r="5" spans="1:22" x14ac:dyDescent="0.3">
      <c r="B5" s="1102"/>
    </row>
    <row r="6" spans="1:22" x14ac:dyDescent="0.3">
      <c r="B6" s="1103"/>
      <c r="C6" s="1104"/>
      <c r="F6" s="1105"/>
      <c r="G6" s="1105"/>
      <c r="H6" s="1105"/>
      <c r="I6" s="1100"/>
    </row>
    <row r="7" spans="1:22" x14ac:dyDescent="0.3">
      <c r="A7" s="1106" t="s">
        <v>913</v>
      </c>
      <c r="B7" s="1107">
        <v>1554054.26</v>
      </c>
      <c r="C7" s="1108"/>
      <c r="F7" s="1105"/>
      <c r="G7" s="1105"/>
      <c r="H7" s="1105"/>
      <c r="I7" s="1100"/>
      <c r="V7" s="1100"/>
    </row>
    <row r="8" spans="1:22" x14ac:dyDescent="0.3">
      <c r="A8" s="1106" t="s">
        <v>914</v>
      </c>
      <c r="B8" s="1107">
        <v>1686091.09</v>
      </c>
      <c r="C8" s="1109"/>
      <c r="F8" s="1105"/>
      <c r="G8" s="1105"/>
      <c r="H8" s="1105"/>
      <c r="I8" s="1100"/>
    </row>
    <row r="9" spans="1:22" x14ac:dyDescent="0.3">
      <c r="C9" s="1109"/>
      <c r="F9" s="1105"/>
      <c r="G9" s="1105"/>
      <c r="H9" s="1105"/>
      <c r="I9" s="1100"/>
    </row>
    <row r="10" spans="1:22" x14ac:dyDescent="0.3">
      <c r="A10" s="1110" t="s">
        <v>915</v>
      </c>
      <c r="B10" s="1111">
        <v>2503860</v>
      </c>
      <c r="C10" s="1112"/>
      <c r="F10" s="1105"/>
      <c r="G10" s="1105"/>
      <c r="H10" s="1105"/>
      <c r="I10" s="1100"/>
    </row>
    <row r="11" spans="1:22" x14ac:dyDescent="0.3">
      <c r="A11" s="1106" t="s">
        <v>916</v>
      </c>
      <c r="B11" s="1107">
        <v>3338480</v>
      </c>
      <c r="C11" s="1101"/>
      <c r="F11" s="1105"/>
      <c r="G11" s="1105"/>
      <c r="H11" s="1105"/>
      <c r="I11" s="1100"/>
    </row>
    <row r="12" spans="1:22" x14ac:dyDescent="0.3">
      <c r="D12" s="1113"/>
      <c r="E12" s="1114"/>
      <c r="F12" s="1105"/>
      <c r="G12" s="1105"/>
      <c r="H12" s="1105"/>
      <c r="I12" s="1100"/>
    </row>
    <row r="13" spans="1:22" x14ac:dyDescent="0.3">
      <c r="F13" s="1105"/>
      <c r="G13" s="1105"/>
      <c r="H13" s="1105"/>
      <c r="I13" s="1100"/>
    </row>
    <row r="14" spans="1:22" x14ac:dyDescent="0.3">
      <c r="A14" s="1115" t="s">
        <v>457</v>
      </c>
      <c r="F14" s="1105"/>
      <c r="G14" s="1105"/>
      <c r="H14" s="1105"/>
      <c r="I14" s="1100"/>
    </row>
    <row r="15" spans="1:22" x14ac:dyDescent="0.3">
      <c r="A15" s="1116" t="s">
        <v>458</v>
      </c>
      <c r="B15" s="1116"/>
      <c r="C15" s="1116" t="s">
        <v>459</v>
      </c>
      <c r="D15" s="1116" t="s">
        <v>460</v>
      </c>
      <c r="E15" s="1116" t="s">
        <v>461</v>
      </c>
      <c r="F15" s="1105"/>
      <c r="G15" s="1105"/>
      <c r="H15" s="1105"/>
      <c r="I15" s="1100"/>
    </row>
    <row r="16" spans="1:22" x14ac:dyDescent="0.3">
      <c r="A16" s="1117" t="s">
        <v>606</v>
      </c>
      <c r="B16" s="1118" t="s">
        <v>463</v>
      </c>
      <c r="C16" s="1119">
        <v>0.37</v>
      </c>
      <c r="D16" s="1120">
        <v>926428.2</v>
      </c>
      <c r="E16" s="1120">
        <v>308809.39999999997</v>
      </c>
      <c r="F16" s="1105"/>
      <c r="G16" s="1105"/>
      <c r="H16" s="1105"/>
      <c r="I16" s="1100"/>
    </row>
    <row r="17" spans="1:33" x14ac:dyDescent="0.3">
      <c r="A17" s="1117" t="s">
        <v>607</v>
      </c>
      <c r="B17" s="1118" t="s">
        <v>465</v>
      </c>
      <c r="C17" s="1119">
        <v>0.41</v>
      </c>
      <c r="D17" s="1120">
        <v>1026582.6</v>
      </c>
      <c r="E17" s="1120">
        <v>256645.65</v>
      </c>
      <c r="F17" s="1105"/>
      <c r="G17" s="1105"/>
      <c r="H17" s="1105"/>
      <c r="I17" s="1100"/>
    </row>
    <row r="18" spans="1:33" x14ac:dyDescent="0.3">
      <c r="A18" s="1117" t="s">
        <v>608</v>
      </c>
      <c r="B18" s="1118">
        <v>3</v>
      </c>
      <c r="C18" s="1119">
        <v>0.22</v>
      </c>
      <c r="D18" s="1120">
        <v>550849.19999999995</v>
      </c>
      <c r="E18" s="1120">
        <v>137712.29999999999</v>
      </c>
      <c r="F18" s="1105"/>
      <c r="G18" s="1105"/>
      <c r="H18" s="1105"/>
      <c r="I18" s="1100"/>
    </row>
    <row r="19" spans="1:33" x14ac:dyDescent="0.3">
      <c r="B19" s="82" t="s">
        <v>467</v>
      </c>
      <c r="C19" s="1101">
        <v>1</v>
      </c>
      <c r="D19" s="1121">
        <v>2503860</v>
      </c>
      <c r="F19" s="1105"/>
      <c r="G19" s="1105"/>
      <c r="H19" s="1105"/>
      <c r="I19" s="1100"/>
    </row>
    <row r="20" spans="1:33" x14ac:dyDescent="0.3">
      <c r="F20" s="1105"/>
      <c r="G20" s="1105"/>
      <c r="H20" s="1105"/>
      <c r="I20" s="1100"/>
    </row>
    <row r="21" spans="1:33" x14ac:dyDescent="0.3">
      <c r="F21" s="1105"/>
      <c r="G21" s="1105"/>
      <c r="H21" s="1105"/>
      <c r="I21" s="1100"/>
    </row>
    <row r="22" spans="1:33" x14ac:dyDescent="0.3">
      <c r="A22" s="100" t="s">
        <v>769</v>
      </c>
      <c r="B22" s="769">
        <v>650877</v>
      </c>
      <c r="Q22" s="1122"/>
      <c r="R22" s="1122"/>
    </row>
    <row r="23" spans="1:33" x14ac:dyDescent="0.3">
      <c r="A23" s="714" t="s">
        <v>579</v>
      </c>
      <c r="B23" s="770">
        <v>365050</v>
      </c>
      <c r="E23" s="82" t="s">
        <v>470</v>
      </c>
      <c r="F23" s="83" t="s">
        <v>845</v>
      </c>
      <c r="H23" s="82" t="s">
        <v>472</v>
      </c>
      <c r="J23" s="1123">
        <v>0.56000000000000005</v>
      </c>
      <c r="K23" s="1123"/>
      <c r="L23" s="1124"/>
    </row>
    <row r="24" spans="1:33" x14ac:dyDescent="0.3">
      <c r="E24" s="82" t="s">
        <v>473</v>
      </c>
      <c r="F24" s="83" t="s">
        <v>917</v>
      </c>
      <c r="H24" s="82" t="s">
        <v>473</v>
      </c>
      <c r="J24" s="82">
        <v>41</v>
      </c>
      <c r="K24" s="82"/>
    </row>
    <row r="25" spans="1:33" x14ac:dyDescent="0.3">
      <c r="E25" s="82" t="s">
        <v>475</v>
      </c>
      <c r="F25" s="83" t="s">
        <v>918</v>
      </c>
      <c r="H25" s="82" t="s">
        <v>475</v>
      </c>
      <c r="J25" s="1102">
        <v>2270</v>
      </c>
      <c r="K25" s="1102"/>
      <c r="L25" s="1125"/>
      <c r="P25" s="1122"/>
    </row>
    <row r="26" spans="1:33" x14ac:dyDescent="0.3">
      <c r="E26" s="82" t="s">
        <v>477</v>
      </c>
      <c r="F26" s="83" t="s">
        <v>919</v>
      </c>
      <c r="H26" s="82" t="s">
        <v>477</v>
      </c>
      <c r="J26" s="1102">
        <v>7907075</v>
      </c>
      <c r="K26" s="1102"/>
      <c r="L26" s="1125"/>
      <c r="O26" s="1105"/>
      <c r="U26" s="1126"/>
    </row>
    <row r="27" spans="1:33" ht="18" x14ac:dyDescent="0.35">
      <c r="A27" s="1037" t="s">
        <v>479</v>
      </c>
      <c r="N27" s="1127"/>
      <c r="P27" s="1127"/>
      <c r="Q27" s="1127"/>
      <c r="R27" s="1101"/>
      <c r="S27" s="1127"/>
      <c r="T27" s="1127"/>
      <c r="U27" s="1127"/>
      <c r="V27" s="1127"/>
      <c r="W27" s="1127"/>
      <c r="X27" s="1127"/>
      <c r="Y27" s="1127"/>
      <c r="Z27" s="1127"/>
      <c r="AA27" s="1127"/>
      <c r="AB27" s="1127"/>
      <c r="AC27" s="1127"/>
      <c r="AD27" s="1127"/>
      <c r="AE27" s="1127"/>
      <c r="AF27" s="1127"/>
      <c r="AG27" s="1127"/>
    </row>
    <row r="28" spans="1:33" x14ac:dyDescent="0.3">
      <c r="N28" s="1127"/>
      <c r="P28" s="1127"/>
      <c r="Q28" s="1127"/>
      <c r="R28" s="1101"/>
      <c r="S28" s="1127"/>
      <c r="T28" s="1127"/>
      <c r="U28" s="1127"/>
      <c r="V28" s="1127"/>
      <c r="W28" s="1127"/>
      <c r="X28" s="1127"/>
      <c r="Y28" s="1127"/>
      <c r="Z28" s="1127"/>
      <c r="AA28" s="1127"/>
      <c r="AB28" s="1127"/>
      <c r="AC28" s="1127"/>
      <c r="AD28" s="1127"/>
      <c r="AE28" s="1127"/>
      <c r="AF28" s="1127"/>
      <c r="AG28" s="1127"/>
    </row>
    <row r="29" spans="1:33" x14ac:dyDescent="0.3">
      <c r="A29" s="2587" t="s">
        <v>480</v>
      </c>
      <c r="B29" s="2588"/>
      <c r="C29" s="2588"/>
      <c r="D29" s="2588"/>
      <c r="E29" s="2588"/>
      <c r="F29" s="2588"/>
      <c r="G29" s="2588"/>
      <c r="H29" s="2588"/>
      <c r="I29" s="2588"/>
      <c r="J29" s="2588"/>
      <c r="K29" s="2588"/>
      <c r="L29" s="2588"/>
      <c r="M29" s="2588"/>
      <c r="N29" s="2588"/>
      <c r="O29" s="2588"/>
      <c r="P29" s="2588"/>
      <c r="Q29" s="2588"/>
      <c r="R29" s="2588"/>
      <c r="S29" s="2589"/>
      <c r="T29" s="2708" t="s">
        <v>584</v>
      </c>
      <c r="U29" s="2709"/>
      <c r="V29" s="2709"/>
      <c r="W29" s="2709"/>
      <c r="X29" s="2709"/>
      <c r="Y29" s="2709"/>
      <c r="Z29" s="2709"/>
      <c r="AA29" s="2709"/>
      <c r="AB29" s="2709"/>
      <c r="AC29" s="2709"/>
      <c r="AD29" s="2709"/>
      <c r="AE29" s="2709"/>
      <c r="AF29" s="2709"/>
      <c r="AG29" s="2709"/>
    </row>
    <row r="30" spans="1:33" ht="78" x14ac:dyDescent="0.3">
      <c r="A30" s="2700" t="s">
        <v>482</v>
      </c>
      <c r="B30" s="2691" t="s">
        <v>483</v>
      </c>
      <c r="C30" s="2691" t="s">
        <v>484</v>
      </c>
      <c r="D30" s="2691" t="s">
        <v>485</v>
      </c>
      <c r="E30" s="2691" t="s">
        <v>486</v>
      </c>
      <c r="F30" s="2691" t="s">
        <v>487</v>
      </c>
      <c r="G30" s="2685" t="s">
        <v>488</v>
      </c>
      <c r="H30" s="2693" t="s">
        <v>489</v>
      </c>
      <c r="I30" s="2695" t="s">
        <v>490</v>
      </c>
      <c r="J30" s="2696"/>
      <c r="K30" s="2696"/>
      <c r="L30" s="2697"/>
      <c r="M30" s="2698" t="s">
        <v>863</v>
      </c>
      <c r="N30" s="2687" t="s">
        <v>864</v>
      </c>
      <c r="O30" s="2685" t="s">
        <v>865</v>
      </c>
      <c r="P30" s="2687" t="s">
        <v>866</v>
      </c>
      <c r="Q30" s="2687" t="s">
        <v>867</v>
      </c>
      <c r="R30" s="2689" t="s">
        <v>495</v>
      </c>
      <c r="S30" s="1128" t="s">
        <v>495</v>
      </c>
      <c r="T30" s="1129" t="s">
        <v>496</v>
      </c>
      <c r="U30" s="2703" t="s">
        <v>497</v>
      </c>
      <c r="V30" s="2703"/>
      <c r="W30" s="2703"/>
      <c r="X30" s="2703"/>
      <c r="Y30" s="2703"/>
      <c r="Z30" s="2702" t="s">
        <v>498</v>
      </c>
      <c r="AA30" s="2704"/>
      <c r="AB30" s="2702" t="s">
        <v>499</v>
      </c>
      <c r="AC30" s="2703"/>
      <c r="AD30" s="2703"/>
      <c r="AE30" s="2703"/>
      <c r="AF30" s="2703"/>
      <c r="AG30" s="2704"/>
    </row>
    <row r="31" spans="1:33" ht="15.6" x14ac:dyDescent="0.3">
      <c r="A31" s="2701"/>
      <c r="B31" s="2692"/>
      <c r="C31" s="2692"/>
      <c r="D31" s="2692"/>
      <c r="E31" s="2692"/>
      <c r="F31" s="2692"/>
      <c r="G31" s="2686"/>
      <c r="H31" s="2694"/>
      <c r="I31" s="1130" t="s">
        <v>500</v>
      </c>
      <c r="J31" s="1130" t="s">
        <v>501</v>
      </c>
      <c r="K31" s="1131" t="s">
        <v>502</v>
      </c>
      <c r="L31" s="1131" t="s">
        <v>503</v>
      </c>
      <c r="M31" s="2699"/>
      <c r="N31" s="2688"/>
      <c r="O31" s="2686"/>
      <c r="P31" s="2688"/>
      <c r="Q31" s="2688"/>
      <c r="R31" s="2690"/>
      <c r="S31" s="1132"/>
      <c r="T31" s="1133" t="s">
        <v>508</v>
      </c>
      <c r="U31" s="2706"/>
      <c r="V31" s="2706"/>
      <c r="W31" s="2706"/>
      <c r="X31" s="2706"/>
      <c r="Y31" s="2706"/>
      <c r="Z31" s="2705"/>
      <c r="AA31" s="2707"/>
      <c r="AB31" s="2705"/>
      <c r="AC31" s="2706"/>
      <c r="AD31" s="2706"/>
      <c r="AE31" s="2706"/>
      <c r="AF31" s="2706"/>
      <c r="AG31" s="2707"/>
    </row>
    <row r="32" spans="1:33" ht="18" x14ac:dyDescent="0.35">
      <c r="A32" s="2625" t="s">
        <v>509</v>
      </c>
      <c r="B32" s="2626"/>
      <c r="C32" s="2626"/>
      <c r="D32" s="2626"/>
      <c r="E32" s="2626"/>
      <c r="F32" s="2626"/>
      <c r="G32" s="2626"/>
      <c r="H32" s="2626"/>
      <c r="I32" s="2626"/>
      <c r="J32" s="2626"/>
      <c r="K32" s="2626"/>
      <c r="L32" s="2626"/>
      <c r="M32" s="2626"/>
      <c r="N32" s="2626"/>
      <c r="O32" s="2626"/>
      <c r="P32" s="2626"/>
      <c r="Q32" s="2626"/>
      <c r="R32" s="2626"/>
      <c r="S32" s="1090"/>
      <c r="T32" s="1090"/>
      <c r="U32" s="1040" t="s">
        <v>510</v>
      </c>
      <c r="V32" s="1041" t="s">
        <v>11</v>
      </c>
      <c r="W32" s="1041" t="s">
        <v>511</v>
      </c>
      <c r="X32" s="1041" t="s">
        <v>512</v>
      </c>
      <c r="Y32" s="1045" t="s">
        <v>513</v>
      </c>
      <c r="Z32" s="1042" t="s">
        <v>514</v>
      </c>
      <c r="AA32" s="1045" t="s">
        <v>515</v>
      </c>
      <c r="AB32" s="1040" t="s">
        <v>171</v>
      </c>
      <c r="AC32" s="1041" t="s">
        <v>12</v>
      </c>
      <c r="AD32" s="1041" t="s">
        <v>172</v>
      </c>
      <c r="AE32" s="1053" t="s">
        <v>173</v>
      </c>
      <c r="AF32" s="1044" t="s">
        <v>173</v>
      </c>
      <c r="AG32" s="1045" t="s">
        <v>173</v>
      </c>
    </row>
    <row r="33" spans="1:33" x14ac:dyDescent="0.3">
      <c r="A33" s="1134"/>
      <c r="B33" s="1135"/>
      <c r="C33" s="1135"/>
      <c r="D33" s="1135"/>
      <c r="E33" s="1135"/>
      <c r="F33" s="1136"/>
      <c r="G33" s="1135"/>
      <c r="H33" s="1135"/>
      <c r="I33" s="1137"/>
      <c r="J33" s="1138"/>
      <c r="K33" s="1138"/>
      <c r="L33" s="1139"/>
      <c r="M33" s="1140"/>
      <c r="N33" s="1141"/>
      <c r="O33" s="1142"/>
      <c r="P33" s="1141"/>
      <c r="Q33" s="1141"/>
      <c r="R33" s="1143"/>
      <c r="S33" s="1144"/>
      <c r="T33" s="1145"/>
      <c r="U33" s="1146"/>
      <c r="Y33" s="1147"/>
      <c r="Z33" s="1148"/>
      <c r="AA33" s="1149"/>
      <c r="AB33" s="1148"/>
      <c r="AC33" s="1139"/>
      <c r="AD33" s="1134"/>
      <c r="AE33" s="1150"/>
      <c r="AF33" s="1151"/>
      <c r="AG33" s="1147"/>
    </row>
    <row r="34" spans="1:33" x14ac:dyDescent="0.3">
      <c r="A34" s="1055"/>
      <c r="B34" s="1055"/>
      <c r="C34" s="1055"/>
      <c r="D34" s="1055"/>
      <c r="E34" s="1055"/>
      <c r="F34" s="1152"/>
      <c r="G34" s="1055"/>
      <c r="H34" s="1055"/>
      <c r="I34" s="1153"/>
      <c r="L34" s="1150"/>
      <c r="M34" s="1154"/>
      <c r="N34" s="1155"/>
      <c r="O34" s="1156"/>
      <c r="P34" s="1155"/>
      <c r="Q34" s="1155"/>
      <c r="R34" s="1157"/>
      <c r="S34" s="1158"/>
      <c r="T34" s="1159"/>
      <c r="U34" s="1160"/>
      <c r="V34" s="1161"/>
      <c r="W34" s="1161"/>
      <c r="X34" s="1161"/>
      <c r="Y34" s="1162"/>
      <c r="Z34" s="1163"/>
      <c r="AA34" s="1164"/>
      <c r="AB34" s="1163"/>
      <c r="AC34" s="1150"/>
      <c r="AD34" s="1151"/>
      <c r="AE34" s="1150"/>
      <c r="AF34" s="1151"/>
      <c r="AG34" s="1147"/>
    </row>
    <row r="35" spans="1:33" x14ac:dyDescent="0.3">
      <c r="A35" s="1055" t="s">
        <v>920</v>
      </c>
      <c r="B35" s="1055" t="s">
        <v>427</v>
      </c>
      <c r="C35" s="1055" t="s">
        <v>883</v>
      </c>
      <c r="D35" s="1055" t="s">
        <v>166</v>
      </c>
      <c r="E35" s="1055" t="s">
        <v>520</v>
      </c>
      <c r="F35" s="1152" t="s">
        <v>522</v>
      </c>
      <c r="G35" s="1055">
        <v>25</v>
      </c>
      <c r="H35" s="1055" t="s">
        <v>63</v>
      </c>
      <c r="I35" s="2627">
        <v>25</v>
      </c>
      <c r="J35" s="2628"/>
      <c r="L35" s="1150"/>
      <c r="M35" s="1154">
        <v>1</v>
      </c>
      <c r="N35" s="1165">
        <v>1875</v>
      </c>
      <c r="O35" s="1166">
        <v>0.06</v>
      </c>
      <c r="P35" s="1165">
        <f t="shared" ref="P35:P47" si="0">N35*(1-O35)</f>
        <v>1762.5</v>
      </c>
      <c r="Q35" s="1165">
        <f t="shared" ref="Q35:Q47" si="1">P35*M35*G35</f>
        <v>44062.5</v>
      </c>
      <c r="R35" s="1167" t="e">
        <f>(Q35+Q40)/E12*1000</f>
        <v>#DIV/0!</v>
      </c>
      <c r="S35" s="1168">
        <f t="shared" ref="S35:S47" si="2">Q35/$Q$56</f>
        <v>0.14247870786063885</v>
      </c>
      <c r="T35" s="1169">
        <f>Q35*2</f>
        <v>88125</v>
      </c>
      <c r="U35" s="1170">
        <f t="shared" ref="U35:U47" si="3">T35</f>
        <v>88125</v>
      </c>
      <c r="Y35" s="1147"/>
      <c r="Z35" s="1163">
        <f>T35</f>
        <v>88125</v>
      </c>
      <c r="AA35" s="1164"/>
      <c r="AB35" s="1163">
        <f>T35</f>
        <v>88125</v>
      </c>
      <c r="AC35" s="1150"/>
      <c r="AD35" s="1151"/>
      <c r="AE35" s="1150"/>
      <c r="AF35" s="1151"/>
      <c r="AG35" s="1147"/>
    </row>
    <row r="36" spans="1:33" x14ac:dyDescent="0.3">
      <c r="A36" s="1055" t="s">
        <v>920</v>
      </c>
      <c r="B36" s="1055" t="s">
        <v>427</v>
      </c>
      <c r="C36" s="1055" t="s">
        <v>884</v>
      </c>
      <c r="D36" s="1055" t="s">
        <v>26</v>
      </c>
      <c r="E36" s="1055" t="s">
        <v>520</v>
      </c>
      <c r="F36" s="1152" t="s">
        <v>541</v>
      </c>
      <c r="G36" s="1055">
        <v>1</v>
      </c>
      <c r="H36" s="1055" t="s">
        <v>24</v>
      </c>
      <c r="I36" s="2630">
        <v>1</v>
      </c>
      <c r="J36" s="2631"/>
      <c r="K36" s="2631"/>
      <c r="L36" s="2632"/>
      <c r="M36" s="1154">
        <v>1</v>
      </c>
      <c r="N36" s="1165">
        <v>6000</v>
      </c>
      <c r="O36" s="1166">
        <v>0.04</v>
      </c>
      <c r="P36" s="1165">
        <f t="shared" si="0"/>
        <v>5760</v>
      </c>
      <c r="Q36" s="1165">
        <f t="shared" si="1"/>
        <v>5760</v>
      </c>
      <c r="R36" s="1167" t="e">
        <f>(Q36+Q44)/E12*1000</f>
        <v>#DIV/0!</v>
      </c>
      <c r="S36" s="1168">
        <f t="shared" si="2"/>
        <v>1.8625301725441808E-2</v>
      </c>
      <c r="T36" s="1169">
        <f t="shared" ref="T36:T47" si="4">Q36*2</f>
        <v>11520</v>
      </c>
      <c r="U36" s="1170">
        <f t="shared" si="3"/>
        <v>11520</v>
      </c>
      <c r="V36" s="1161"/>
      <c r="X36" s="1161"/>
      <c r="Y36" s="1147"/>
      <c r="Z36" s="1163">
        <f>T36</f>
        <v>11520</v>
      </c>
      <c r="AA36" s="1171"/>
      <c r="AB36" s="1163">
        <f>T36</f>
        <v>11520</v>
      </c>
      <c r="AC36" s="1150"/>
      <c r="AD36" s="1151"/>
      <c r="AE36" s="1150"/>
      <c r="AF36" s="1151"/>
      <c r="AG36" s="1147"/>
    </row>
    <row r="37" spans="1:33" x14ac:dyDescent="0.3">
      <c r="A37" s="1055" t="s">
        <v>920</v>
      </c>
      <c r="B37" s="1055" t="s">
        <v>427</v>
      </c>
      <c r="C37" s="1055" t="s">
        <v>884</v>
      </c>
      <c r="D37" s="1055" t="s">
        <v>21</v>
      </c>
      <c r="E37" s="1055" t="s">
        <v>518</v>
      </c>
      <c r="F37" s="1152" t="s">
        <v>798</v>
      </c>
      <c r="G37" s="1055">
        <v>4</v>
      </c>
      <c r="H37" s="1055" t="s">
        <v>24</v>
      </c>
      <c r="I37" s="2627">
        <v>4</v>
      </c>
      <c r="J37" s="2628"/>
      <c r="K37" s="2628"/>
      <c r="L37" s="2629"/>
      <c r="M37" s="1154">
        <v>1</v>
      </c>
      <c r="N37" s="1165">
        <v>2875</v>
      </c>
      <c r="O37" s="1166">
        <v>0.05</v>
      </c>
      <c r="P37" s="1165">
        <f t="shared" si="0"/>
        <v>2731.25</v>
      </c>
      <c r="Q37" s="1165">
        <f t="shared" si="1"/>
        <v>10925</v>
      </c>
      <c r="R37" s="1167"/>
      <c r="S37" s="1172">
        <f t="shared" si="2"/>
        <v>3.5326635651120097E-2</v>
      </c>
      <c r="T37" s="1169">
        <f t="shared" si="4"/>
        <v>21850</v>
      </c>
      <c r="U37" s="1170">
        <f t="shared" si="3"/>
        <v>21850</v>
      </c>
      <c r="V37" s="1161"/>
      <c r="Y37" s="1147"/>
      <c r="Z37" s="1148"/>
      <c r="AA37" s="1164">
        <f>T37</f>
        <v>21850</v>
      </c>
      <c r="AB37" s="1163">
        <f>T37</f>
        <v>21850</v>
      </c>
      <c r="AC37" s="1150"/>
      <c r="AD37" s="1151"/>
      <c r="AE37" s="1150"/>
      <c r="AF37" s="1151"/>
      <c r="AG37" s="1147"/>
    </row>
    <row r="38" spans="1:33" x14ac:dyDescent="0.3">
      <c r="A38" s="1055" t="s">
        <v>920</v>
      </c>
      <c r="B38" s="1055" t="s">
        <v>409</v>
      </c>
      <c r="C38" s="1055" t="s">
        <v>884</v>
      </c>
      <c r="D38" s="1055" t="s">
        <v>21</v>
      </c>
      <c r="E38" s="1055" t="s">
        <v>518</v>
      </c>
      <c r="F38" s="1152" t="s">
        <v>798</v>
      </c>
      <c r="G38" s="1055">
        <v>3</v>
      </c>
      <c r="H38" s="1055" t="s">
        <v>24</v>
      </c>
      <c r="I38" s="2630">
        <v>3</v>
      </c>
      <c r="J38" s="2631"/>
      <c r="K38" s="2631"/>
      <c r="L38" s="2632"/>
      <c r="M38" s="1154">
        <v>1</v>
      </c>
      <c r="N38" s="1165">
        <v>27024.15</v>
      </c>
      <c r="O38" s="1166">
        <v>0.7</v>
      </c>
      <c r="P38" s="1165">
        <f t="shared" si="0"/>
        <v>8107.2450000000017</v>
      </c>
      <c r="Q38" s="1165">
        <f t="shared" si="1"/>
        <v>24321.735000000004</v>
      </c>
      <c r="R38" s="1167"/>
      <c r="S38" s="1172">
        <f t="shared" si="2"/>
        <v>7.8645773066187238E-2</v>
      </c>
      <c r="T38" s="1169">
        <f t="shared" si="4"/>
        <v>48643.470000000008</v>
      </c>
      <c r="U38" s="1170">
        <f t="shared" si="3"/>
        <v>48643.470000000008</v>
      </c>
      <c r="V38" s="1161"/>
      <c r="Y38" s="1147"/>
      <c r="Z38" s="1148"/>
      <c r="AA38" s="1164">
        <f>T38</f>
        <v>48643.470000000008</v>
      </c>
      <c r="AB38" s="1163"/>
      <c r="AC38" s="1173">
        <f>T38</f>
        <v>48643.470000000008</v>
      </c>
      <c r="AD38" s="1151"/>
      <c r="AE38" s="1150"/>
      <c r="AF38" s="1151"/>
      <c r="AG38" s="1147"/>
    </row>
    <row r="39" spans="1:33" x14ac:dyDescent="0.3">
      <c r="A39" s="1055" t="s">
        <v>920</v>
      </c>
      <c r="B39" s="1055" t="s">
        <v>427</v>
      </c>
      <c r="C39" s="1055" t="s">
        <v>884</v>
      </c>
      <c r="D39" s="1055" t="s">
        <v>29</v>
      </c>
      <c r="E39" s="1055" t="s">
        <v>520</v>
      </c>
      <c r="F39" s="1152" t="s">
        <v>521</v>
      </c>
      <c r="G39" s="1055">
        <v>2</v>
      </c>
      <c r="H39" s="1055" t="s">
        <v>24</v>
      </c>
      <c r="I39" s="2642">
        <v>2</v>
      </c>
      <c r="J39" s="2643"/>
      <c r="K39" s="2643"/>
      <c r="L39" s="2644"/>
      <c r="M39" s="1154">
        <v>1</v>
      </c>
      <c r="N39" s="1165">
        <v>16250</v>
      </c>
      <c r="O39" s="1166">
        <v>0.05</v>
      </c>
      <c r="P39" s="1165">
        <f t="shared" si="0"/>
        <v>15437.5</v>
      </c>
      <c r="Q39" s="1165">
        <f t="shared" si="1"/>
        <v>30875</v>
      </c>
      <c r="R39" s="1167"/>
      <c r="S39" s="1174">
        <f t="shared" si="2"/>
        <v>9.9836144231426366E-2</v>
      </c>
      <c r="T39" s="1169">
        <f t="shared" si="4"/>
        <v>61750</v>
      </c>
      <c r="U39" s="1170">
        <f t="shared" si="3"/>
        <v>61750</v>
      </c>
      <c r="V39" s="1161"/>
      <c r="Y39" s="1147"/>
      <c r="Z39" s="1163">
        <f>T39</f>
        <v>61750</v>
      </c>
      <c r="AA39" s="1164"/>
      <c r="AB39" s="1163">
        <f>T39</f>
        <v>61750</v>
      </c>
      <c r="AC39" s="1150"/>
      <c r="AD39" s="1151"/>
      <c r="AE39" s="1150"/>
      <c r="AF39" s="1151"/>
      <c r="AG39" s="1147"/>
    </row>
    <row r="40" spans="1:33" x14ac:dyDescent="0.3">
      <c r="A40" s="1055" t="s">
        <v>920</v>
      </c>
      <c r="B40" s="1055" t="s">
        <v>428</v>
      </c>
      <c r="C40" s="1055" t="s">
        <v>884</v>
      </c>
      <c r="D40" s="1055" t="s">
        <v>29</v>
      </c>
      <c r="E40" s="1055" t="s">
        <v>520</v>
      </c>
      <c r="F40" s="1152" t="s">
        <v>521</v>
      </c>
      <c r="G40" s="1055">
        <v>1</v>
      </c>
      <c r="H40" s="1055" t="s">
        <v>24</v>
      </c>
      <c r="I40" s="2630">
        <v>1</v>
      </c>
      <c r="J40" s="2631"/>
      <c r="K40" s="2631"/>
      <c r="L40" s="2632"/>
      <c r="M40" s="1154">
        <v>1</v>
      </c>
      <c r="N40" s="1165">
        <v>24500</v>
      </c>
      <c r="O40" s="1166">
        <v>0.05</v>
      </c>
      <c r="P40" s="1165">
        <f t="shared" si="0"/>
        <v>23275</v>
      </c>
      <c r="Q40" s="1165">
        <f t="shared" si="1"/>
        <v>23275</v>
      </c>
      <c r="R40" s="1167"/>
      <c r="S40" s="1174">
        <f t="shared" si="2"/>
        <v>7.5261093343690647E-2</v>
      </c>
      <c r="T40" s="1169">
        <f t="shared" si="4"/>
        <v>46550</v>
      </c>
      <c r="U40" s="1170">
        <f t="shared" si="3"/>
        <v>46550</v>
      </c>
      <c r="V40" s="1161"/>
      <c r="W40" s="1161"/>
      <c r="Y40" s="1147"/>
      <c r="Z40" s="1163">
        <f t="shared" ref="Z40:Z47" si="5">T40</f>
        <v>46550</v>
      </c>
      <c r="AA40" s="1164"/>
      <c r="AB40" s="1163"/>
      <c r="AC40" s="1150"/>
      <c r="AD40" s="1175">
        <f>T40</f>
        <v>46550</v>
      </c>
      <c r="AE40" s="1150"/>
      <c r="AF40" s="1151"/>
      <c r="AG40" s="1147"/>
    </row>
    <row r="41" spans="1:33" x14ac:dyDescent="0.3">
      <c r="A41" s="1055" t="s">
        <v>920</v>
      </c>
      <c r="B41" s="1055" t="s">
        <v>428</v>
      </c>
      <c r="C41" s="1055" t="s">
        <v>884</v>
      </c>
      <c r="D41" s="1055" t="s">
        <v>26</v>
      </c>
      <c r="E41" s="1055" t="s">
        <v>524</v>
      </c>
      <c r="F41" s="1152" t="s">
        <v>541</v>
      </c>
      <c r="G41" s="1055">
        <v>4</v>
      </c>
      <c r="H41" s="1055" t="s">
        <v>24</v>
      </c>
      <c r="I41" s="2642">
        <v>4</v>
      </c>
      <c r="J41" s="2643"/>
      <c r="K41" s="2643"/>
      <c r="L41" s="2644"/>
      <c r="M41" s="1055">
        <v>1</v>
      </c>
      <c r="N41" s="1165">
        <v>4800</v>
      </c>
      <c r="O41" s="1166">
        <v>0.05</v>
      </c>
      <c r="P41" s="1165">
        <f t="shared" si="0"/>
        <v>4560</v>
      </c>
      <c r="Q41" s="1165">
        <f t="shared" si="1"/>
        <v>18240</v>
      </c>
      <c r="R41" s="1167"/>
      <c r="S41" s="1174">
        <f t="shared" si="2"/>
        <v>5.8980122130565728E-2</v>
      </c>
      <c r="T41" s="1169">
        <f t="shared" si="4"/>
        <v>36480</v>
      </c>
      <c r="U41" s="1170">
        <f t="shared" si="3"/>
        <v>36480</v>
      </c>
      <c r="V41" s="1161"/>
      <c r="Y41" s="1147"/>
      <c r="Z41" s="1163">
        <f t="shared" si="5"/>
        <v>36480</v>
      </c>
      <c r="AA41" s="1164"/>
      <c r="AB41" s="1148"/>
      <c r="AC41" s="1150"/>
      <c r="AD41" s="1175">
        <f t="shared" ref="AD41:AD42" si="6">T41</f>
        <v>36480</v>
      </c>
      <c r="AE41" s="1150"/>
      <c r="AF41" s="1151"/>
      <c r="AG41" s="1147"/>
    </row>
    <row r="42" spans="1:33" x14ac:dyDescent="0.3">
      <c r="A42" s="1055" t="s">
        <v>920</v>
      </c>
      <c r="B42" s="1055" t="s">
        <v>428</v>
      </c>
      <c r="C42" s="1055" t="s">
        <v>884</v>
      </c>
      <c r="D42" s="1055" t="s">
        <v>429</v>
      </c>
      <c r="E42" s="1055" t="s">
        <v>520</v>
      </c>
      <c r="F42" s="1152" t="s">
        <v>521</v>
      </c>
      <c r="G42" s="1055">
        <v>1</v>
      </c>
      <c r="H42" s="1055" t="s">
        <v>24</v>
      </c>
      <c r="I42" s="2630">
        <v>1</v>
      </c>
      <c r="J42" s="2631"/>
      <c r="K42" s="2631"/>
      <c r="L42" s="2632"/>
      <c r="M42" s="1055">
        <v>1</v>
      </c>
      <c r="N42" s="1165">
        <v>23400</v>
      </c>
      <c r="O42" s="1166">
        <v>0.05</v>
      </c>
      <c r="P42" s="1165">
        <f t="shared" si="0"/>
        <v>22230</v>
      </c>
      <c r="Q42" s="1165">
        <f t="shared" si="1"/>
        <v>22230</v>
      </c>
      <c r="R42" s="1167"/>
      <c r="S42" s="1174">
        <f t="shared" si="2"/>
        <v>7.188202384662698E-2</v>
      </c>
      <c r="T42" s="1169">
        <f t="shared" si="4"/>
        <v>44460</v>
      </c>
      <c r="U42" s="1170">
        <f t="shared" si="3"/>
        <v>44460</v>
      </c>
      <c r="V42" s="1161"/>
      <c r="Y42" s="1147"/>
      <c r="Z42" s="1163">
        <f t="shared" si="5"/>
        <v>44460</v>
      </c>
      <c r="AA42" s="1149"/>
      <c r="AB42" s="1163"/>
      <c r="AC42" s="1150"/>
      <c r="AD42" s="1175">
        <f t="shared" si="6"/>
        <v>44460</v>
      </c>
      <c r="AE42" s="1150"/>
      <c r="AF42" s="1151"/>
      <c r="AG42" s="1147"/>
    </row>
    <row r="43" spans="1:33" x14ac:dyDescent="0.3">
      <c r="A43" s="1055" t="s">
        <v>920</v>
      </c>
      <c r="B43" s="1055" t="s">
        <v>430</v>
      </c>
      <c r="C43" s="1055" t="s">
        <v>884</v>
      </c>
      <c r="D43" s="1055" t="s">
        <v>26</v>
      </c>
      <c r="E43" s="1055" t="s">
        <v>524</v>
      </c>
      <c r="F43" s="1152" t="s">
        <v>541</v>
      </c>
      <c r="G43" s="1055">
        <v>2</v>
      </c>
      <c r="H43" s="1055" t="s">
        <v>24</v>
      </c>
      <c r="I43" s="2627">
        <v>2</v>
      </c>
      <c r="J43" s="2628"/>
      <c r="K43" s="2628"/>
      <c r="L43" s="2629"/>
      <c r="M43" s="1055">
        <v>1</v>
      </c>
      <c r="N43" s="1165">
        <v>12555</v>
      </c>
      <c r="O43" s="1166">
        <v>0.6</v>
      </c>
      <c r="P43" s="1176">
        <f t="shared" si="0"/>
        <v>5022</v>
      </c>
      <c r="Q43" s="1165">
        <f t="shared" si="1"/>
        <v>10044</v>
      </c>
      <c r="R43" s="1167"/>
      <c r="S43" s="1174">
        <f t="shared" si="2"/>
        <v>3.2477869883739158E-2</v>
      </c>
      <c r="T43" s="1169">
        <f t="shared" si="4"/>
        <v>20088</v>
      </c>
      <c r="U43" s="1170">
        <f t="shared" si="3"/>
        <v>20088</v>
      </c>
      <c r="V43" s="1161"/>
      <c r="Y43" s="1147"/>
      <c r="Z43" s="1163">
        <f t="shared" si="5"/>
        <v>20088</v>
      </c>
      <c r="AA43" s="1164"/>
      <c r="AB43" s="1148"/>
      <c r="AC43" s="1150"/>
      <c r="AD43" s="1151"/>
      <c r="AE43" s="1173">
        <f>T43</f>
        <v>20088</v>
      </c>
      <c r="AF43" s="1175"/>
      <c r="AG43" s="1162">
        <f>V43</f>
        <v>0</v>
      </c>
    </row>
    <row r="44" spans="1:33" x14ac:dyDescent="0.3">
      <c r="A44" s="1055" t="s">
        <v>920</v>
      </c>
      <c r="B44" s="1055" t="s">
        <v>430</v>
      </c>
      <c r="C44" s="1055" t="s">
        <v>884</v>
      </c>
      <c r="D44" s="1055" t="s">
        <v>166</v>
      </c>
      <c r="E44" s="1055" t="s">
        <v>520</v>
      </c>
      <c r="F44" s="1152" t="s">
        <v>522</v>
      </c>
      <c r="G44" s="1055">
        <v>15</v>
      </c>
      <c r="H44" s="1055" t="s">
        <v>24</v>
      </c>
      <c r="I44" s="1153"/>
      <c r="K44" s="2631">
        <v>15</v>
      </c>
      <c r="L44" s="2632"/>
      <c r="M44" s="1055">
        <v>1</v>
      </c>
      <c r="N44" s="1165">
        <v>4075</v>
      </c>
      <c r="O44" s="1166">
        <v>0.6</v>
      </c>
      <c r="P44" s="1176">
        <f t="shared" si="0"/>
        <v>1630</v>
      </c>
      <c r="Q44" s="1165">
        <f t="shared" si="1"/>
        <v>24450</v>
      </c>
      <c r="R44" s="1167"/>
      <c r="S44" s="1174">
        <f t="shared" si="2"/>
        <v>7.9060525553307684E-2</v>
      </c>
      <c r="T44" s="1169">
        <f t="shared" si="4"/>
        <v>48900</v>
      </c>
      <c r="U44" s="1170">
        <f t="shared" si="3"/>
        <v>48900</v>
      </c>
      <c r="V44" s="1161"/>
      <c r="W44" s="1161"/>
      <c r="Y44" s="1147"/>
      <c r="Z44" s="1163">
        <f t="shared" si="5"/>
        <v>48900</v>
      </c>
      <c r="AA44" s="1164"/>
      <c r="AB44" s="1148"/>
      <c r="AC44" s="1150"/>
      <c r="AD44" s="1151"/>
      <c r="AE44" s="1173">
        <f t="shared" ref="AE44:AG47" si="7">T44</f>
        <v>48900</v>
      </c>
      <c r="AF44" s="1175"/>
      <c r="AG44" s="1162">
        <f t="shared" si="7"/>
        <v>0</v>
      </c>
    </row>
    <row r="45" spans="1:33" x14ac:dyDescent="0.3">
      <c r="A45" s="1055" t="s">
        <v>920</v>
      </c>
      <c r="B45" s="1055" t="s">
        <v>430</v>
      </c>
      <c r="C45" s="1055" t="s">
        <v>884</v>
      </c>
      <c r="D45" s="1055" t="s">
        <v>21</v>
      </c>
      <c r="E45" s="1055" t="s">
        <v>518</v>
      </c>
      <c r="F45" s="1152" t="s">
        <v>798</v>
      </c>
      <c r="G45" s="1055">
        <v>3</v>
      </c>
      <c r="H45" s="1055" t="s">
        <v>24</v>
      </c>
      <c r="I45" s="2627">
        <v>2</v>
      </c>
      <c r="J45" s="2628"/>
      <c r="K45" s="2628"/>
      <c r="L45" s="2629"/>
      <c r="M45" s="1055">
        <v>1</v>
      </c>
      <c r="N45" s="1165">
        <v>10005</v>
      </c>
      <c r="O45" s="1166">
        <v>0.5</v>
      </c>
      <c r="P45" s="1176">
        <f t="shared" si="0"/>
        <v>5002.5</v>
      </c>
      <c r="Q45" s="1165">
        <f t="shared" si="1"/>
        <v>15007.5</v>
      </c>
      <c r="R45" s="1167"/>
      <c r="S45" s="1172">
        <f t="shared" si="2"/>
        <v>4.8527641604959711E-2</v>
      </c>
      <c r="T45" s="1169">
        <f t="shared" si="4"/>
        <v>30015</v>
      </c>
      <c r="U45" s="1170">
        <f t="shared" si="3"/>
        <v>30015</v>
      </c>
      <c r="V45" s="1161"/>
      <c r="Y45" s="1147"/>
      <c r="Z45" s="1148"/>
      <c r="AA45" s="1164">
        <f>T45</f>
        <v>30015</v>
      </c>
      <c r="AB45" s="1148"/>
      <c r="AC45" s="1150"/>
      <c r="AD45" s="1151"/>
      <c r="AE45" s="1173">
        <f t="shared" si="7"/>
        <v>30015</v>
      </c>
      <c r="AF45" s="1175"/>
      <c r="AG45" s="1162">
        <f t="shared" si="7"/>
        <v>0</v>
      </c>
    </row>
    <row r="46" spans="1:33" x14ac:dyDescent="0.3">
      <c r="A46" s="1055" t="s">
        <v>920</v>
      </c>
      <c r="B46" s="1055" t="s">
        <v>430</v>
      </c>
      <c r="C46" s="1055" t="s">
        <v>884</v>
      </c>
      <c r="D46" s="1055" t="s">
        <v>26</v>
      </c>
      <c r="E46" s="1055" t="s">
        <v>520</v>
      </c>
      <c r="F46" s="1152" t="s">
        <v>541</v>
      </c>
      <c r="G46" s="1055">
        <v>2</v>
      </c>
      <c r="H46" s="1055" t="s">
        <v>24</v>
      </c>
      <c r="I46" s="2627">
        <v>2</v>
      </c>
      <c r="J46" s="2628"/>
      <c r="K46" s="2628"/>
      <c r="L46" s="2629"/>
      <c r="M46" s="1055">
        <v>1</v>
      </c>
      <c r="N46" s="1165">
        <v>12555</v>
      </c>
      <c r="O46" s="1166">
        <v>0.6</v>
      </c>
      <c r="P46" s="1176">
        <f t="shared" si="0"/>
        <v>5022</v>
      </c>
      <c r="Q46" s="1165">
        <f t="shared" si="1"/>
        <v>10044</v>
      </c>
      <c r="R46" s="1167"/>
      <c r="S46" s="1168">
        <f t="shared" si="2"/>
        <v>3.2477869883739158E-2</v>
      </c>
      <c r="T46" s="1169">
        <f t="shared" si="4"/>
        <v>20088</v>
      </c>
      <c r="U46" s="1170">
        <f t="shared" si="3"/>
        <v>20088</v>
      </c>
      <c r="V46" s="1161"/>
      <c r="Y46" s="1147"/>
      <c r="Z46" s="1163">
        <f t="shared" si="5"/>
        <v>20088</v>
      </c>
      <c r="AA46" s="1149"/>
      <c r="AB46" s="1148"/>
      <c r="AC46" s="1150"/>
      <c r="AD46" s="1151"/>
      <c r="AE46" s="1173">
        <f t="shared" si="7"/>
        <v>20088</v>
      </c>
      <c r="AF46" s="1175"/>
      <c r="AG46" s="1162">
        <f t="shared" si="7"/>
        <v>0</v>
      </c>
    </row>
    <row r="47" spans="1:33" x14ac:dyDescent="0.3">
      <c r="A47" s="1055" t="s">
        <v>920</v>
      </c>
      <c r="B47" s="1055" t="s">
        <v>430</v>
      </c>
      <c r="C47" s="1055" t="s">
        <v>884</v>
      </c>
      <c r="D47" s="1055" t="s">
        <v>29</v>
      </c>
      <c r="E47" s="1055" t="s">
        <v>520</v>
      </c>
      <c r="F47" s="1152" t="s">
        <v>521</v>
      </c>
      <c r="G47" s="1055">
        <v>1</v>
      </c>
      <c r="H47" s="1055" t="s">
        <v>24</v>
      </c>
      <c r="I47" s="2627">
        <v>1</v>
      </c>
      <c r="J47" s="2628"/>
      <c r="K47" s="2628"/>
      <c r="L47" s="2629"/>
      <c r="M47" s="1055">
        <v>1</v>
      </c>
      <c r="N47" s="1165">
        <v>62555</v>
      </c>
      <c r="O47" s="1166">
        <v>0.6</v>
      </c>
      <c r="P47" s="1176">
        <f t="shared" si="0"/>
        <v>25022</v>
      </c>
      <c r="Q47" s="1165">
        <f t="shared" si="1"/>
        <v>25022</v>
      </c>
      <c r="R47" s="1167"/>
      <c r="S47" s="1168">
        <f t="shared" si="2"/>
        <v>8.0910121488542527E-2</v>
      </c>
      <c r="T47" s="1169">
        <f t="shared" si="4"/>
        <v>50044</v>
      </c>
      <c r="U47" s="1170">
        <f t="shared" si="3"/>
        <v>50044</v>
      </c>
      <c r="V47" s="1161"/>
      <c r="Y47" s="1147"/>
      <c r="Z47" s="1163">
        <f t="shared" si="5"/>
        <v>50044</v>
      </c>
      <c r="AA47" s="1149"/>
      <c r="AB47" s="1148"/>
      <c r="AC47" s="1150"/>
      <c r="AD47" s="1151"/>
      <c r="AE47" s="1173">
        <f t="shared" si="7"/>
        <v>50044</v>
      </c>
      <c r="AF47" s="1175"/>
      <c r="AG47" s="1162">
        <f t="shared" si="7"/>
        <v>0</v>
      </c>
    </row>
    <row r="48" spans="1:33" x14ac:dyDescent="0.3">
      <c r="A48" s="1055"/>
      <c r="B48" s="1055"/>
      <c r="C48" s="1055"/>
      <c r="D48" s="1055"/>
      <c r="E48" s="1055"/>
      <c r="F48" s="1152"/>
      <c r="G48" s="1055"/>
      <c r="H48" s="1055"/>
      <c r="L48" s="1150"/>
      <c r="M48" s="1055"/>
      <c r="N48" s="1165"/>
      <c r="O48" s="1166"/>
      <c r="P48" s="1176"/>
      <c r="Q48" s="1165"/>
      <c r="R48" s="1167"/>
      <c r="S48" s="1177"/>
      <c r="T48" s="1169"/>
      <c r="U48" s="1170"/>
      <c r="Y48" s="1147"/>
      <c r="Z48" s="1148"/>
      <c r="AA48" s="1149"/>
      <c r="AB48" s="1148"/>
      <c r="AC48" s="1150"/>
      <c r="AD48" s="1151"/>
      <c r="AE48" s="1150"/>
      <c r="AF48" s="1151"/>
      <c r="AG48" s="1147"/>
    </row>
    <row r="49" spans="1:33" x14ac:dyDescent="0.3">
      <c r="A49" s="1055"/>
      <c r="B49" s="1055"/>
      <c r="C49" s="1055"/>
      <c r="D49" s="1055"/>
      <c r="E49" s="1055"/>
      <c r="F49" s="1152"/>
      <c r="G49" s="1055"/>
      <c r="H49" s="1055"/>
      <c r="L49" s="1150"/>
      <c r="M49" s="1055"/>
      <c r="N49" s="1165"/>
      <c r="O49" s="1166"/>
      <c r="P49" s="1176"/>
      <c r="Q49" s="1165"/>
      <c r="R49" s="1167"/>
      <c r="S49" s="1177"/>
      <c r="T49" s="1169"/>
      <c r="U49" s="1170"/>
      <c r="Y49" s="1147"/>
      <c r="Z49" s="1148"/>
      <c r="AA49" s="1149"/>
      <c r="AB49" s="1148"/>
      <c r="AC49" s="1150"/>
      <c r="AD49" s="1151"/>
      <c r="AE49" s="1150"/>
      <c r="AF49" s="1151"/>
      <c r="AG49" s="1147"/>
    </row>
    <row r="50" spans="1:33" x14ac:dyDescent="0.3">
      <c r="A50" s="1055"/>
      <c r="B50" s="1055"/>
      <c r="C50" s="1055"/>
      <c r="D50" s="1055"/>
      <c r="E50" s="1055"/>
      <c r="F50" s="1152"/>
      <c r="G50" s="1055"/>
      <c r="H50" s="1055"/>
      <c r="L50" s="1150"/>
      <c r="M50" s="1055"/>
      <c r="N50" s="1165"/>
      <c r="O50" s="1166"/>
      <c r="P50" s="1176"/>
      <c r="Q50" s="1165"/>
      <c r="R50" s="1167"/>
      <c r="S50" s="1177"/>
      <c r="T50" s="1169"/>
      <c r="U50" s="1170"/>
      <c r="Y50" s="1147"/>
      <c r="Z50" s="1148"/>
      <c r="AA50" s="1149"/>
      <c r="AB50" s="1148"/>
      <c r="AC50" s="1150"/>
      <c r="AD50" s="1151"/>
      <c r="AE50" s="1150"/>
      <c r="AF50" s="1151"/>
      <c r="AG50" s="1147"/>
    </row>
    <row r="51" spans="1:33" x14ac:dyDescent="0.3">
      <c r="A51" s="1055"/>
      <c r="B51" s="1055"/>
      <c r="C51" s="1055"/>
      <c r="D51" s="1055"/>
      <c r="E51" s="1055"/>
      <c r="F51" s="1152"/>
      <c r="G51" s="1055"/>
      <c r="H51" s="1055"/>
      <c r="L51" s="1150"/>
      <c r="M51" s="1055"/>
      <c r="N51" s="1165"/>
      <c r="O51" s="1166"/>
      <c r="P51" s="1176"/>
      <c r="Q51" s="1165"/>
      <c r="R51" s="1167"/>
      <c r="S51" s="1177"/>
      <c r="T51" s="1169"/>
      <c r="U51" s="1170"/>
      <c r="Y51" s="1147"/>
      <c r="Z51" s="1148"/>
      <c r="AA51" s="1149"/>
      <c r="AB51" s="1148"/>
      <c r="AC51" s="1150"/>
      <c r="AD51" s="1151"/>
      <c r="AE51" s="1150"/>
      <c r="AF51" s="1151"/>
      <c r="AG51" s="1147"/>
    </row>
    <row r="52" spans="1:33" x14ac:dyDescent="0.3">
      <c r="A52" s="1151"/>
      <c r="B52" s="1055"/>
      <c r="C52" s="1178"/>
      <c r="D52" s="1178"/>
      <c r="E52" s="1178"/>
      <c r="F52" s="1179"/>
      <c r="G52" s="1178"/>
      <c r="H52" s="1178"/>
      <c r="I52" s="1180"/>
      <c r="J52" s="1180"/>
      <c r="K52" s="1180"/>
      <c r="L52" s="1181"/>
      <c r="M52" s="1178"/>
      <c r="N52" s="1182"/>
      <c r="O52" s="1183"/>
      <c r="P52" s="1184"/>
      <c r="Q52" s="1165"/>
      <c r="R52" s="1167"/>
      <c r="S52" s="1177"/>
      <c r="T52" s="1169"/>
      <c r="U52" s="1170"/>
      <c r="Y52" s="1147"/>
      <c r="Z52" s="1148"/>
      <c r="AA52" s="1149"/>
      <c r="AB52" s="1148"/>
      <c r="AC52" s="1150"/>
      <c r="AD52" s="1151"/>
      <c r="AE52" s="1150"/>
      <c r="AF52" s="1151"/>
      <c r="AG52" s="1147"/>
    </row>
    <row r="53" spans="1:33" x14ac:dyDescent="0.3">
      <c r="A53" s="1118" t="s">
        <v>921</v>
      </c>
      <c r="B53" s="1118" t="s">
        <v>528</v>
      </c>
      <c r="C53" s="1185"/>
      <c r="D53" s="1186"/>
      <c r="E53" s="1186"/>
      <c r="F53" s="1187"/>
      <c r="G53" s="1186"/>
      <c r="H53" s="1186"/>
      <c r="I53" s="1180"/>
      <c r="J53" s="1180"/>
      <c r="K53" s="1180"/>
      <c r="L53" s="1180"/>
      <c r="M53" s="1186"/>
      <c r="N53" s="1188"/>
      <c r="O53" s="1189"/>
      <c r="P53" s="1184"/>
      <c r="Q53" s="1190"/>
      <c r="R53" s="1191"/>
      <c r="S53" s="1192">
        <f>Q53/Q56</f>
        <v>0</v>
      </c>
      <c r="T53" s="1169">
        <f t="shared" ref="T53:T54" si="8">Q53*2</f>
        <v>0</v>
      </c>
      <c r="U53" s="1170">
        <f t="shared" ref="U53" si="9">Q53*2</f>
        <v>0</v>
      </c>
      <c r="Y53" s="1162">
        <f>U53</f>
        <v>0</v>
      </c>
      <c r="Z53" s="1148"/>
      <c r="AA53" s="1149"/>
      <c r="AB53" s="1148"/>
      <c r="AC53" s="1150"/>
      <c r="AD53" s="1151"/>
      <c r="AE53" s="1150"/>
      <c r="AF53" s="1151"/>
      <c r="AG53" s="1147"/>
    </row>
    <row r="54" spans="1:33" x14ac:dyDescent="0.3">
      <c r="A54" s="1118" t="s">
        <v>921</v>
      </c>
      <c r="B54" s="1118" t="s">
        <v>529</v>
      </c>
      <c r="C54" s="1193"/>
      <c r="D54" s="1194"/>
      <c r="E54" s="1194"/>
      <c r="F54" s="1195"/>
      <c r="G54" s="1194"/>
      <c r="H54" s="1194"/>
      <c r="I54" s="1196"/>
      <c r="J54" s="1196"/>
      <c r="K54" s="1196"/>
      <c r="L54" s="1196"/>
      <c r="M54" s="1194"/>
      <c r="N54" s="1191"/>
      <c r="O54" s="1197"/>
      <c r="P54" s="1198"/>
      <c r="Q54" s="1190">
        <v>45000</v>
      </c>
      <c r="R54" s="1199"/>
      <c r="S54" s="1192">
        <f>Q54/Q56</f>
        <v>0.14551016973001413</v>
      </c>
      <c r="T54" s="1169">
        <f t="shared" si="8"/>
        <v>90000</v>
      </c>
      <c r="U54" s="1170"/>
      <c r="Y54" s="1162">
        <f>T54</f>
        <v>90000</v>
      </c>
      <c r="Z54" s="1163"/>
      <c r="AA54" s="1149"/>
      <c r="AB54" s="1148"/>
      <c r="AC54" s="1150"/>
      <c r="AD54" s="1151"/>
      <c r="AE54" s="1150"/>
      <c r="AF54" s="1151"/>
      <c r="AG54" s="1147"/>
    </row>
    <row r="55" spans="1:33" x14ac:dyDescent="0.3">
      <c r="I55" s="1122">
        <f>I56/M56</f>
        <v>0.76190476190476186</v>
      </c>
      <c r="K55" s="1122">
        <f>K56/M56</f>
        <v>0.23809523809523808</v>
      </c>
      <c r="S55" s="1177"/>
      <c r="T55" s="1200"/>
      <c r="U55" s="1201"/>
      <c r="V55" s="1180"/>
      <c r="W55" s="1180"/>
      <c r="X55" s="1180"/>
      <c r="Y55" s="1202"/>
      <c r="Z55" s="1203"/>
      <c r="AA55" s="1204"/>
      <c r="AB55" s="1203"/>
      <c r="AC55" s="1181"/>
      <c r="AD55" s="1205"/>
      <c r="AE55" s="1181"/>
      <c r="AF55" s="1205"/>
      <c r="AG55" s="1202"/>
    </row>
    <row r="56" spans="1:33" x14ac:dyDescent="0.3">
      <c r="A56" s="1206" t="s">
        <v>531</v>
      </c>
      <c r="B56" s="1207"/>
      <c r="C56" s="1207"/>
      <c r="D56" s="1207"/>
      <c r="E56" s="1207"/>
      <c r="F56" s="1208"/>
      <c r="G56" s="1207"/>
      <c r="H56" s="1207"/>
      <c r="I56" s="1207">
        <f>+I43+I41+I40+I39+I37+I36+I35+I38+I45+I46+I47+I42</f>
        <v>48</v>
      </c>
      <c r="J56" s="1207"/>
      <c r="K56" s="1207">
        <f>K44</f>
        <v>15</v>
      </c>
      <c r="L56" s="1207"/>
      <c r="M56" s="1207">
        <f>SUM(I56:L56)</f>
        <v>63</v>
      </c>
      <c r="N56" s="1209"/>
      <c r="O56" s="1210"/>
      <c r="P56" s="1209"/>
      <c r="Q56" s="1211">
        <f>SUM(Q33:Q55)</f>
        <v>309256.73499999999</v>
      </c>
      <c r="R56" s="1212"/>
      <c r="S56" s="1213">
        <f>SUM(S34:S54)</f>
        <v>1</v>
      </c>
      <c r="T56" s="1214">
        <f>SUM(T33:T55)</f>
        <v>618513.47</v>
      </c>
      <c r="U56" s="1215">
        <f>SUM(U34:U55)</f>
        <v>528513.47</v>
      </c>
      <c r="V56" s="1216">
        <f>SUM(V34:V54)</f>
        <v>0</v>
      </c>
      <c r="W56" s="1216">
        <f t="shared" ref="W56:AA56" si="10">SUM(W34:W54)</f>
        <v>0</v>
      </c>
      <c r="X56" s="1216">
        <f t="shared" si="10"/>
        <v>0</v>
      </c>
      <c r="Y56" s="1217">
        <f>SUM(Y34:Y54)</f>
        <v>90000</v>
      </c>
      <c r="Z56" s="1215">
        <f t="shared" si="10"/>
        <v>428005</v>
      </c>
      <c r="AA56" s="1218">
        <f t="shared" si="10"/>
        <v>100508.47</v>
      </c>
      <c r="AB56" s="1219">
        <f t="shared" ref="AB56:AG56" si="11">SUM(AB33:AB55)</f>
        <v>183245</v>
      </c>
      <c r="AC56" s="1220">
        <f t="shared" si="11"/>
        <v>48643.470000000008</v>
      </c>
      <c r="AD56" s="1220">
        <f t="shared" si="11"/>
        <v>127490</v>
      </c>
      <c r="AE56" s="1220">
        <f t="shared" si="11"/>
        <v>169135</v>
      </c>
      <c r="AF56" s="1221">
        <f t="shared" si="11"/>
        <v>0</v>
      </c>
      <c r="AG56" s="1217">
        <f t="shared" si="11"/>
        <v>0</v>
      </c>
    </row>
    <row r="57" spans="1:33" x14ac:dyDescent="0.3">
      <c r="A57" s="1222" t="s">
        <v>532</v>
      </c>
      <c r="B57" s="1223"/>
      <c r="C57" s="1223"/>
      <c r="D57" s="1223"/>
      <c r="E57" s="1223"/>
      <c r="F57" s="1224"/>
      <c r="G57" s="1223"/>
      <c r="H57" s="1223"/>
      <c r="I57" s="1223">
        <f>+I43+I41+I40+I39+I37+I36+I35+I45+I46+I47+I42</f>
        <v>45</v>
      </c>
      <c r="J57" s="1223">
        <f>I47+I46+I45+I43+I42+I41+I40+I39+I38+I37+I36+I35</f>
        <v>48</v>
      </c>
      <c r="K57" s="1223">
        <f>I47+I45+I46+K44+I43+I42+I41+I40+I39+I38+I37+I36</f>
        <v>38</v>
      </c>
      <c r="L57" s="1223">
        <f>I47+I46+I45+K44+I43+I42+I41+I40+I39+I38+I37+I36</f>
        <v>38</v>
      </c>
      <c r="M57" s="1223">
        <f>SUM(I57:L57)</f>
        <v>169</v>
      </c>
      <c r="N57" s="1225"/>
      <c r="O57" s="1226"/>
      <c r="P57" s="1225"/>
      <c r="Q57" s="1227"/>
      <c r="R57" s="1228"/>
      <c r="S57" s="1229"/>
      <c r="T57" s="1230"/>
      <c r="U57" s="1231"/>
      <c r="V57" s="1232"/>
      <c r="W57" s="1232"/>
      <c r="X57" s="1232"/>
      <c r="Y57" s="1233"/>
      <c r="Z57" s="1234">
        <f>Z56/U56</f>
        <v>0.80982798792242705</v>
      </c>
      <c r="AA57" s="1235">
        <f>AA56/U56</f>
        <v>0.19017201207757298</v>
      </c>
      <c r="AB57" s="1236"/>
      <c r="AC57" s="1237"/>
      <c r="AD57" s="1238"/>
      <c r="AE57" s="1239"/>
      <c r="AF57" s="1238"/>
      <c r="AG57" s="1240"/>
    </row>
    <row r="58" spans="1:33" x14ac:dyDescent="0.3">
      <c r="A58" s="1241" t="s">
        <v>533</v>
      </c>
      <c r="B58" s="1186"/>
      <c r="C58" s="1186"/>
      <c r="D58" s="1186"/>
      <c r="E58" s="1186"/>
      <c r="F58" s="1187"/>
      <c r="G58" s="1186"/>
      <c r="H58" s="1186"/>
      <c r="I58" s="2194">
        <f>I57/$M$57</f>
        <v>0.26627218934911245</v>
      </c>
      <c r="J58" s="2194">
        <f t="shared" ref="J58:L58" si="12">J57/$M$57</f>
        <v>0.28402366863905326</v>
      </c>
      <c r="K58" s="2194">
        <f t="shared" si="12"/>
        <v>0.22485207100591717</v>
      </c>
      <c r="L58" s="2194">
        <f t="shared" si="12"/>
        <v>0.22485207100591717</v>
      </c>
      <c r="M58" s="1186"/>
      <c r="N58" s="1188"/>
      <c r="O58" s="1189"/>
      <c r="P58" s="1188"/>
      <c r="Q58" s="1182">
        <f>U56/2</f>
        <v>264256.73499999999</v>
      </c>
      <c r="R58" s="1198"/>
      <c r="S58" s="1242">
        <f>Q58/Q63</f>
        <v>0.85448983026998582</v>
      </c>
      <c r="T58" s="1243"/>
      <c r="Y58" s="1244"/>
      <c r="Z58" s="1245">
        <f>I35+I38+I39+I40+I41+I42+I43+I45+I46</f>
        <v>42</v>
      </c>
      <c r="AA58" s="1246">
        <f>I37+I38+I45</f>
        <v>9</v>
      </c>
    </row>
    <row r="59" spans="1:33" x14ac:dyDescent="0.3">
      <c r="A59" s="1247" t="s">
        <v>11</v>
      </c>
      <c r="B59" s="1194"/>
      <c r="C59" s="1194"/>
      <c r="D59" s="1194"/>
      <c r="E59" s="1194"/>
      <c r="F59" s="1195"/>
      <c r="G59" s="1194"/>
      <c r="H59" s="1194"/>
      <c r="I59" s="1196"/>
      <c r="J59" s="1196"/>
      <c r="K59" s="1196"/>
      <c r="L59" s="1196"/>
      <c r="M59" s="1194"/>
      <c r="N59" s="1191"/>
      <c r="O59" s="1197"/>
      <c r="P59" s="1191"/>
      <c r="Q59" s="1190">
        <f>W56/2</f>
        <v>0</v>
      </c>
      <c r="R59" s="1198"/>
      <c r="S59" s="1248">
        <f>Q59/Q63</f>
        <v>0</v>
      </c>
      <c r="T59" s="1050">
        <f>Q56/M56</f>
        <v>4908.837063492063</v>
      </c>
      <c r="U59" s="1051" t="s">
        <v>535</v>
      </c>
      <c r="Z59" s="1183">
        <f>Z58/M56</f>
        <v>0.66666666666666663</v>
      </c>
      <c r="AA59" s="1242">
        <f>AA58/M56</f>
        <v>0.14285714285714285</v>
      </c>
    </row>
    <row r="60" spans="1:33" x14ac:dyDescent="0.3">
      <c r="A60" s="1247" t="s">
        <v>536</v>
      </c>
      <c r="B60" s="1194"/>
      <c r="C60" s="1194"/>
      <c r="D60" s="1194"/>
      <c r="E60" s="1194"/>
      <c r="F60" s="1195"/>
      <c r="G60" s="1194"/>
      <c r="H60" s="1194"/>
      <c r="I60" s="1196"/>
      <c r="J60" s="1196"/>
      <c r="K60" s="1196"/>
      <c r="L60" s="1196"/>
      <c r="M60" s="1194"/>
      <c r="N60" s="1191"/>
      <c r="O60" s="1197"/>
      <c r="P60" s="1191"/>
      <c r="Q60" s="1190">
        <f>X56/2</f>
        <v>0</v>
      </c>
      <c r="R60" s="1198"/>
      <c r="S60" s="1248">
        <f>Q60/Q63</f>
        <v>0</v>
      </c>
      <c r="T60" s="1243"/>
      <c r="W60" s="1249"/>
      <c r="Y60" s="1100"/>
      <c r="Z60" s="2551" t="s">
        <v>537</v>
      </c>
      <c r="AA60" s="2551"/>
    </row>
    <row r="61" spans="1:33" x14ac:dyDescent="0.3">
      <c r="A61" s="1247" t="s">
        <v>529</v>
      </c>
      <c r="B61" s="1194"/>
      <c r="C61" s="1194"/>
      <c r="D61" s="1194"/>
      <c r="E61" s="1194"/>
      <c r="F61" s="1195"/>
      <c r="G61" s="1194"/>
      <c r="H61" s="1194"/>
      <c r="I61" s="1196"/>
      <c r="J61" s="1196"/>
      <c r="K61" s="1196"/>
      <c r="L61" s="1196"/>
      <c r="M61" s="1194"/>
      <c r="N61" s="1191"/>
      <c r="O61" s="1197"/>
      <c r="P61" s="1191"/>
      <c r="Q61" s="1190"/>
      <c r="R61" s="1198"/>
      <c r="S61" s="1248">
        <f>Q61/Q63</f>
        <v>0</v>
      </c>
      <c r="T61" s="1243"/>
      <c r="V61" s="1249"/>
      <c r="W61" s="1249"/>
    </row>
    <row r="62" spans="1:33" x14ac:dyDescent="0.3">
      <c r="A62" s="1247" t="s">
        <v>528</v>
      </c>
      <c r="B62" s="1194"/>
      <c r="C62" s="1194"/>
      <c r="D62" s="1194"/>
      <c r="E62" s="1194"/>
      <c r="F62" s="1195"/>
      <c r="G62" s="1194"/>
      <c r="H62" s="1194"/>
      <c r="I62" s="1196"/>
      <c r="J62" s="1196"/>
      <c r="K62" s="1196"/>
      <c r="L62" s="1196"/>
      <c r="M62" s="1194"/>
      <c r="N62" s="1191"/>
      <c r="O62" s="1197"/>
      <c r="P62" s="1191"/>
      <c r="Q62" s="1190">
        <f>Y56/2</f>
        <v>45000</v>
      </c>
      <c r="R62" s="1198"/>
      <c r="S62" s="1248">
        <f>Q62/Q63</f>
        <v>0.14551016973001413</v>
      </c>
      <c r="T62" s="1243"/>
    </row>
    <row r="63" spans="1:33" x14ac:dyDescent="0.3">
      <c r="A63" s="1247"/>
      <c r="B63" s="1194"/>
      <c r="C63" s="1194"/>
      <c r="D63" s="1194"/>
      <c r="E63" s="1194"/>
      <c r="F63" s="1195"/>
      <c r="G63" s="1194"/>
      <c r="H63" s="1194"/>
      <c r="I63" s="1196"/>
      <c r="J63" s="1196"/>
      <c r="K63" s="1196"/>
      <c r="L63" s="1196"/>
      <c r="M63" s="1194"/>
      <c r="N63" s="1191"/>
      <c r="O63" s="1197"/>
      <c r="P63" s="1191"/>
      <c r="Q63" s="1250">
        <f>SUM(Q58:Q62)</f>
        <v>309256.73499999999</v>
      </c>
      <c r="R63" s="1251"/>
      <c r="S63" s="1248">
        <f>SUM(S58:S62)</f>
        <v>1</v>
      </c>
      <c r="T63" s="1243"/>
    </row>
    <row r="65" spans="1:33" x14ac:dyDescent="0.3">
      <c r="S65" s="1105"/>
      <c r="T65" s="1105"/>
    </row>
    <row r="66" spans="1:33" ht="18" x14ac:dyDescent="0.35">
      <c r="A66" s="1037" t="s">
        <v>538</v>
      </c>
      <c r="N66" s="1127"/>
      <c r="P66" s="1127"/>
      <c r="Q66" s="1127"/>
      <c r="R66" s="1101"/>
      <c r="S66" s="1127"/>
      <c r="T66" s="1127"/>
      <c r="U66" s="1127"/>
      <c r="V66" s="1127"/>
      <c r="W66" s="1127"/>
      <c r="X66" s="1127"/>
      <c r="Y66" s="1127"/>
      <c r="Z66" s="1127"/>
      <c r="AA66" s="1127"/>
      <c r="AB66" s="1127"/>
      <c r="AC66" s="1127"/>
      <c r="AD66" s="1127"/>
      <c r="AE66" s="1127"/>
      <c r="AF66" s="1127"/>
      <c r="AG66" s="1127"/>
    </row>
    <row r="67" spans="1:33" x14ac:dyDescent="0.3">
      <c r="N67" s="1127"/>
      <c r="P67" s="1127"/>
      <c r="Q67" s="1127"/>
      <c r="R67" s="1101"/>
      <c r="S67" s="1127"/>
      <c r="T67" s="1127"/>
      <c r="U67" s="1127"/>
      <c r="V67" s="1127"/>
      <c r="W67" s="1127"/>
      <c r="X67" s="1127"/>
      <c r="Y67" s="1127"/>
      <c r="Z67" s="1127"/>
      <c r="AA67" s="1127"/>
      <c r="AB67" s="1127"/>
      <c r="AC67" s="1127"/>
      <c r="AD67" s="1127"/>
      <c r="AE67" s="1127"/>
      <c r="AF67" s="1127"/>
      <c r="AG67" s="1127"/>
    </row>
    <row r="68" spans="1:33" x14ac:dyDescent="0.3">
      <c r="A68" s="2587" t="s">
        <v>480</v>
      </c>
      <c r="B68" s="2588"/>
      <c r="C68" s="2588"/>
      <c r="D68" s="2588"/>
      <c r="E68" s="2588"/>
      <c r="F68" s="2588"/>
      <c r="G68" s="2588"/>
      <c r="H68" s="2588"/>
      <c r="I68" s="2588"/>
      <c r="J68" s="2588"/>
      <c r="K68" s="2588"/>
      <c r="L68" s="2588"/>
      <c r="M68" s="2588"/>
      <c r="N68" s="2588"/>
      <c r="O68" s="2588"/>
      <c r="P68" s="2588"/>
      <c r="Q68" s="2588"/>
      <c r="R68" s="2588"/>
      <c r="S68" s="2589"/>
      <c r="T68" s="2563" t="s">
        <v>584</v>
      </c>
      <c r="U68" s="2564"/>
      <c r="V68" s="2564"/>
      <c r="W68" s="2564"/>
      <c r="X68" s="2564"/>
      <c r="Y68" s="2564"/>
      <c r="Z68" s="2564"/>
      <c r="AA68" s="2564"/>
      <c r="AB68" s="2564"/>
      <c r="AC68" s="2564"/>
      <c r="AD68" s="2564"/>
      <c r="AE68" s="2564"/>
      <c r="AF68" s="2564"/>
      <c r="AG68" s="2576"/>
    </row>
    <row r="69" spans="1:33" ht="78" x14ac:dyDescent="0.3">
      <c r="A69" s="2700" t="s">
        <v>482</v>
      </c>
      <c r="B69" s="2691" t="s">
        <v>483</v>
      </c>
      <c r="C69" s="2691" t="s">
        <v>484</v>
      </c>
      <c r="D69" s="2691" t="s">
        <v>485</v>
      </c>
      <c r="E69" s="2691" t="s">
        <v>486</v>
      </c>
      <c r="F69" s="2691" t="s">
        <v>487</v>
      </c>
      <c r="G69" s="2685" t="s">
        <v>488</v>
      </c>
      <c r="H69" s="2693" t="s">
        <v>489</v>
      </c>
      <c r="I69" s="2695" t="s">
        <v>490</v>
      </c>
      <c r="J69" s="2696"/>
      <c r="K69" s="2696"/>
      <c r="L69" s="2697"/>
      <c r="M69" s="2698" t="s">
        <v>863</v>
      </c>
      <c r="N69" s="2687" t="s">
        <v>864</v>
      </c>
      <c r="O69" s="2685" t="s">
        <v>865</v>
      </c>
      <c r="P69" s="2687" t="s">
        <v>866</v>
      </c>
      <c r="Q69" s="2687" t="s">
        <v>867</v>
      </c>
      <c r="R69" s="2689" t="s">
        <v>495</v>
      </c>
      <c r="S69" s="1128" t="s">
        <v>495</v>
      </c>
      <c r="T69" s="1129" t="s">
        <v>496</v>
      </c>
      <c r="U69" s="2703" t="s">
        <v>497</v>
      </c>
      <c r="V69" s="2703"/>
      <c r="W69" s="2703"/>
      <c r="X69" s="2703"/>
      <c r="Y69" s="2703"/>
      <c r="Z69" s="2702" t="s">
        <v>498</v>
      </c>
      <c r="AA69" s="2704"/>
      <c r="AB69" s="2702" t="s">
        <v>499</v>
      </c>
      <c r="AC69" s="2703"/>
      <c r="AD69" s="2703"/>
      <c r="AE69" s="2703"/>
      <c r="AF69" s="2703"/>
      <c r="AG69" s="2704"/>
    </row>
    <row r="70" spans="1:33" ht="15.6" x14ac:dyDescent="0.3">
      <c r="A70" s="2701"/>
      <c r="B70" s="2692"/>
      <c r="C70" s="2692"/>
      <c r="D70" s="2692"/>
      <c r="E70" s="2692"/>
      <c r="F70" s="2692"/>
      <c r="G70" s="2686"/>
      <c r="H70" s="2694"/>
      <c r="I70" s="1130" t="s">
        <v>500</v>
      </c>
      <c r="J70" s="1130" t="s">
        <v>501</v>
      </c>
      <c r="K70" s="1131" t="s">
        <v>502</v>
      </c>
      <c r="L70" s="1131" t="s">
        <v>503</v>
      </c>
      <c r="M70" s="2699"/>
      <c r="N70" s="2688"/>
      <c r="O70" s="2686"/>
      <c r="P70" s="2688"/>
      <c r="Q70" s="2688"/>
      <c r="R70" s="2690"/>
      <c r="S70" s="1132"/>
      <c r="T70" s="1133" t="s">
        <v>508</v>
      </c>
      <c r="U70" s="2706"/>
      <c r="V70" s="2706"/>
      <c r="W70" s="2706"/>
      <c r="X70" s="2706"/>
      <c r="Y70" s="2706"/>
      <c r="Z70" s="2705"/>
      <c r="AA70" s="2707"/>
      <c r="AB70" s="2705"/>
      <c r="AC70" s="2706"/>
      <c r="AD70" s="2706"/>
      <c r="AE70" s="2706"/>
      <c r="AF70" s="2706"/>
      <c r="AG70" s="2707"/>
    </row>
    <row r="71" spans="1:33" ht="18" x14ac:dyDescent="0.35">
      <c r="A71" s="2683" t="s">
        <v>540</v>
      </c>
      <c r="B71" s="2684"/>
      <c r="C71" s="2684"/>
      <c r="D71" s="2684"/>
      <c r="E71" s="2684"/>
      <c r="F71" s="2684"/>
      <c r="G71" s="2684"/>
      <c r="H71" s="2684"/>
      <c r="I71" s="2684"/>
      <c r="J71" s="2684"/>
      <c r="K71" s="2684"/>
      <c r="L71" s="2684"/>
      <c r="M71" s="2684"/>
      <c r="N71" s="2684"/>
      <c r="O71" s="2684"/>
      <c r="P71" s="2684"/>
      <c r="Q71" s="2684"/>
      <c r="R71" s="2684"/>
      <c r="S71" s="2684"/>
      <c r="T71" s="1252"/>
      <c r="U71" s="1040" t="s">
        <v>510</v>
      </c>
      <c r="V71" s="1041" t="s">
        <v>11</v>
      </c>
      <c r="W71" s="1041" t="s">
        <v>511</v>
      </c>
      <c r="X71" s="1041" t="s">
        <v>512</v>
      </c>
      <c r="Y71" s="1045" t="s">
        <v>513</v>
      </c>
      <c r="Z71" s="1042" t="s">
        <v>514</v>
      </c>
      <c r="AA71" s="1045" t="s">
        <v>515</v>
      </c>
      <c r="AB71" s="1040" t="s">
        <v>171</v>
      </c>
      <c r="AC71" s="1041" t="s">
        <v>12</v>
      </c>
      <c r="AD71" s="1041" t="s">
        <v>172</v>
      </c>
      <c r="AE71" s="1053" t="s">
        <v>173</v>
      </c>
      <c r="AF71" s="1044" t="s">
        <v>139</v>
      </c>
      <c r="AG71" s="1045" t="s">
        <v>5</v>
      </c>
    </row>
    <row r="72" spans="1:33" x14ac:dyDescent="0.3">
      <c r="A72" s="1134"/>
      <c r="B72" s="1135"/>
      <c r="C72" s="1135"/>
      <c r="D72" s="1135"/>
      <c r="E72" s="1135"/>
      <c r="F72" s="1136"/>
      <c r="G72" s="1135"/>
      <c r="H72" s="1135"/>
      <c r="I72" s="1138"/>
      <c r="J72" s="1138"/>
      <c r="K72" s="1138"/>
      <c r="L72" s="1138"/>
      <c r="M72" s="1135"/>
      <c r="N72" s="1141"/>
      <c r="O72" s="1142"/>
      <c r="P72" s="1141"/>
      <c r="Q72" s="1141"/>
      <c r="R72" s="1143"/>
      <c r="S72" s="1253"/>
      <c r="T72" s="1254"/>
      <c r="U72" s="1146"/>
      <c r="Y72" s="1147"/>
      <c r="Z72" s="1148"/>
      <c r="AA72" s="1149"/>
      <c r="AB72" s="1148"/>
      <c r="AC72" s="1139"/>
      <c r="AD72" s="1134"/>
      <c r="AE72" s="1150"/>
      <c r="AF72" s="1151"/>
      <c r="AG72" s="1147"/>
    </row>
    <row r="73" spans="1:33" x14ac:dyDescent="0.3">
      <c r="A73" s="1055" t="s">
        <v>920</v>
      </c>
      <c r="B73" s="1055" t="s">
        <v>427</v>
      </c>
      <c r="C73" s="1055" t="s">
        <v>883</v>
      </c>
      <c r="D73" s="1055" t="s">
        <v>166</v>
      </c>
      <c r="E73" s="1055" t="s">
        <v>520</v>
      </c>
      <c r="F73" s="1152" t="s">
        <v>522</v>
      </c>
      <c r="G73" s="1055">
        <v>35</v>
      </c>
      <c r="H73" s="1055" t="s">
        <v>63</v>
      </c>
      <c r="I73" s="2627">
        <v>35</v>
      </c>
      <c r="J73" s="2628"/>
      <c r="L73" s="1150"/>
      <c r="M73" s="1154">
        <v>1</v>
      </c>
      <c r="N73" s="1165">
        <v>1875</v>
      </c>
      <c r="O73" s="1166">
        <v>0.06</v>
      </c>
      <c r="P73" s="1165">
        <f t="shared" ref="P73:P83" si="13">N73*(1-O73)</f>
        <v>1762.5</v>
      </c>
      <c r="Q73" s="1165">
        <f t="shared" ref="Q73:Q83" si="14">P73*M73*G73</f>
        <v>61687.5</v>
      </c>
      <c r="R73" s="1167" t="e">
        <f>(Q73+#REF!)/E48*1000</f>
        <v>#REF!</v>
      </c>
      <c r="S73" s="1255">
        <f t="shared" ref="S73:S83" si="15">Q73/$Q$89</f>
        <v>0.19964982351441074</v>
      </c>
      <c r="T73" s="1256">
        <f t="shared" ref="T73:T83" si="16">Q73</f>
        <v>61687.5</v>
      </c>
      <c r="U73" s="1160">
        <f t="shared" ref="U73:U81" si="17">T73</f>
        <v>61687.5</v>
      </c>
      <c r="V73" s="1161"/>
      <c r="W73" s="1161"/>
      <c r="X73" s="1161"/>
      <c r="Y73" s="1162"/>
      <c r="Z73" s="1163">
        <f>T73</f>
        <v>61687.5</v>
      </c>
      <c r="AA73" s="1164"/>
      <c r="AB73" s="1163">
        <f>T73</f>
        <v>61687.5</v>
      </c>
      <c r="AC73" s="1150"/>
      <c r="AD73" s="1151"/>
      <c r="AE73" s="1150"/>
      <c r="AF73" s="1151"/>
      <c r="AG73" s="1147"/>
    </row>
    <row r="74" spans="1:33" x14ac:dyDescent="0.3">
      <c r="A74" s="1055" t="s">
        <v>920</v>
      </c>
      <c r="B74" s="1055" t="s">
        <v>427</v>
      </c>
      <c r="C74" s="1055" t="s">
        <v>884</v>
      </c>
      <c r="D74" s="1055" t="s">
        <v>26</v>
      </c>
      <c r="E74" s="1055" t="s">
        <v>520</v>
      </c>
      <c r="F74" s="1152" t="s">
        <v>541</v>
      </c>
      <c r="G74" s="1055">
        <v>1</v>
      </c>
      <c r="H74" s="1055" t="s">
        <v>24</v>
      </c>
      <c r="I74" s="2630">
        <v>1</v>
      </c>
      <c r="J74" s="2631"/>
      <c r="K74" s="2631"/>
      <c r="L74" s="2632"/>
      <c r="M74" s="1154">
        <v>1</v>
      </c>
      <c r="N74" s="1165">
        <v>6000</v>
      </c>
      <c r="O74" s="1166">
        <v>0.04</v>
      </c>
      <c r="P74" s="1165">
        <f t="shared" si="13"/>
        <v>5760</v>
      </c>
      <c r="Q74" s="1165">
        <f t="shared" si="14"/>
        <v>5760</v>
      </c>
      <c r="R74" s="1167" t="e">
        <f>(Q74+Q79)/E48*1000</f>
        <v>#DIV/0!</v>
      </c>
      <c r="S74" s="1255">
        <f t="shared" si="15"/>
        <v>1.8642074706269596E-2</v>
      </c>
      <c r="T74" s="1256">
        <f t="shared" si="16"/>
        <v>5760</v>
      </c>
      <c r="U74" s="1170">
        <f t="shared" si="17"/>
        <v>5760</v>
      </c>
      <c r="Y74" s="1147"/>
      <c r="Z74" s="1163">
        <f>T74</f>
        <v>5760</v>
      </c>
      <c r="AA74" s="1164"/>
      <c r="AB74" s="1163">
        <f>T74</f>
        <v>5760</v>
      </c>
      <c r="AC74" s="1150"/>
      <c r="AD74" s="1151"/>
      <c r="AE74" s="1150"/>
      <c r="AF74" s="1151"/>
      <c r="AG74" s="1147"/>
    </row>
    <row r="75" spans="1:33" x14ac:dyDescent="0.3">
      <c r="A75" s="1055" t="s">
        <v>920</v>
      </c>
      <c r="B75" s="1055" t="s">
        <v>427</v>
      </c>
      <c r="C75" s="1055" t="s">
        <v>884</v>
      </c>
      <c r="D75" s="1055" t="s">
        <v>21</v>
      </c>
      <c r="E75" s="1055" t="s">
        <v>518</v>
      </c>
      <c r="F75" s="1152" t="s">
        <v>798</v>
      </c>
      <c r="G75" s="1055">
        <v>3</v>
      </c>
      <c r="H75" s="1055" t="s">
        <v>24</v>
      </c>
      <c r="I75" s="2627">
        <v>3</v>
      </c>
      <c r="J75" s="2628"/>
      <c r="K75" s="2628"/>
      <c r="L75" s="2629"/>
      <c r="M75" s="1154">
        <v>1</v>
      </c>
      <c r="N75" s="1165">
        <v>2875</v>
      </c>
      <c r="O75" s="1166">
        <v>0.05</v>
      </c>
      <c r="P75" s="1165">
        <f t="shared" si="13"/>
        <v>2731.25</v>
      </c>
      <c r="Q75" s="1165">
        <f t="shared" si="14"/>
        <v>8193.75</v>
      </c>
      <c r="R75" s="1167"/>
      <c r="S75" s="1257">
        <f t="shared" si="15"/>
        <v>2.6518836740363979E-2</v>
      </c>
      <c r="T75" s="1256">
        <f t="shared" si="16"/>
        <v>8193.75</v>
      </c>
      <c r="U75" s="1170">
        <f t="shared" si="17"/>
        <v>8193.75</v>
      </c>
      <c r="V75" s="1161"/>
      <c r="X75" s="1161"/>
      <c r="Y75" s="1147"/>
      <c r="Z75" s="1163">
        <f>T75</f>
        <v>8193.75</v>
      </c>
      <c r="AA75" s="1171"/>
      <c r="AB75" s="1163">
        <f>T75</f>
        <v>8193.75</v>
      </c>
      <c r="AC75" s="1150"/>
      <c r="AD75" s="1151"/>
      <c r="AE75" s="1150"/>
      <c r="AF75" s="1151"/>
      <c r="AG75" s="1147"/>
    </row>
    <row r="76" spans="1:33" x14ac:dyDescent="0.3">
      <c r="A76" s="1055" t="s">
        <v>920</v>
      </c>
      <c r="B76" s="1055" t="s">
        <v>409</v>
      </c>
      <c r="C76" s="1055" t="s">
        <v>884</v>
      </c>
      <c r="D76" s="1055" t="s">
        <v>21</v>
      </c>
      <c r="E76" s="1055" t="s">
        <v>518</v>
      </c>
      <c r="F76" s="1152" t="s">
        <v>798</v>
      </c>
      <c r="G76" s="1055">
        <v>3</v>
      </c>
      <c r="H76" s="1055" t="s">
        <v>24</v>
      </c>
      <c r="I76" s="2630">
        <v>3</v>
      </c>
      <c r="J76" s="2631"/>
      <c r="K76" s="2631"/>
      <c r="L76" s="2632"/>
      <c r="M76" s="1154">
        <v>1</v>
      </c>
      <c r="N76" s="1165">
        <v>27024.15</v>
      </c>
      <c r="O76" s="1166">
        <v>0.7</v>
      </c>
      <c r="P76" s="1165">
        <f t="shared" si="13"/>
        <v>8107.2450000000017</v>
      </c>
      <c r="Q76" s="1165">
        <f t="shared" si="14"/>
        <v>24321.735000000004</v>
      </c>
      <c r="R76" s="1167"/>
      <c r="S76" s="1257">
        <f t="shared" si="15"/>
        <v>7.8716597370849323E-2</v>
      </c>
      <c r="T76" s="1256">
        <f t="shared" si="16"/>
        <v>24321.735000000004</v>
      </c>
      <c r="U76" s="1170">
        <f t="shared" si="17"/>
        <v>24321.735000000004</v>
      </c>
      <c r="V76" s="1161"/>
      <c r="Y76" s="1147"/>
      <c r="Z76" s="1148"/>
      <c r="AA76" s="1164">
        <f>T76</f>
        <v>24321.735000000004</v>
      </c>
      <c r="AB76" s="1163"/>
      <c r="AC76" s="1173">
        <f>T76</f>
        <v>24321.735000000004</v>
      </c>
      <c r="AD76" s="1151"/>
      <c r="AE76" s="1150"/>
      <c r="AF76" s="1151"/>
      <c r="AG76" s="1147"/>
    </row>
    <row r="77" spans="1:33" x14ac:dyDescent="0.3">
      <c r="A77" s="1055" t="s">
        <v>920</v>
      </c>
      <c r="B77" s="1055" t="s">
        <v>428</v>
      </c>
      <c r="C77" s="1055" t="s">
        <v>884</v>
      </c>
      <c r="D77" s="1055" t="s">
        <v>26</v>
      </c>
      <c r="E77" s="1055" t="s">
        <v>524</v>
      </c>
      <c r="F77" s="1152" t="s">
        <v>541</v>
      </c>
      <c r="G77" s="1055">
        <v>4</v>
      </c>
      <c r="H77" s="1055" t="s">
        <v>24</v>
      </c>
      <c r="I77" s="2630">
        <v>4</v>
      </c>
      <c r="J77" s="2631"/>
      <c r="K77" s="2631"/>
      <c r="L77" s="2632"/>
      <c r="M77" s="1055">
        <v>1</v>
      </c>
      <c r="N77" s="1165">
        <v>4800</v>
      </c>
      <c r="O77" s="1166">
        <v>0.05</v>
      </c>
      <c r="P77" s="1165">
        <f t="shared" si="13"/>
        <v>4560</v>
      </c>
      <c r="Q77" s="1165">
        <f t="shared" si="14"/>
        <v>18240</v>
      </c>
      <c r="R77" s="1167"/>
      <c r="S77" s="1258">
        <f t="shared" si="15"/>
        <v>5.9033236569853723E-2</v>
      </c>
      <c r="T77" s="1256">
        <f t="shared" si="16"/>
        <v>18240</v>
      </c>
      <c r="U77" s="1170">
        <f t="shared" si="17"/>
        <v>18240</v>
      </c>
      <c r="V77" s="1161"/>
      <c r="Y77" s="1147"/>
      <c r="Z77" s="1148"/>
      <c r="AA77" s="1164">
        <f>T77</f>
        <v>18240</v>
      </c>
      <c r="AB77" s="1163"/>
      <c r="AC77" s="1173"/>
      <c r="AD77" s="1175">
        <f>T77</f>
        <v>18240</v>
      </c>
      <c r="AE77" s="1150"/>
      <c r="AF77" s="1151"/>
      <c r="AG77" s="1147"/>
    </row>
    <row r="78" spans="1:33" x14ac:dyDescent="0.3">
      <c r="A78" s="1055" t="s">
        <v>920</v>
      </c>
      <c r="B78" s="1055" t="s">
        <v>430</v>
      </c>
      <c r="C78" s="1055" t="s">
        <v>884</v>
      </c>
      <c r="D78" s="1055" t="s">
        <v>26</v>
      </c>
      <c r="E78" s="1055" t="s">
        <v>524</v>
      </c>
      <c r="F78" s="1152" t="s">
        <v>541</v>
      </c>
      <c r="G78" s="1055">
        <v>2</v>
      </c>
      <c r="H78" s="1055" t="s">
        <v>24</v>
      </c>
      <c r="I78" s="2627">
        <v>2</v>
      </c>
      <c r="J78" s="2628"/>
      <c r="K78" s="2628"/>
      <c r="L78" s="2629"/>
      <c r="M78" s="1055">
        <v>1</v>
      </c>
      <c r="N78" s="1165">
        <v>12555</v>
      </c>
      <c r="O78" s="1166">
        <v>0.6</v>
      </c>
      <c r="P78" s="1176">
        <f t="shared" si="13"/>
        <v>5022</v>
      </c>
      <c r="Q78" s="1165">
        <f t="shared" si="14"/>
        <v>10044</v>
      </c>
      <c r="R78" s="1167"/>
      <c r="S78" s="1258">
        <f t="shared" si="15"/>
        <v>3.2507117769057611E-2</v>
      </c>
      <c r="T78" s="1256">
        <f t="shared" si="16"/>
        <v>10044</v>
      </c>
      <c r="U78" s="1170">
        <f t="shared" si="17"/>
        <v>10044</v>
      </c>
      <c r="V78" s="1161"/>
      <c r="Y78" s="1147"/>
      <c r="Z78" s="1163">
        <f>T78</f>
        <v>10044</v>
      </c>
      <c r="AA78" s="1164"/>
      <c r="AB78" s="1163"/>
      <c r="AC78" s="1150"/>
      <c r="AD78" s="1151"/>
      <c r="AE78" s="1173">
        <f t="shared" ref="AE78:AE80" si="18">T78</f>
        <v>10044</v>
      </c>
      <c r="AF78" s="1151"/>
      <c r="AG78" s="1147"/>
    </row>
    <row r="79" spans="1:33" x14ac:dyDescent="0.3">
      <c r="A79" s="1055" t="s">
        <v>920</v>
      </c>
      <c r="B79" s="1055" t="s">
        <v>430</v>
      </c>
      <c r="C79" s="1055" t="s">
        <v>884</v>
      </c>
      <c r="D79" s="1055" t="s">
        <v>166</v>
      </c>
      <c r="E79" s="1055" t="s">
        <v>520</v>
      </c>
      <c r="F79" s="1152" t="s">
        <v>522</v>
      </c>
      <c r="G79" s="1055">
        <v>30</v>
      </c>
      <c r="H79" s="1055" t="s">
        <v>24</v>
      </c>
      <c r="I79" s="1153"/>
      <c r="K79" s="2631">
        <v>30</v>
      </c>
      <c r="L79" s="2632"/>
      <c r="M79" s="1055">
        <v>1</v>
      </c>
      <c r="N79" s="1165">
        <v>4075</v>
      </c>
      <c r="O79" s="1166">
        <v>0.6</v>
      </c>
      <c r="P79" s="1176">
        <f t="shared" si="13"/>
        <v>1630</v>
      </c>
      <c r="Q79" s="1165">
        <f t="shared" si="14"/>
        <v>48900</v>
      </c>
      <c r="R79" s="1167"/>
      <c r="S79" s="1258">
        <f t="shared" si="15"/>
        <v>0.15826344672510126</v>
      </c>
      <c r="T79" s="1256">
        <f t="shared" si="16"/>
        <v>48900</v>
      </c>
      <c r="U79" s="1170">
        <f t="shared" si="17"/>
        <v>48900</v>
      </c>
      <c r="V79" s="1161"/>
      <c r="W79" s="1161"/>
      <c r="Y79" s="1147"/>
      <c r="Z79" s="1163">
        <f t="shared" ref="Z79:Z83" si="19">T79</f>
        <v>48900</v>
      </c>
      <c r="AA79" s="1164"/>
      <c r="AB79" s="1163"/>
      <c r="AC79" s="1150"/>
      <c r="AD79" s="1175"/>
      <c r="AE79" s="1173">
        <f t="shared" si="18"/>
        <v>48900</v>
      </c>
      <c r="AF79" s="1151"/>
      <c r="AG79" s="1147"/>
    </row>
    <row r="80" spans="1:33" x14ac:dyDescent="0.3">
      <c r="A80" s="1055" t="s">
        <v>920</v>
      </c>
      <c r="B80" s="1055" t="s">
        <v>430</v>
      </c>
      <c r="C80" s="1055" t="s">
        <v>884</v>
      </c>
      <c r="D80" s="1055" t="s">
        <v>21</v>
      </c>
      <c r="E80" s="1055" t="s">
        <v>518</v>
      </c>
      <c r="F80" s="1152" t="s">
        <v>798</v>
      </c>
      <c r="G80" s="1055">
        <v>3</v>
      </c>
      <c r="H80" s="1055" t="s">
        <v>24</v>
      </c>
      <c r="I80" s="2627">
        <v>3</v>
      </c>
      <c r="J80" s="2628"/>
      <c r="K80" s="2628"/>
      <c r="L80" s="2629"/>
      <c r="M80" s="1055">
        <v>1</v>
      </c>
      <c r="N80" s="1165">
        <v>10005</v>
      </c>
      <c r="O80" s="1166">
        <v>0.5</v>
      </c>
      <c r="P80" s="1176">
        <f t="shared" si="13"/>
        <v>5002.5</v>
      </c>
      <c r="Q80" s="1165">
        <f t="shared" si="14"/>
        <v>15007.5</v>
      </c>
      <c r="R80" s="1167"/>
      <c r="S80" s="1259">
        <f t="shared" si="15"/>
        <v>4.8571343082350865E-2</v>
      </c>
      <c r="T80" s="1256">
        <f t="shared" si="16"/>
        <v>15007.5</v>
      </c>
      <c r="U80" s="1170">
        <f t="shared" si="17"/>
        <v>15007.5</v>
      </c>
      <c r="V80" s="1161"/>
      <c r="Y80" s="1147"/>
      <c r="Z80" s="1163">
        <f t="shared" si="19"/>
        <v>15007.5</v>
      </c>
      <c r="AA80" s="1164"/>
      <c r="AB80" s="1148"/>
      <c r="AC80" s="1150"/>
      <c r="AD80" s="1175"/>
      <c r="AE80" s="1173">
        <f t="shared" si="18"/>
        <v>15007.5</v>
      </c>
      <c r="AF80" s="1151"/>
      <c r="AG80" s="1147"/>
    </row>
    <row r="81" spans="1:33" x14ac:dyDescent="0.3">
      <c r="A81" s="1055" t="s">
        <v>920</v>
      </c>
      <c r="B81" s="1055" t="s">
        <v>430</v>
      </c>
      <c r="C81" s="1055" t="s">
        <v>884</v>
      </c>
      <c r="D81" s="1055" t="s">
        <v>26</v>
      </c>
      <c r="E81" s="1055" t="s">
        <v>520</v>
      </c>
      <c r="F81" s="1152" t="s">
        <v>541</v>
      </c>
      <c r="G81" s="1055">
        <v>2</v>
      </c>
      <c r="H81" s="1055" t="s">
        <v>24</v>
      </c>
      <c r="I81" s="2627">
        <v>2</v>
      </c>
      <c r="J81" s="2628"/>
      <c r="K81" s="2628"/>
      <c r="L81" s="2629"/>
      <c r="M81" s="1055">
        <v>1</v>
      </c>
      <c r="N81" s="1165">
        <v>12555</v>
      </c>
      <c r="O81" s="1166">
        <v>0.6</v>
      </c>
      <c r="P81" s="1176">
        <f t="shared" si="13"/>
        <v>5022</v>
      </c>
      <c r="Q81" s="1165">
        <f t="shared" si="14"/>
        <v>10044</v>
      </c>
      <c r="R81" s="1167"/>
      <c r="S81" s="1258">
        <f t="shared" si="15"/>
        <v>3.2507117769057611E-2</v>
      </c>
      <c r="T81" s="1256">
        <f t="shared" si="16"/>
        <v>10044</v>
      </c>
      <c r="U81" s="1170">
        <f t="shared" si="17"/>
        <v>10044</v>
      </c>
      <c r="V81" s="1161"/>
      <c r="Y81" s="1147"/>
      <c r="Z81" s="1163">
        <f t="shared" si="19"/>
        <v>10044</v>
      </c>
      <c r="AA81" s="1149"/>
      <c r="AB81" s="1163"/>
      <c r="AC81" s="1150"/>
      <c r="AD81" s="1175"/>
      <c r="AE81" s="1173">
        <f>T81</f>
        <v>10044</v>
      </c>
      <c r="AF81" s="1151"/>
      <c r="AG81" s="1147"/>
    </row>
    <row r="82" spans="1:33" x14ac:dyDescent="0.3">
      <c r="A82" s="1055" t="s">
        <v>921</v>
      </c>
      <c r="B82" s="1055" t="s">
        <v>150</v>
      </c>
      <c r="C82" s="1055" t="s">
        <v>922</v>
      </c>
      <c r="D82" s="1055" t="s">
        <v>50</v>
      </c>
      <c r="E82" s="1055" t="s">
        <v>520</v>
      </c>
      <c r="F82" s="1152" t="s">
        <v>796</v>
      </c>
      <c r="G82" s="1055">
        <v>20</v>
      </c>
      <c r="H82" s="1055" t="s">
        <v>24</v>
      </c>
      <c r="I82" s="2627">
        <v>20</v>
      </c>
      <c r="J82" s="2628"/>
      <c r="K82" s="2628"/>
      <c r="L82" s="2629"/>
      <c r="M82" s="1055">
        <v>1</v>
      </c>
      <c r="N82" s="1165">
        <v>4065</v>
      </c>
      <c r="O82" s="1166">
        <v>0.4</v>
      </c>
      <c r="P82" s="1176">
        <f t="shared" si="13"/>
        <v>2439</v>
      </c>
      <c r="Q82" s="1165">
        <f t="shared" si="14"/>
        <v>48780</v>
      </c>
      <c r="R82" s="1167"/>
      <c r="S82" s="1258">
        <f t="shared" si="15"/>
        <v>0.15787507016872065</v>
      </c>
      <c r="T82" s="1256">
        <f t="shared" si="16"/>
        <v>48780</v>
      </c>
      <c r="U82" s="1170"/>
      <c r="V82" s="1161"/>
      <c r="W82" s="1161">
        <f>T82</f>
        <v>48780</v>
      </c>
      <c r="Y82" s="1147"/>
      <c r="Z82" s="1163">
        <f t="shared" si="19"/>
        <v>48780</v>
      </c>
      <c r="AA82" s="1164"/>
      <c r="AB82" s="1148"/>
      <c r="AC82" s="1150"/>
      <c r="AD82" s="1151"/>
      <c r="AE82" s="1173"/>
      <c r="AF82" s="1175">
        <f>T82</f>
        <v>48780</v>
      </c>
      <c r="AG82" s="1162">
        <f>V82</f>
        <v>0</v>
      </c>
    </row>
    <row r="83" spans="1:33" x14ac:dyDescent="0.3">
      <c r="A83" s="1055" t="s">
        <v>921</v>
      </c>
      <c r="B83" s="1055" t="s">
        <v>41</v>
      </c>
      <c r="C83" s="1055" t="s">
        <v>887</v>
      </c>
      <c r="D83" s="1055" t="s">
        <v>168</v>
      </c>
      <c r="E83" s="1055" t="s">
        <v>520</v>
      </c>
      <c r="F83" s="1152" t="s">
        <v>823</v>
      </c>
      <c r="G83" s="1055">
        <v>25</v>
      </c>
      <c r="H83" s="1055" t="s">
        <v>24</v>
      </c>
      <c r="I83" s="2642">
        <v>25</v>
      </c>
      <c r="J83" s="2643"/>
      <c r="K83" s="2643"/>
      <c r="L83" s="2644"/>
      <c r="M83" s="1055">
        <v>1</v>
      </c>
      <c r="N83" s="1165">
        <v>1600</v>
      </c>
      <c r="O83" s="1166">
        <v>0.7</v>
      </c>
      <c r="P83" s="1176">
        <f t="shared" si="13"/>
        <v>480.00000000000006</v>
      </c>
      <c r="Q83" s="1165">
        <f t="shared" si="14"/>
        <v>12000.000000000002</v>
      </c>
      <c r="R83" s="1167"/>
      <c r="S83" s="1258">
        <f t="shared" si="15"/>
        <v>3.8837655638061665E-2</v>
      </c>
      <c r="T83" s="1256">
        <f t="shared" si="16"/>
        <v>12000.000000000002</v>
      </c>
      <c r="U83" s="1170"/>
      <c r="V83" s="1161"/>
      <c r="W83" s="1161">
        <f>T83</f>
        <v>12000.000000000002</v>
      </c>
      <c r="Y83" s="1147"/>
      <c r="Z83" s="1163">
        <f t="shared" si="19"/>
        <v>12000.000000000002</v>
      </c>
      <c r="AA83" s="1164"/>
      <c r="AB83" s="1148"/>
      <c r="AC83" s="1150"/>
      <c r="AD83" s="1151"/>
      <c r="AE83" s="1173"/>
      <c r="AF83" s="1175"/>
      <c r="AG83" s="1162">
        <f>T83</f>
        <v>12000.000000000002</v>
      </c>
    </row>
    <row r="84" spans="1:33" x14ac:dyDescent="0.3">
      <c r="A84" s="1055"/>
      <c r="B84" s="1055"/>
      <c r="C84" s="1055"/>
      <c r="D84" s="1055"/>
      <c r="E84" s="1055"/>
      <c r="F84" s="1152"/>
      <c r="G84" s="1055"/>
      <c r="H84" s="1055"/>
      <c r="I84" s="82"/>
      <c r="J84" s="82"/>
      <c r="K84" s="82"/>
      <c r="L84" s="1154"/>
      <c r="M84" s="1055"/>
      <c r="N84" s="1260"/>
      <c r="O84" s="1156"/>
      <c r="P84" s="1261"/>
      <c r="Q84" s="1260"/>
      <c r="R84" s="1262"/>
      <c r="S84" s="1263"/>
      <c r="T84" s="1264"/>
      <c r="U84" s="1170"/>
      <c r="V84" s="1161"/>
      <c r="Y84" s="1147"/>
      <c r="Z84" s="1148"/>
      <c r="AA84" s="1164">
        <f>T84</f>
        <v>0</v>
      </c>
      <c r="AB84" s="1148"/>
      <c r="AC84" s="1150"/>
      <c r="AD84" s="1151"/>
      <c r="AE84" s="1173"/>
      <c r="AF84" s="1175"/>
      <c r="AG84" s="1162"/>
    </row>
    <row r="85" spans="1:33" x14ac:dyDescent="0.3">
      <c r="A85" s="1151"/>
      <c r="B85" s="1055"/>
      <c r="C85" s="1178"/>
      <c r="D85" s="1178"/>
      <c r="E85" s="1178"/>
      <c r="F85" s="1179"/>
      <c r="G85" s="1178"/>
      <c r="H85" s="1178"/>
      <c r="I85" s="1180"/>
      <c r="J85" s="1180"/>
      <c r="K85" s="1180"/>
      <c r="L85" s="1181"/>
      <c r="M85" s="1178"/>
      <c r="N85" s="1182"/>
      <c r="O85" s="1183"/>
      <c r="P85" s="1184"/>
      <c r="Q85" s="1165"/>
      <c r="R85" s="1167"/>
      <c r="S85" s="1257"/>
      <c r="T85" s="1256"/>
      <c r="U85" s="1170"/>
      <c r="V85" s="1161"/>
      <c r="Y85" s="1147"/>
      <c r="Z85" s="1163">
        <f t="shared" ref="Z85:Z86" si="20">T85</f>
        <v>0</v>
      </c>
      <c r="AA85" s="1149"/>
      <c r="AB85" s="1148"/>
      <c r="AC85" s="1150"/>
      <c r="AD85" s="1151"/>
      <c r="AE85" s="1173"/>
      <c r="AF85" s="1175"/>
      <c r="AG85" s="1162"/>
    </row>
    <row r="86" spans="1:33" x14ac:dyDescent="0.3">
      <c r="A86" s="1118" t="s">
        <v>921</v>
      </c>
      <c r="B86" s="1118" t="s">
        <v>528</v>
      </c>
      <c r="C86" s="1185"/>
      <c r="D86" s="1186"/>
      <c r="E86" s="1186"/>
      <c r="F86" s="1187"/>
      <c r="G86" s="1186"/>
      <c r="H86" s="1186"/>
      <c r="I86" s="1180"/>
      <c r="J86" s="1180"/>
      <c r="K86" s="1180"/>
      <c r="L86" s="1180"/>
      <c r="M86" s="1186"/>
      <c r="N86" s="1188"/>
      <c r="O86" s="1189"/>
      <c r="P86" s="1184"/>
      <c r="Q86" s="1190"/>
      <c r="R86" s="1198"/>
      <c r="S86" s="1197"/>
      <c r="T86" s="1256"/>
      <c r="U86" s="1170"/>
      <c r="V86" s="1161"/>
      <c r="Y86" s="1147"/>
      <c r="Z86" s="1163">
        <f t="shared" si="20"/>
        <v>0</v>
      </c>
      <c r="AA86" s="1149"/>
      <c r="AB86" s="1148"/>
      <c r="AC86" s="1150"/>
      <c r="AD86" s="1151"/>
      <c r="AE86" s="1173"/>
      <c r="AF86" s="1175"/>
      <c r="AG86" s="1162"/>
    </row>
    <row r="87" spans="1:33" x14ac:dyDescent="0.3">
      <c r="A87" s="1118" t="s">
        <v>921</v>
      </c>
      <c r="B87" s="1118" t="s">
        <v>529</v>
      </c>
      <c r="C87" s="1193"/>
      <c r="D87" s="1194"/>
      <c r="E87" s="1194"/>
      <c r="F87" s="1195"/>
      <c r="G87" s="1194"/>
      <c r="H87" s="1194"/>
      <c r="I87" s="1196"/>
      <c r="J87" s="1196"/>
      <c r="K87" s="1196"/>
      <c r="L87" s="1196"/>
      <c r="M87" s="1194"/>
      <c r="N87" s="1191"/>
      <c r="O87" s="1197"/>
      <c r="P87" s="1198"/>
      <c r="Q87" s="1190">
        <v>46000</v>
      </c>
      <c r="R87" s="1199"/>
      <c r="S87" s="1265">
        <f>Q87/Q89</f>
        <v>0.14887767994590304</v>
      </c>
      <c r="T87" s="1256">
        <f>Q87</f>
        <v>46000</v>
      </c>
      <c r="U87" s="1170"/>
      <c r="Y87" s="1162">
        <f>T87</f>
        <v>46000</v>
      </c>
      <c r="Z87" s="1148"/>
      <c r="AA87" s="1149"/>
      <c r="AB87" s="1148"/>
      <c r="AC87" s="1150"/>
      <c r="AD87" s="1151"/>
      <c r="AE87" s="1150"/>
      <c r="AF87" s="1151"/>
      <c r="AG87" s="1147"/>
    </row>
    <row r="88" spans="1:33" x14ac:dyDescent="0.3">
      <c r="I88" s="1122">
        <f>I89/$M$89</f>
        <v>0.765625</v>
      </c>
      <c r="J88" s="1122"/>
      <c r="K88" s="1122">
        <f>K89/M89</f>
        <v>0.234375</v>
      </c>
      <c r="T88" s="1266"/>
      <c r="U88" s="1267"/>
      <c r="V88" s="1180"/>
      <c r="W88" s="1180"/>
      <c r="X88" s="1180"/>
      <c r="Y88" s="1202"/>
      <c r="Z88" s="1203"/>
      <c r="AA88" s="1204"/>
      <c r="AB88" s="1203"/>
      <c r="AC88" s="1181"/>
      <c r="AD88" s="1205"/>
      <c r="AE88" s="1181"/>
      <c r="AF88" s="1205"/>
      <c r="AG88" s="1202"/>
    </row>
    <row r="89" spans="1:33" x14ac:dyDescent="0.3">
      <c r="A89" s="1206" t="s">
        <v>531</v>
      </c>
      <c r="B89" s="1207"/>
      <c r="C89" s="1207"/>
      <c r="D89" s="1207"/>
      <c r="E89" s="1207"/>
      <c r="F89" s="1208"/>
      <c r="G89" s="1207"/>
      <c r="H89" s="1207"/>
      <c r="I89" s="1207">
        <f>I78+I75+I74+I73+I76+I82+I83+I80+I81+I77</f>
        <v>98</v>
      </c>
      <c r="J89" s="1207"/>
      <c r="K89" s="1207">
        <f>K79</f>
        <v>30</v>
      </c>
      <c r="L89" s="1207"/>
      <c r="M89" s="1207">
        <f>SUM(I89:L89)</f>
        <v>128</v>
      </c>
      <c r="N89" s="1209"/>
      <c r="O89" s="1210"/>
      <c r="P89" s="1209"/>
      <c r="Q89" s="1268">
        <f>SUM(Q72:Q88)</f>
        <v>308978.48499999999</v>
      </c>
      <c r="R89" s="1268"/>
      <c r="S89" s="1269">
        <f>SUM(S72:S87)</f>
        <v>1</v>
      </c>
      <c r="T89" s="1270">
        <f>SUM(T72:T88)</f>
        <v>308978.48499999999</v>
      </c>
      <c r="U89" s="1215">
        <f>SUM(U72:U88)</f>
        <v>202198.48499999999</v>
      </c>
      <c r="V89" s="1271"/>
      <c r="W89" s="1216">
        <f>SUM(W72:W88)</f>
        <v>60780</v>
      </c>
      <c r="X89" s="1271"/>
      <c r="Y89" s="1217">
        <f>SUM(Y72:Y88)</f>
        <v>46000</v>
      </c>
      <c r="Z89" s="1219">
        <f>SUM(Z72:Z88)</f>
        <v>220416.75</v>
      </c>
      <c r="AA89" s="1218">
        <f>SUM(AA72:AA88)</f>
        <v>42561.735000000001</v>
      </c>
      <c r="AB89" s="1219">
        <f>SUM(AB72:AB88)</f>
        <v>75641.25</v>
      </c>
      <c r="AC89" s="1220">
        <f>SUM(AC72:AC88)</f>
        <v>24321.735000000004</v>
      </c>
      <c r="AD89" s="1220">
        <f t="shared" ref="AD89:AF89" si="21">SUM(AD72:AD88)</f>
        <v>18240</v>
      </c>
      <c r="AE89" s="1220">
        <f t="shared" si="21"/>
        <v>83995.5</v>
      </c>
      <c r="AF89" s="1220">
        <f t="shared" si="21"/>
        <v>48780</v>
      </c>
      <c r="AG89" s="1217">
        <f>SUM(AG72:AG88)</f>
        <v>12000.000000000002</v>
      </c>
    </row>
    <row r="90" spans="1:33" x14ac:dyDescent="0.3">
      <c r="A90" s="1222" t="s">
        <v>532</v>
      </c>
      <c r="B90" s="1223"/>
      <c r="C90" s="1223"/>
      <c r="D90" s="1223"/>
      <c r="E90" s="1223"/>
      <c r="F90" s="1224"/>
      <c r="G90" s="1223"/>
      <c r="H90" s="1223"/>
      <c r="I90" s="1223">
        <f>I78+I75+I74+I73+I83+I76+I77+I80+I81+I82</f>
        <v>98</v>
      </c>
      <c r="J90" s="1223">
        <f>I73+I74+I75+I76+I77+I78+I80+I81+I82+I83</f>
        <v>98</v>
      </c>
      <c r="K90" s="1223">
        <f>I74+I75+I76+I77+I78+K79+I80+I81+I82+I83</f>
        <v>93</v>
      </c>
      <c r="L90" s="1223">
        <f>I74+I75+I76+I77+I78+K79+I80+I81+I82+I83</f>
        <v>93</v>
      </c>
      <c r="M90" s="1223">
        <f>SUM(I90:L90)</f>
        <v>382</v>
      </c>
      <c r="N90" s="1225"/>
      <c r="O90" s="1226"/>
      <c r="P90" s="1225"/>
      <c r="Q90" s="1225"/>
      <c r="R90" s="1225"/>
      <c r="S90" s="1272"/>
      <c r="T90" s="1273"/>
      <c r="U90" s="1231"/>
      <c r="V90" s="1274"/>
      <c r="W90" s="1274"/>
      <c r="X90" s="1274"/>
      <c r="Y90" s="1240"/>
      <c r="Z90" s="1236">
        <f>Z89/T89</f>
        <v>0.71337248611339399</v>
      </c>
      <c r="AA90" s="1235">
        <f>AA89/T89</f>
        <v>0.13774983394070303</v>
      </c>
      <c r="AB90" s="1275"/>
      <c r="AC90" s="1239"/>
      <c r="AD90" s="1238"/>
      <c r="AE90" s="1239"/>
      <c r="AF90" s="1238"/>
      <c r="AG90" s="1240"/>
    </row>
    <row r="91" spans="1:33" x14ac:dyDescent="0.3">
      <c r="A91" s="1241" t="s">
        <v>533</v>
      </c>
      <c r="B91" s="1186"/>
      <c r="C91" s="1186"/>
      <c r="D91" s="1186"/>
      <c r="E91" s="1186"/>
      <c r="F91" s="1187"/>
      <c r="G91" s="1186"/>
      <c r="H91" s="1186"/>
      <c r="I91" s="2194">
        <f>I90/$M$90</f>
        <v>0.25654450261780104</v>
      </c>
      <c r="J91" s="2194">
        <f t="shared" ref="J91:L91" si="22">J90/$M$90</f>
        <v>0.25654450261780104</v>
      </c>
      <c r="K91" s="2194">
        <f t="shared" si="22"/>
        <v>0.24345549738219896</v>
      </c>
      <c r="L91" s="2194">
        <f t="shared" si="22"/>
        <v>0.24345549738219896</v>
      </c>
      <c r="M91" s="1186"/>
      <c r="N91" s="1188"/>
      <c r="O91" s="1189"/>
      <c r="P91" s="1188"/>
      <c r="Q91" s="1182">
        <f>U89</f>
        <v>202198.48499999999</v>
      </c>
      <c r="R91" s="1184"/>
      <c r="S91" s="1242">
        <f>Q91/Q96</f>
        <v>0.6544095942473146</v>
      </c>
      <c r="T91" s="1100"/>
      <c r="U91" s="1276"/>
      <c r="Z91" s="1245">
        <f>I73+I74+I77+I78+K79+I81+I82+I83</f>
        <v>119</v>
      </c>
      <c r="AA91" s="1246">
        <f>I75+I76+I80</f>
        <v>9</v>
      </c>
    </row>
    <row r="92" spans="1:33" x14ac:dyDescent="0.3">
      <c r="A92" s="1247" t="s">
        <v>11</v>
      </c>
      <c r="B92" s="1194"/>
      <c r="C92" s="1194"/>
      <c r="D92" s="1194"/>
      <c r="E92" s="1194"/>
      <c r="F92" s="1195"/>
      <c r="G92" s="1194"/>
      <c r="H92" s="1194"/>
      <c r="I92" s="1196"/>
      <c r="J92" s="1196"/>
      <c r="K92" s="1196"/>
      <c r="L92" s="1196"/>
      <c r="M92" s="1194"/>
      <c r="N92" s="1191"/>
      <c r="O92" s="1197"/>
      <c r="P92" s="1191"/>
      <c r="Q92" s="1190">
        <f>V89</f>
        <v>0</v>
      </c>
      <c r="R92" s="1198"/>
      <c r="S92" s="1248">
        <f>Q92/Q96</f>
        <v>0</v>
      </c>
      <c r="T92" s="1050">
        <f>Q89/M89</f>
        <v>2413.8944140624999</v>
      </c>
      <c r="U92" s="1051" t="s">
        <v>535</v>
      </c>
      <c r="Y92" s="1161"/>
      <c r="Z92" s="1183">
        <f>Z91/M89</f>
        <v>0.9296875</v>
      </c>
      <c r="AA92" s="1242">
        <f>AA91/M89</f>
        <v>7.03125E-2</v>
      </c>
    </row>
    <row r="93" spans="1:33" x14ac:dyDescent="0.3">
      <c r="A93" s="1247" t="s">
        <v>536</v>
      </c>
      <c r="B93" s="1194"/>
      <c r="C93" s="1194"/>
      <c r="D93" s="1194"/>
      <c r="E93" s="1194"/>
      <c r="F93" s="1195"/>
      <c r="G93" s="1194"/>
      <c r="H93" s="1194"/>
      <c r="I93" s="1196"/>
      <c r="J93" s="1196"/>
      <c r="K93" s="1196"/>
      <c r="L93" s="1196"/>
      <c r="M93" s="1194"/>
      <c r="N93" s="1191"/>
      <c r="O93" s="1197"/>
      <c r="P93" s="1191"/>
      <c r="Q93" s="1190">
        <f>W89</f>
        <v>60780</v>
      </c>
      <c r="R93" s="1198"/>
      <c r="S93" s="1248">
        <f>Q93/Q96</f>
        <v>0.19671272580678231</v>
      </c>
      <c r="T93" s="1243"/>
      <c r="U93" s="1276"/>
      <c r="Y93" s="1161"/>
      <c r="Z93" s="2551" t="s">
        <v>537</v>
      </c>
      <c r="AA93" s="2551"/>
    </row>
    <row r="94" spans="1:33" x14ac:dyDescent="0.3">
      <c r="A94" s="1247" t="s">
        <v>529</v>
      </c>
      <c r="B94" s="1194"/>
      <c r="C94" s="1194"/>
      <c r="D94" s="1194"/>
      <c r="E94" s="1194"/>
      <c r="F94" s="1195"/>
      <c r="G94" s="1194"/>
      <c r="H94" s="1194"/>
      <c r="I94" s="1196"/>
      <c r="J94" s="1196"/>
      <c r="K94" s="1196"/>
      <c r="L94" s="1196"/>
      <c r="M94" s="1194"/>
      <c r="N94" s="1191"/>
      <c r="O94" s="1197"/>
      <c r="P94" s="1191"/>
      <c r="Q94" s="1190">
        <f>Y89</f>
        <v>46000</v>
      </c>
      <c r="R94" s="1198"/>
      <c r="S94" s="1248">
        <f>Q94/Q96</f>
        <v>0.14887767994590304</v>
      </c>
      <c r="T94" s="1243"/>
      <c r="V94" s="1249"/>
      <c r="W94" s="1249"/>
    </row>
    <row r="95" spans="1:33" x14ac:dyDescent="0.3">
      <c r="A95" s="1247" t="s">
        <v>528</v>
      </c>
      <c r="B95" s="1194"/>
      <c r="C95" s="1194"/>
      <c r="D95" s="1194"/>
      <c r="E95" s="1194"/>
      <c r="F95" s="1195"/>
      <c r="G95" s="1194"/>
      <c r="H95" s="1194"/>
      <c r="I95" s="1196"/>
      <c r="J95" s="1196"/>
      <c r="K95" s="1196"/>
      <c r="L95" s="1196"/>
      <c r="M95" s="1194"/>
      <c r="N95" s="1191"/>
      <c r="O95" s="1197"/>
      <c r="P95" s="1191"/>
      <c r="Q95" s="1190">
        <f>X89</f>
        <v>0</v>
      </c>
      <c r="R95" s="1198"/>
      <c r="S95" s="1248">
        <f>Q95/Q96</f>
        <v>0</v>
      </c>
      <c r="T95" s="1243"/>
    </row>
    <row r="96" spans="1:33" x14ac:dyDescent="0.3">
      <c r="A96" s="1247"/>
      <c r="B96" s="1194"/>
      <c r="C96" s="1194"/>
      <c r="D96" s="1194"/>
      <c r="E96" s="1194"/>
      <c r="F96" s="1195"/>
      <c r="G96" s="1194"/>
      <c r="H96" s="1194"/>
      <c r="I96" s="1196"/>
      <c r="J96" s="1196"/>
      <c r="K96" s="1196"/>
      <c r="L96" s="1196"/>
      <c r="M96" s="1194"/>
      <c r="N96" s="1191"/>
      <c r="O96" s="1197"/>
      <c r="P96" s="1191"/>
      <c r="Q96" s="1250">
        <f>SUM(Q91:Q95)</f>
        <v>308978.48499999999</v>
      </c>
      <c r="R96" s="1251"/>
      <c r="S96" s="1248">
        <f>SUM(S91:S95)</f>
        <v>1</v>
      </c>
      <c r="T96" s="1243"/>
    </row>
    <row r="97" spans="1:33" x14ac:dyDescent="0.3">
      <c r="B97" s="83"/>
    </row>
    <row r="98" spans="1:33" x14ac:dyDescent="0.3">
      <c r="B98" s="83"/>
    </row>
    <row r="99" spans="1:33" x14ac:dyDescent="0.3">
      <c r="B99" s="83"/>
    </row>
    <row r="100" spans="1:33" x14ac:dyDescent="0.3">
      <c r="B100" s="83"/>
    </row>
    <row r="102" spans="1:33" x14ac:dyDescent="0.3">
      <c r="B102" s="82"/>
      <c r="C102" s="82"/>
    </row>
    <row r="103" spans="1:33" x14ac:dyDescent="0.3">
      <c r="E103" s="82" t="s">
        <v>543</v>
      </c>
      <c r="F103" s="83" t="s">
        <v>628</v>
      </c>
      <c r="G103" s="82" t="s">
        <v>545</v>
      </c>
      <c r="H103" s="82"/>
      <c r="I103" s="1123">
        <v>0.56000000000000005</v>
      </c>
      <c r="J103" s="1123"/>
    </row>
    <row r="104" spans="1:33" x14ac:dyDescent="0.3">
      <c r="E104" s="82" t="s">
        <v>473</v>
      </c>
      <c r="F104" s="83" t="s">
        <v>923</v>
      </c>
      <c r="G104" s="82" t="s">
        <v>473</v>
      </c>
      <c r="H104" s="82"/>
      <c r="I104" s="82">
        <v>41</v>
      </c>
      <c r="J104" s="82"/>
    </row>
    <row r="105" spans="1:33" x14ac:dyDescent="0.3">
      <c r="E105" s="82" t="s">
        <v>475</v>
      </c>
      <c r="F105" s="83" t="s">
        <v>924</v>
      </c>
      <c r="G105" s="82" t="s">
        <v>475</v>
      </c>
      <c r="H105" s="82"/>
      <c r="I105" s="1102">
        <v>2270</v>
      </c>
      <c r="J105" s="1102"/>
    </row>
    <row r="106" spans="1:33" x14ac:dyDescent="0.3">
      <c r="E106" s="82" t="s">
        <v>477</v>
      </c>
      <c r="F106" s="83" t="s">
        <v>925</v>
      </c>
      <c r="G106" s="82" t="s">
        <v>477</v>
      </c>
      <c r="H106" s="82"/>
      <c r="I106" s="1102">
        <v>7907075</v>
      </c>
      <c r="J106" s="1102"/>
    </row>
    <row r="107" spans="1:33" ht="18" x14ac:dyDescent="0.35">
      <c r="A107" s="1037" t="s">
        <v>549</v>
      </c>
      <c r="N107" s="1127"/>
      <c r="P107" s="1127"/>
      <c r="Q107" s="1127"/>
      <c r="R107" s="1101"/>
      <c r="S107" s="1127"/>
      <c r="T107" s="1127"/>
      <c r="U107" s="1127"/>
      <c r="V107" s="1127"/>
      <c r="W107" s="1127"/>
      <c r="X107" s="1127"/>
      <c r="Y107" s="1127"/>
      <c r="Z107" s="1127"/>
      <c r="AA107" s="1127"/>
      <c r="AB107" s="1127"/>
      <c r="AC107" s="1127"/>
      <c r="AD107" s="1127"/>
      <c r="AE107" s="1127"/>
      <c r="AF107" s="1127"/>
      <c r="AG107" s="1127"/>
    </row>
    <row r="108" spans="1:33" x14ac:dyDescent="0.3">
      <c r="N108" s="1127"/>
      <c r="P108" s="1127"/>
      <c r="Q108" s="1127"/>
      <c r="R108" s="1101"/>
      <c r="S108" s="1127"/>
      <c r="T108" s="1127"/>
      <c r="U108" s="1127"/>
      <c r="V108" s="1127"/>
      <c r="W108" s="1127"/>
      <c r="X108" s="1127"/>
      <c r="Y108" s="1127"/>
      <c r="Z108" s="1127"/>
      <c r="AA108" s="1127"/>
      <c r="AB108" s="1127"/>
      <c r="AC108" s="1127"/>
      <c r="AD108" s="1127"/>
      <c r="AE108" s="1127"/>
      <c r="AF108" s="1127"/>
      <c r="AG108" s="1127"/>
    </row>
    <row r="109" spans="1:33" x14ac:dyDescent="0.3">
      <c r="A109" s="2587" t="s">
        <v>480</v>
      </c>
      <c r="B109" s="2588"/>
      <c r="C109" s="2588"/>
      <c r="D109" s="2588"/>
      <c r="E109" s="2588"/>
      <c r="F109" s="2588"/>
      <c r="G109" s="2588"/>
      <c r="H109" s="2588"/>
      <c r="I109" s="2588"/>
      <c r="J109" s="2588"/>
      <c r="K109" s="2588"/>
      <c r="L109" s="2588"/>
      <c r="M109" s="2588"/>
      <c r="N109" s="2588"/>
      <c r="O109" s="2588"/>
      <c r="P109" s="2588"/>
      <c r="Q109" s="2588"/>
      <c r="R109" s="2588"/>
      <c r="S109" s="2589"/>
      <c r="T109" s="2563" t="s">
        <v>584</v>
      </c>
      <c r="U109" s="2564"/>
      <c r="V109" s="2564"/>
      <c r="W109" s="2564"/>
      <c r="X109" s="2564"/>
      <c r="Y109" s="2564"/>
      <c r="Z109" s="2564"/>
      <c r="AA109" s="2564"/>
      <c r="AB109" s="2564"/>
      <c r="AC109" s="2564"/>
      <c r="AD109" s="2564"/>
      <c r="AE109" s="2564"/>
      <c r="AF109" s="2564"/>
      <c r="AG109" s="2576"/>
    </row>
    <row r="110" spans="1:33" ht="78" x14ac:dyDescent="0.3">
      <c r="A110" s="2677" t="s">
        <v>482</v>
      </c>
      <c r="B110" s="2679" t="s">
        <v>483</v>
      </c>
      <c r="C110" s="2679" t="s">
        <v>484</v>
      </c>
      <c r="D110" s="2679" t="s">
        <v>485</v>
      </c>
      <c r="E110" s="2679" t="s">
        <v>486</v>
      </c>
      <c r="F110" s="2679" t="s">
        <v>487</v>
      </c>
      <c r="G110" s="2666" t="s">
        <v>488</v>
      </c>
      <c r="H110" s="2668" t="s">
        <v>489</v>
      </c>
      <c r="I110" s="2670" t="s">
        <v>490</v>
      </c>
      <c r="J110" s="2671"/>
      <c r="K110" s="2671"/>
      <c r="L110" s="2672"/>
      <c r="M110" s="2673" t="s">
        <v>863</v>
      </c>
      <c r="N110" s="2675" t="s">
        <v>864</v>
      </c>
      <c r="O110" s="2666" t="s">
        <v>865</v>
      </c>
      <c r="P110" s="2675" t="s">
        <v>866</v>
      </c>
      <c r="Q110" s="2675" t="s">
        <v>867</v>
      </c>
      <c r="R110" s="2681" t="s">
        <v>495</v>
      </c>
      <c r="S110" s="1277" t="s">
        <v>495</v>
      </c>
      <c r="T110" s="1278" t="s">
        <v>496</v>
      </c>
      <c r="U110" s="2651" t="s">
        <v>497</v>
      </c>
      <c r="V110" s="2651"/>
      <c r="W110" s="2651"/>
      <c r="X110" s="2651"/>
      <c r="Y110" s="2651"/>
      <c r="Z110" s="2647" t="s">
        <v>498</v>
      </c>
      <c r="AA110" s="2648"/>
      <c r="AB110" s="2647" t="s">
        <v>499</v>
      </c>
      <c r="AC110" s="2651"/>
      <c r="AD110" s="2651"/>
      <c r="AE110" s="2651"/>
      <c r="AF110" s="2651"/>
      <c r="AG110" s="2648"/>
    </row>
    <row r="111" spans="1:33" ht="15.6" x14ac:dyDescent="0.3">
      <c r="A111" s="2678"/>
      <c r="B111" s="2680"/>
      <c r="C111" s="2680"/>
      <c r="D111" s="2680"/>
      <c r="E111" s="2680"/>
      <c r="F111" s="2680"/>
      <c r="G111" s="2667"/>
      <c r="H111" s="2669"/>
      <c r="I111" s="1279" t="s">
        <v>500</v>
      </c>
      <c r="J111" s="1279" t="s">
        <v>501</v>
      </c>
      <c r="K111" s="1280" t="s">
        <v>502</v>
      </c>
      <c r="L111" s="1280" t="s">
        <v>503</v>
      </c>
      <c r="M111" s="2674"/>
      <c r="N111" s="2676"/>
      <c r="O111" s="2667"/>
      <c r="P111" s="2676"/>
      <c r="Q111" s="2676"/>
      <c r="R111" s="2682"/>
      <c r="S111" s="1281"/>
      <c r="T111" s="1282" t="s">
        <v>508</v>
      </c>
      <c r="U111" s="2652"/>
      <c r="V111" s="2652"/>
      <c r="W111" s="2652"/>
      <c r="X111" s="2652"/>
      <c r="Y111" s="2652"/>
      <c r="Z111" s="2649"/>
      <c r="AA111" s="2650"/>
      <c r="AB111" s="2649"/>
      <c r="AC111" s="2652"/>
      <c r="AD111" s="2652"/>
      <c r="AE111" s="2652"/>
      <c r="AF111" s="2652"/>
      <c r="AG111" s="2650"/>
    </row>
    <row r="112" spans="1:33" ht="18" x14ac:dyDescent="0.35">
      <c r="A112" s="2664" t="s">
        <v>639</v>
      </c>
      <c r="B112" s="2665"/>
      <c r="C112" s="2665"/>
      <c r="D112" s="2665"/>
      <c r="E112" s="2665"/>
      <c r="F112" s="2665"/>
      <c r="G112" s="2665"/>
      <c r="H112" s="2665"/>
      <c r="I112" s="2665"/>
      <c r="J112" s="2665"/>
      <c r="K112" s="2665"/>
      <c r="L112" s="2665"/>
      <c r="M112" s="2665"/>
      <c r="N112" s="2665"/>
      <c r="O112" s="2665"/>
      <c r="P112" s="2665"/>
      <c r="Q112" s="2665"/>
      <c r="R112" s="2665"/>
      <c r="S112" s="2665"/>
      <c r="T112" s="1252"/>
      <c r="U112" s="1283" t="s">
        <v>510</v>
      </c>
      <c r="V112" s="1283" t="s">
        <v>11</v>
      </c>
      <c r="W112" s="1283" t="s">
        <v>511</v>
      </c>
      <c r="X112" s="1283" t="s">
        <v>512</v>
      </c>
      <c r="Y112" s="1283" t="s">
        <v>513</v>
      </c>
      <c r="Z112" s="1284" t="s">
        <v>514</v>
      </c>
      <c r="AA112" s="1285" t="s">
        <v>515</v>
      </c>
      <c r="AB112" s="1041" t="s">
        <v>171</v>
      </c>
      <c r="AC112" s="1041" t="s">
        <v>12</v>
      </c>
      <c r="AD112" s="1041" t="s">
        <v>172</v>
      </c>
      <c r="AE112" s="1041" t="s">
        <v>173</v>
      </c>
      <c r="AF112" s="1044" t="s">
        <v>139</v>
      </c>
      <c r="AG112" s="1045" t="s">
        <v>5</v>
      </c>
    </row>
    <row r="113" spans="1:33" x14ac:dyDescent="0.3">
      <c r="A113" s="1134"/>
      <c r="B113" s="1135"/>
      <c r="C113" s="1135"/>
      <c r="D113" s="1135"/>
      <c r="E113" s="1135"/>
      <c r="F113" s="1136"/>
      <c r="G113" s="1135"/>
      <c r="H113" s="1135"/>
      <c r="I113" s="1138"/>
      <c r="J113" s="1138"/>
      <c r="K113" s="1138"/>
      <c r="L113" s="1138"/>
      <c r="M113" s="1135"/>
      <c r="N113" s="1141"/>
      <c r="O113" s="1142"/>
      <c r="P113" s="1141"/>
      <c r="Q113" s="1141"/>
      <c r="R113" s="1143"/>
      <c r="S113" s="1286"/>
      <c r="T113" s="1254"/>
      <c r="U113" s="1085"/>
      <c r="Z113" s="1287"/>
      <c r="AA113" s="1147"/>
      <c r="AB113" s="1150"/>
      <c r="AC113" s="1134"/>
      <c r="AD113" s="1134"/>
      <c r="AE113" s="1134"/>
      <c r="AF113" s="1134"/>
      <c r="AG113" s="1147"/>
    </row>
    <row r="114" spans="1:33" x14ac:dyDescent="0.3">
      <c r="A114" s="1055" t="s">
        <v>920</v>
      </c>
      <c r="B114" s="1055" t="s">
        <v>427</v>
      </c>
      <c r="C114" s="1055" t="s">
        <v>883</v>
      </c>
      <c r="D114" s="1055" t="s">
        <v>166</v>
      </c>
      <c r="E114" s="1055" t="s">
        <v>520</v>
      </c>
      <c r="F114" s="1152" t="s">
        <v>613</v>
      </c>
      <c r="G114" s="1055">
        <v>20</v>
      </c>
      <c r="H114" s="1055" t="s">
        <v>63</v>
      </c>
      <c r="I114" s="2627">
        <v>20</v>
      </c>
      <c r="J114" s="2628"/>
      <c r="L114" s="1150"/>
      <c r="M114" s="1154">
        <v>1</v>
      </c>
      <c r="N114" s="1165">
        <v>1875</v>
      </c>
      <c r="O114" s="1166">
        <v>0.06</v>
      </c>
      <c r="P114" s="1165">
        <f t="shared" ref="P114:P126" si="23">N114*(1-O114)</f>
        <v>1762.5</v>
      </c>
      <c r="Q114" s="1165">
        <f t="shared" ref="Q114:Q126" si="24">P114*M114*G114</f>
        <v>35250</v>
      </c>
      <c r="R114" s="1167" t="e">
        <f>(Q114+Q119)/E91*1000</f>
        <v>#DIV/0!</v>
      </c>
      <c r="S114" s="1258">
        <f>Q114/$Q$135</f>
        <v>0.1392666950691708</v>
      </c>
      <c r="T114" s="1256">
        <f t="shared" ref="T114:T126" si="25">Q114*3</f>
        <v>105750</v>
      </c>
      <c r="U114" s="1161">
        <f t="shared" ref="U114:U126" si="26">T114</f>
        <v>105750</v>
      </c>
      <c r="Z114" s="1288">
        <f>T114</f>
        <v>105750</v>
      </c>
      <c r="AA114" s="1162"/>
      <c r="AB114" s="1173">
        <f>T114</f>
        <v>105750</v>
      </c>
      <c r="AC114" s="1151"/>
      <c r="AD114" s="1151"/>
      <c r="AE114" s="1151"/>
      <c r="AF114" s="1151"/>
      <c r="AG114" s="1147"/>
    </row>
    <row r="115" spans="1:33" x14ac:dyDescent="0.3">
      <c r="A115" s="1055" t="s">
        <v>920</v>
      </c>
      <c r="B115" s="1055" t="s">
        <v>427</v>
      </c>
      <c r="C115" s="1055" t="s">
        <v>884</v>
      </c>
      <c r="D115" s="1055" t="s">
        <v>26</v>
      </c>
      <c r="E115" s="1055" t="s">
        <v>520</v>
      </c>
      <c r="F115" s="1152" t="s">
        <v>521</v>
      </c>
      <c r="G115" s="1055">
        <v>1</v>
      </c>
      <c r="H115" s="1055" t="s">
        <v>24</v>
      </c>
      <c r="I115" s="2630">
        <v>1</v>
      </c>
      <c r="J115" s="2631"/>
      <c r="K115" s="2631"/>
      <c r="L115" s="2632"/>
      <c r="M115" s="1154">
        <v>1</v>
      </c>
      <c r="N115" s="1165">
        <v>6000</v>
      </c>
      <c r="O115" s="1166">
        <v>0.04</v>
      </c>
      <c r="P115" s="1165">
        <f t="shared" si="23"/>
        <v>5760</v>
      </c>
      <c r="Q115" s="1165">
        <f t="shared" si="24"/>
        <v>5760</v>
      </c>
      <c r="R115" s="1167" t="e">
        <f>(Q115+Q123)/E91*1000</f>
        <v>#DIV/0!</v>
      </c>
      <c r="S115" s="1258">
        <f>Q115/$Q$135</f>
        <v>2.2756770598536848E-2</v>
      </c>
      <c r="T115" s="1256">
        <f t="shared" si="25"/>
        <v>17280</v>
      </c>
      <c r="U115" s="1161">
        <f t="shared" si="26"/>
        <v>17280</v>
      </c>
      <c r="W115" s="1161"/>
      <c r="Z115" s="1289">
        <f>T115</f>
        <v>17280</v>
      </c>
      <c r="AA115" s="1162"/>
      <c r="AB115" s="1173">
        <f t="shared" ref="AB115:AB116" si="27">T115</f>
        <v>17280</v>
      </c>
      <c r="AC115" s="1151"/>
      <c r="AD115" s="1151"/>
      <c r="AE115" s="1151"/>
      <c r="AF115" s="1151"/>
      <c r="AG115" s="1147"/>
    </row>
    <row r="116" spans="1:33" x14ac:dyDescent="0.3">
      <c r="A116" s="1055" t="s">
        <v>920</v>
      </c>
      <c r="B116" s="1055" t="s">
        <v>427</v>
      </c>
      <c r="C116" s="1055" t="s">
        <v>884</v>
      </c>
      <c r="D116" s="1055" t="s">
        <v>21</v>
      </c>
      <c r="E116" s="1055" t="s">
        <v>518</v>
      </c>
      <c r="F116" s="1152" t="s">
        <v>519</v>
      </c>
      <c r="G116" s="1055">
        <v>3</v>
      </c>
      <c r="H116" s="1055" t="s">
        <v>24</v>
      </c>
      <c r="I116" s="2630">
        <v>3</v>
      </c>
      <c r="J116" s="2631"/>
      <c r="K116" s="2631"/>
      <c r="L116" s="2632"/>
      <c r="M116" s="1154">
        <v>1</v>
      </c>
      <c r="N116" s="1165">
        <v>2875</v>
      </c>
      <c r="O116" s="1166">
        <v>0.05</v>
      </c>
      <c r="P116" s="1165">
        <f t="shared" si="23"/>
        <v>2731.25</v>
      </c>
      <c r="Q116" s="1165">
        <f t="shared" si="24"/>
        <v>8193.75</v>
      </c>
      <c r="R116" s="1167"/>
      <c r="S116" s="1259">
        <f>Q116/$Q$135</f>
        <v>3.2372098800653004E-2</v>
      </c>
      <c r="T116" s="1256">
        <f t="shared" si="25"/>
        <v>24581.25</v>
      </c>
      <c r="U116" s="1161">
        <f t="shared" si="26"/>
        <v>24581.25</v>
      </c>
      <c r="Z116" s="1288"/>
      <c r="AA116" s="1162">
        <f>T116</f>
        <v>24581.25</v>
      </c>
      <c r="AB116" s="1173">
        <f t="shared" si="27"/>
        <v>24581.25</v>
      </c>
      <c r="AC116" s="1151"/>
      <c r="AD116" s="1151"/>
      <c r="AE116" s="1151"/>
      <c r="AF116" s="1151"/>
      <c r="AG116" s="1147"/>
    </row>
    <row r="117" spans="1:33" x14ac:dyDescent="0.3">
      <c r="A117" s="1055" t="s">
        <v>920</v>
      </c>
      <c r="B117" s="1055" t="s">
        <v>409</v>
      </c>
      <c r="C117" s="1055" t="s">
        <v>884</v>
      </c>
      <c r="D117" s="1055" t="s">
        <v>21</v>
      </c>
      <c r="E117" s="1055" t="s">
        <v>518</v>
      </c>
      <c r="F117" s="1152" t="s">
        <v>519</v>
      </c>
      <c r="G117" s="1055">
        <v>3</v>
      </c>
      <c r="H117" s="1055" t="s">
        <v>24</v>
      </c>
      <c r="I117" s="2630">
        <v>3</v>
      </c>
      <c r="J117" s="2631"/>
      <c r="K117" s="2631"/>
      <c r="L117" s="2632"/>
      <c r="M117" s="1154">
        <v>1</v>
      </c>
      <c r="N117" s="1165">
        <v>27024.15</v>
      </c>
      <c r="O117" s="1166">
        <v>0.7</v>
      </c>
      <c r="P117" s="1165">
        <f t="shared" si="23"/>
        <v>8107.2450000000017</v>
      </c>
      <c r="Q117" s="1165">
        <f t="shared" si="24"/>
        <v>24321.735000000004</v>
      </c>
      <c r="R117" s="1167"/>
      <c r="S117" s="1259">
        <f>Q117/$Q$135</f>
        <v>9.6090997214132765E-2</v>
      </c>
      <c r="T117" s="1256">
        <f t="shared" si="25"/>
        <v>72965.205000000016</v>
      </c>
      <c r="U117" s="1161">
        <f t="shared" si="26"/>
        <v>72965.205000000016</v>
      </c>
      <c r="Z117" s="1288"/>
      <c r="AA117" s="1162">
        <f>T117</f>
        <v>72965.205000000016</v>
      </c>
      <c r="AB117" s="1150"/>
      <c r="AC117" s="1175">
        <f>T117</f>
        <v>72965.205000000016</v>
      </c>
      <c r="AD117" s="1151"/>
      <c r="AE117" s="1151"/>
      <c r="AF117" s="1151"/>
      <c r="AG117" s="1147"/>
    </row>
    <row r="118" spans="1:33" x14ac:dyDescent="0.3">
      <c r="A118" s="1055" t="s">
        <v>920</v>
      </c>
      <c r="B118" s="1055" t="s">
        <v>427</v>
      </c>
      <c r="C118" s="1055" t="s">
        <v>884</v>
      </c>
      <c r="D118" s="1055" t="s">
        <v>29</v>
      </c>
      <c r="E118" s="1055" t="s">
        <v>520</v>
      </c>
      <c r="F118" s="1152" t="s">
        <v>551</v>
      </c>
      <c r="G118" s="1055">
        <v>1</v>
      </c>
      <c r="H118" s="1055" t="s">
        <v>24</v>
      </c>
      <c r="I118" s="2630">
        <v>1</v>
      </c>
      <c r="J118" s="2631"/>
      <c r="K118" s="2631"/>
      <c r="L118" s="2632"/>
      <c r="M118" s="1154">
        <v>1</v>
      </c>
      <c r="N118" s="1165">
        <v>16250</v>
      </c>
      <c r="O118" s="1166">
        <v>0.05</v>
      </c>
      <c r="P118" s="1165">
        <f t="shared" si="23"/>
        <v>15437.5</v>
      </c>
      <c r="Q118" s="1165">
        <f t="shared" si="24"/>
        <v>15437.5</v>
      </c>
      <c r="R118" s="1167"/>
      <c r="S118" s="1258">
        <f t="shared" ref="S118:S126" si="28">Q118/$Q$135</f>
        <v>6.0990910783838989E-2</v>
      </c>
      <c r="T118" s="1256">
        <f t="shared" si="25"/>
        <v>46312.5</v>
      </c>
      <c r="U118" s="1161">
        <f t="shared" si="26"/>
        <v>46312.5</v>
      </c>
      <c r="Z118" s="1288"/>
      <c r="AA118" s="1162"/>
      <c r="AB118" s="1173">
        <f>T118</f>
        <v>46312.5</v>
      </c>
      <c r="AC118" s="1151"/>
      <c r="AD118" s="1151"/>
      <c r="AE118" s="1151"/>
      <c r="AF118" s="1151"/>
      <c r="AG118" s="1147"/>
    </row>
    <row r="119" spans="1:33" x14ac:dyDescent="0.3">
      <c r="A119" s="1055" t="s">
        <v>920</v>
      </c>
      <c r="B119" s="1055" t="s">
        <v>428</v>
      </c>
      <c r="C119" s="1055" t="s">
        <v>884</v>
      </c>
      <c r="D119" s="1055" t="s">
        <v>29</v>
      </c>
      <c r="E119" s="1055" t="s">
        <v>520</v>
      </c>
      <c r="F119" s="1152" t="s">
        <v>551</v>
      </c>
      <c r="G119" s="1055">
        <v>1</v>
      </c>
      <c r="H119" s="1055" t="s">
        <v>24</v>
      </c>
      <c r="I119" s="2630">
        <v>1</v>
      </c>
      <c r="J119" s="2631"/>
      <c r="K119" s="2631"/>
      <c r="L119" s="2632"/>
      <c r="M119" s="1154">
        <v>1</v>
      </c>
      <c r="N119" s="1165">
        <v>24500</v>
      </c>
      <c r="O119" s="1166">
        <v>0.05</v>
      </c>
      <c r="P119" s="1165">
        <f t="shared" si="23"/>
        <v>23275</v>
      </c>
      <c r="Q119" s="1165">
        <f t="shared" si="24"/>
        <v>23275</v>
      </c>
      <c r="R119" s="1167"/>
      <c r="S119" s="1258">
        <f t="shared" si="28"/>
        <v>9.1955527027941866E-2</v>
      </c>
      <c r="T119" s="1256">
        <f t="shared" si="25"/>
        <v>69825</v>
      </c>
      <c r="U119" s="1161">
        <f t="shared" si="26"/>
        <v>69825</v>
      </c>
      <c r="V119" s="1161"/>
      <c r="Z119" s="1288"/>
      <c r="AA119" s="1162"/>
      <c r="AB119" s="1150"/>
      <c r="AC119" s="1151"/>
      <c r="AD119" s="1175">
        <f>T119</f>
        <v>69825</v>
      </c>
      <c r="AE119" s="1151"/>
      <c r="AF119" s="1151"/>
      <c r="AG119" s="1147"/>
    </row>
    <row r="120" spans="1:33" x14ac:dyDescent="0.3">
      <c r="A120" s="1055" t="s">
        <v>920</v>
      </c>
      <c r="B120" s="1055" t="s">
        <v>428</v>
      </c>
      <c r="C120" s="1055" t="s">
        <v>884</v>
      </c>
      <c r="D120" s="1055" t="s">
        <v>26</v>
      </c>
      <c r="E120" s="1055" t="s">
        <v>524</v>
      </c>
      <c r="F120" s="1152" t="s">
        <v>521</v>
      </c>
      <c r="G120" s="1055">
        <v>2</v>
      </c>
      <c r="H120" s="1055" t="s">
        <v>24</v>
      </c>
      <c r="I120" s="2630">
        <v>2</v>
      </c>
      <c r="J120" s="2631"/>
      <c r="K120" s="2631"/>
      <c r="L120" s="2632"/>
      <c r="M120" s="1055">
        <v>1</v>
      </c>
      <c r="N120" s="1165">
        <v>4800</v>
      </c>
      <c r="O120" s="1166">
        <v>0.05</v>
      </c>
      <c r="P120" s="1165">
        <f t="shared" si="23"/>
        <v>4560</v>
      </c>
      <c r="Q120" s="1165">
        <f t="shared" si="24"/>
        <v>9120</v>
      </c>
      <c r="R120" s="1167"/>
      <c r="S120" s="1258">
        <f t="shared" si="28"/>
        <v>3.6031553447683343E-2</v>
      </c>
      <c r="T120" s="1256">
        <f t="shared" si="25"/>
        <v>27360</v>
      </c>
      <c r="U120" s="1161">
        <f t="shared" si="26"/>
        <v>27360</v>
      </c>
      <c r="Z120" s="1288">
        <f>T120</f>
        <v>27360</v>
      </c>
      <c r="AA120" s="1147"/>
      <c r="AB120" s="1150"/>
      <c r="AC120" s="1151"/>
      <c r="AD120" s="1175">
        <f t="shared" ref="AD120:AD121" si="29">T120</f>
        <v>27360</v>
      </c>
      <c r="AE120" s="1151"/>
      <c r="AF120" s="1151"/>
      <c r="AG120" s="1147"/>
    </row>
    <row r="121" spans="1:33" x14ac:dyDescent="0.3">
      <c r="A121" s="1055" t="s">
        <v>920</v>
      </c>
      <c r="B121" s="1055" t="s">
        <v>428</v>
      </c>
      <c r="C121" s="1055" t="s">
        <v>884</v>
      </c>
      <c r="D121" s="1055" t="s">
        <v>429</v>
      </c>
      <c r="E121" s="1055" t="s">
        <v>520</v>
      </c>
      <c r="F121" s="1152" t="s">
        <v>551</v>
      </c>
      <c r="G121" s="1055">
        <v>1</v>
      </c>
      <c r="H121" s="1055" t="s">
        <v>24</v>
      </c>
      <c r="I121" s="2630">
        <v>1</v>
      </c>
      <c r="J121" s="2631"/>
      <c r="K121" s="2631"/>
      <c r="L121" s="2632"/>
      <c r="M121" s="1055">
        <v>1</v>
      </c>
      <c r="N121" s="1165">
        <v>23400</v>
      </c>
      <c r="O121" s="1166">
        <v>0.05</v>
      </c>
      <c r="P121" s="1165">
        <f t="shared" si="23"/>
        <v>22230</v>
      </c>
      <c r="Q121" s="1165">
        <f t="shared" si="24"/>
        <v>22230</v>
      </c>
      <c r="R121" s="1167"/>
      <c r="S121" s="1258">
        <f t="shared" si="28"/>
        <v>8.7826911528728152E-2</v>
      </c>
      <c r="T121" s="1256">
        <f t="shared" si="25"/>
        <v>66690</v>
      </c>
      <c r="U121" s="1161">
        <f t="shared" si="26"/>
        <v>66690</v>
      </c>
      <c r="Z121" s="1287"/>
      <c r="AA121" s="1162">
        <f>T121</f>
        <v>66690</v>
      </c>
      <c r="AB121" s="1150"/>
      <c r="AC121" s="1151"/>
      <c r="AD121" s="1175">
        <f t="shared" si="29"/>
        <v>66690</v>
      </c>
      <c r="AE121" s="1151"/>
      <c r="AF121" s="1151"/>
      <c r="AG121" s="1147"/>
    </row>
    <row r="122" spans="1:33" x14ac:dyDescent="0.3">
      <c r="A122" s="1055" t="s">
        <v>920</v>
      </c>
      <c r="B122" s="1055" t="s">
        <v>430</v>
      </c>
      <c r="C122" s="1055" t="s">
        <v>884</v>
      </c>
      <c r="D122" s="1055" t="s">
        <v>26</v>
      </c>
      <c r="E122" s="1055" t="s">
        <v>524</v>
      </c>
      <c r="F122" s="1152" t="s">
        <v>521</v>
      </c>
      <c r="G122" s="1055">
        <v>1</v>
      </c>
      <c r="H122" s="1055" t="s">
        <v>24</v>
      </c>
      <c r="I122" s="2630">
        <v>1</v>
      </c>
      <c r="J122" s="2631"/>
      <c r="K122" s="2631"/>
      <c r="L122" s="2632"/>
      <c r="M122" s="1055">
        <v>1</v>
      </c>
      <c r="N122" s="1165">
        <v>12555</v>
      </c>
      <c r="O122" s="1166">
        <v>0.6</v>
      </c>
      <c r="P122" s="1176">
        <f t="shared" si="23"/>
        <v>5022</v>
      </c>
      <c r="Q122" s="1165">
        <f t="shared" si="24"/>
        <v>5022</v>
      </c>
      <c r="R122" s="1167"/>
      <c r="S122" s="1258">
        <f t="shared" si="28"/>
        <v>1.9841059365599312E-2</v>
      </c>
      <c r="T122" s="1256">
        <f t="shared" si="25"/>
        <v>15066</v>
      </c>
      <c r="U122" s="1161">
        <f t="shared" si="26"/>
        <v>15066</v>
      </c>
      <c r="Z122" s="1288">
        <f>T122</f>
        <v>15066</v>
      </c>
      <c r="AA122" s="1147"/>
      <c r="AB122" s="1150"/>
      <c r="AC122" s="1151"/>
      <c r="AD122" s="1151"/>
      <c r="AE122" s="1175">
        <f>T122</f>
        <v>15066</v>
      </c>
      <c r="AF122" s="1151"/>
      <c r="AG122" s="1147"/>
    </row>
    <row r="123" spans="1:33" x14ac:dyDescent="0.3">
      <c r="A123" s="1055" t="s">
        <v>920</v>
      </c>
      <c r="B123" s="1055" t="s">
        <v>430</v>
      </c>
      <c r="C123" s="1055" t="s">
        <v>884</v>
      </c>
      <c r="D123" s="1055" t="s">
        <v>166</v>
      </c>
      <c r="E123" s="1055" t="s">
        <v>520</v>
      </c>
      <c r="F123" s="1152" t="s">
        <v>613</v>
      </c>
      <c r="G123" s="1055">
        <v>15</v>
      </c>
      <c r="H123" s="1055" t="s">
        <v>24</v>
      </c>
      <c r="I123" s="1153"/>
      <c r="K123" s="2631">
        <v>15</v>
      </c>
      <c r="L123" s="2632"/>
      <c r="M123" s="1055">
        <v>1</v>
      </c>
      <c r="N123" s="1165">
        <v>4075</v>
      </c>
      <c r="O123" s="1166">
        <v>0.6</v>
      </c>
      <c r="P123" s="1176">
        <f t="shared" si="23"/>
        <v>1630</v>
      </c>
      <c r="Q123" s="1165">
        <f t="shared" si="24"/>
        <v>24450</v>
      </c>
      <c r="R123" s="1167"/>
      <c r="S123" s="1258">
        <f t="shared" si="28"/>
        <v>9.6597750196914217E-2</v>
      </c>
      <c r="T123" s="1256">
        <f t="shared" si="25"/>
        <v>73350</v>
      </c>
      <c r="U123" s="1161">
        <f t="shared" si="26"/>
        <v>73350</v>
      </c>
      <c r="V123" s="1161"/>
      <c r="Z123" s="1288">
        <f>T123</f>
        <v>73350</v>
      </c>
      <c r="AA123" s="1147"/>
      <c r="AB123" s="1150"/>
      <c r="AC123" s="1151"/>
      <c r="AD123" s="1151"/>
      <c r="AE123" s="1175">
        <f t="shared" ref="AE123:AE126" si="30">T123</f>
        <v>73350</v>
      </c>
      <c r="AF123" s="1151"/>
      <c r="AG123" s="1147"/>
    </row>
    <row r="124" spans="1:33" x14ac:dyDescent="0.3">
      <c r="A124" s="1055" t="s">
        <v>920</v>
      </c>
      <c r="B124" s="1055" t="s">
        <v>430</v>
      </c>
      <c r="C124" s="1055" t="s">
        <v>884</v>
      </c>
      <c r="D124" s="1055" t="s">
        <v>21</v>
      </c>
      <c r="E124" s="1055" t="s">
        <v>518</v>
      </c>
      <c r="F124" s="1152" t="s">
        <v>519</v>
      </c>
      <c r="G124" s="1055">
        <v>3</v>
      </c>
      <c r="H124" s="1055" t="s">
        <v>24</v>
      </c>
      <c r="I124" s="2627">
        <v>3</v>
      </c>
      <c r="J124" s="2628"/>
      <c r="K124" s="2628"/>
      <c r="L124" s="2629"/>
      <c r="M124" s="1055">
        <v>1</v>
      </c>
      <c r="N124" s="1165">
        <v>10005</v>
      </c>
      <c r="O124" s="1166">
        <v>0.5</v>
      </c>
      <c r="P124" s="1176">
        <f t="shared" si="23"/>
        <v>5002.5</v>
      </c>
      <c r="Q124" s="1165">
        <f t="shared" si="24"/>
        <v>15007.5</v>
      </c>
      <c r="R124" s="1167"/>
      <c r="S124" s="1259">
        <f>Q124/$Q$135</f>
        <v>5.9292054645406551E-2</v>
      </c>
      <c r="T124" s="1256">
        <f t="shared" si="25"/>
        <v>45022.5</v>
      </c>
      <c r="U124" s="1161">
        <f t="shared" si="26"/>
        <v>45022.5</v>
      </c>
      <c r="Z124" s="1287"/>
      <c r="AA124" s="1147"/>
      <c r="AB124" s="1150"/>
      <c r="AC124" s="1151"/>
      <c r="AD124" s="1151"/>
      <c r="AE124" s="1175">
        <f t="shared" si="30"/>
        <v>45022.5</v>
      </c>
      <c r="AF124" s="1151"/>
      <c r="AG124" s="1147"/>
    </row>
    <row r="125" spans="1:33" x14ac:dyDescent="0.3">
      <c r="A125" s="1055" t="s">
        <v>920</v>
      </c>
      <c r="B125" s="1055" t="s">
        <v>430</v>
      </c>
      <c r="C125" s="1055" t="s">
        <v>884</v>
      </c>
      <c r="D125" s="1055" t="s">
        <v>26</v>
      </c>
      <c r="E125" s="1055" t="s">
        <v>520</v>
      </c>
      <c r="F125" s="1152" t="s">
        <v>521</v>
      </c>
      <c r="G125" s="1055">
        <v>1</v>
      </c>
      <c r="H125" s="1055" t="s">
        <v>24</v>
      </c>
      <c r="I125" s="2630">
        <v>1</v>
      </c>
      <c r="J125" s="2631"/>
      <c r="K125" s="2631"/>
      <c r="L125" s="2632"/>
      <c r="M125" s="1055">
        <v>1</v>
      </c>
      <c r="N125" s="1165">
        <v>12555</v>
      </c>
      <c r="O125" s="1166">
        <v>0.6</v>
      </c>
      <c r="P125" s="1176">
        <f t="shared" si="23"/>
        <v>5022</v>
      </c>
      <c r="Q125" s="1165">
        <f t="shared" si="24"/>
        <v>5022</v>
      </c>
      <c r="R125" s="1167"/>
      <c r="S125" s="1258">
        <f t="shared" si="28"/>
        <v>1.9841059365599312E-2</v>
      </c>
      <c r="T125" s="1256">
        <f t="shared" si="25"/>
        <v>15066</v>
      </c>
      <c r="U125" s="1161">
        <f t="shared" si="26"/>
        <v>15066</v>
      </c>
      <c r="Z125" s="1287"/>
      <c r="AA125" s="1147"/>
      <c r="AB125" s="1150"/>
      <c r="AC125" s="1151"/>
      <c r="AD125" s="1151"/>
      <c r="AE125" s="1175">
        <f t="shared" si="30"/>
        <v>15066</v>
      </c>
      <c r="AF125" s="1151"/>
      <c r="AG125" s="1147"/>
    </row>
    <row r="126" spans="1:33" x14ac:dyDescent="0.3">
      <c r="A126" s="1055" t="s">
        <v>920</v>
      </c>
      <c r="B126" s="1055" t="s">
        <v>430</v>
      </c>
      <c r="C126" s="1055" t="s">
        <v>884</v>
      </c>
      <c r="D126" s="1055" t="s">
        <v>29</v>
      </c>
      <c r="E126" s="1055" t="s">
        <v>520</v>
      </c>
      <c r="F126" s="1152" t="s">
        <v>551</v>
      </c>
      <c r="G126" s="1055">
        <v>1</v>
      </c>
      <c r="H126" s="1055" t="s">
        <v>24</v>
      </c>
      <c r="I126" s="2630">
        <v>1</v>
      </c>
      <c r="J126" s="2631"/>
      <c r="K126" s="2631"/>
      <c r="L126" s="2632"/>
      <c r="M126" s="1055">
        <v>1</v>
      </c>
      <c r="N126" s="1165">
        <v>62555</v>
      </c>
      <c r="O126" s="1166">
        <v>0.6</v>
      </c>
      <c r="P126" s="1176">
        <f t="shared" si="23"/>
        <v>25022</v>
      </c>
      <c r="Q126" s="1165">
        <f t="shared" si="24"/>
        <v>25022</v>
      </c>
      <c r="R126" s="1167"/>
      <c r="S126" s="1258">
        <f t="shared" si="28"/>
        <v>9.8857623943852252E-2</v>
      </c>
      <c r="T126" s="1256">
        <f t="shared" si="25"/>
        <v>75066</v>
      </c>
      <c r="U126" s="1161">
        <f t="shared" si="26"/>
        <v>75066</v>
      </c>
      <c r="Z126" s="1287"/>
      <c r="AA126" s="1147"/>
      <c r="AB126" s="1150"/>
      <c r="AC126" s="1151"/>
      <c r="AD126" s="1151"/>
      <c r="AE126" s="1175">
        <f t="shared" si="30"/>
        <v>75066</v>
      </c>
      <c r="AF126" s="1151"/>
      <c r="AG126" s="1147"/>
    </row>
    <row r="127" spans="1:33" x14ac:dyDescent="0.3">
      <c r="A127" s="1055"/>
      <c r="B127" s="1055"/>
      <c r="C127" s="1055"/>
      <c r="D127" s="1055"/>
      <c r="E127" s="1055"/>
      <c r="F127" s="1152"/>
      <c r="G127" s="1055"/>
      <c r="H127" s="1055"/>
      <c r="L127" s="1150"/>
      <c r="M127" s="1055"/>
      <c r="N127" s="1165"/>
      <c r="O127" s="1166"/>
      <c r="P127" s="1176"/>
      <c r="Q127" s="1165"/>
      <c r="R127" s="1167"/>
      <c r="S127" s="1257"/>
      <c r="T127" s="1256"/>
      <c r="U127" s="1085"/>
      <c r="Z127" s="1287"/>
      <c r="AA127" s="1147"/>
      <c r="AB127" s="1150"/>
      <c r="AC127" s="1151"/>
      <c r="AD127" s="1151"/>
      <c r="AE127" s="1151"/>
      <c r="AF127" s="1151"/>
      <c r="AG127" s="1147"/>
    </row>
    <row r="128" spans="1:33" x14ac:dyDescent="0.3">
      <c r="A128" s="1055"/>
      <c r="B128" s="1055"/>
      <c r="C128" s="1055"/>
      <c r="D128" s="1055"/>
      <c r="E128" s="1055"/>
      <c r="F128" s="1152"/>
      <c r="G128" s="1055"/>
      <c r="H128" s="1055"/>
      <c r="L128" s="1150"/>
      <c r="M128" s="1055"/>
      <c r="N128" s="1165"/>
      <c r="O128" s="1166"/>
      <c r="P128" s="1176"/>
      <c r="Q128" s="1165"/>
      <c r="R128" s="1167"/>
      <c r="S128" s="1257"/>
      <c r="T128" s="1256"/>
      <c r="U128" s="1085"/>
      <c r="Z128" s="1287"/>
      <c r="AA128" s="1147"/>
      <c r="AB128" s="1150"/>
      <c r="AC128" s="1151"/>
      <c r="AD128" s="1151"/>
      <c r="AE128" s="1151"/>
      <c r="AF128" s="1151"/>
      <c r="AG128" s="1147"/>
    </row>
    <row r="129" spans="1:33" x14ac:dyDescent="0.3">
      <c r="A129" s="1055"/>
      <c r="B129" s="1055"/>
      <c r="C129" s="1055"/>
      <c r="D129" s="1055"/>
      <c r="E129" s="1055"/>
      <c r="F129" s="1152"/>
      <c r="G129" s="1055"/>
      <c r="H129" s="1055"/>
      <c r="L129" s="1150"/>
      <c r="M129" s="1055"/>
      <c r="N129" s="1165"/>
      <c r="O129" s="1166"/>
      <c r="P129" s="1176"/>
      <c r="Q129" s="1165"/>
      <c r="R129" s="1167"/>
      <c r="S129" s="1257"/>
      <c r="T129" s="1256"/>
      <c r="U129" s="1085"/>
      <c r="Z129" s="1287"/>
      <c r="AA129" s="1147"/>
      <c r="AB129" s="1150"/>
      <c r="AC129" s="1151"/>
      <c r="AD129" s="1151"/>
      <c r="AE129" s="1151"/>
      <c r="AF129" s="1151"/>
      <c r="AG129" s="1147"/>
    </row>
    <row r="130" spans="1:33" x14ac:dyDescent="0.3">
      <c r="A130" s="1055"/>
      <c r="B130" s="1055"/>
      <c r="C130" s="1055"/>
      <c r="D130" s="1055"/>
      <c r="E130" s="1055"/>
      <c r="F130" s="1152"/>
      <c r="G130" s="1055"/>
      <c r="H130" s="1055"/>
      <c r="L130" s="1150"/>
      <c r="M130" s="1055"/>
      <c r="N130" s="1165"/>
      <c r="O130" s="1166"/>
      <c r="P130" s="1176"/>
      <c r="Q130" s="1165"/>
      <c r="R130" s="1167"/>
      <c r="S130" s="1257"/>
      <c r="T130" s="1256"/>
      <c r="U130" s="1085"/>
      <c r="Z130" s="1287"/>
      <c r="AA130" s="1147"/>
      <c r="AB130" s="1150"/>
      <c r="AC130" s="1151"/>
      <c r="AD130" s="1151"/>
      <c r="AE130" s="1151"/>
      <c r="AF130" s="1151"/>
      <c r="AG130" s="1147"/>
    </row>
    <row r="131" spans="1:33" x14ac:dyDescent="0.3">
      <c r="A131" s="1151"/>
      <c r="B131" s="1055"/>
      <c r="C131" s="1178"/>
      <c r="D131" s="1178"/>
      <c r="E131" s="1178"/>
      <c r="F131" s="1179"/>
      <c r="G131" s="1178"/>
      <c r="H131" s="1178"/>
      <c r="I131" s="1180"/>
      <c r="J131" s="1180"/>
      <c r="K131" s="1180"/>
      <c r="L131" s="1181"/>
      <c r="M131" s="1178"/>
      <c r="N131" s="1182"/>
      <c r="O131" s="1183"/>
      <c r="P131" s="1184"/>
      <c r="Q131" s="1165"/>
      <c r="R131" s="1167"/>
      <c r="S131" s="1257"/>
      <c r="T131" s="1256"/>
      <c r="U131" s="1085"/>
      <c r="Z131" s="1287"/>
      <c r="AA131" s="1147"/>
      <c r="AB131" s="1150"/>
      <c r="AC131" s="1151"/>
      <c r="AD131" s="1151"/>
      <c r="AE131" s="1151"/>
      <c r="AF131" s="1151"/>
      <c r="AG131" s="1147"/>
    </row>
    <row r="132" spans="1:33" x14ac:dyDescent="0.3">
      <c r="A132" s="1118" t="s">
        <v>921</v>
      </c>
      <c r="B132" s="1118" t="s">
        <v>528</v>
      </c>
      <c r="C132" s="1185"/>
      <c r="D132" s="1186"/>
      <c r="E132" s="1186"/>
      <c r="F132" s="1187"/>
      <c r="G132" s="1186"/>
      <c r="H132" s="1186"/>
      <c r="I132" s="1180"/>
      <c r="J132" s="1180"/>
      <c r="K132" s="1180"/>
      <c r="L132" s="1180"/>
      <c r="M132" s="1186"/>
      <c r="N132" s="1188"/>
      <c r="O132" s="1189"/>
      <c r="P132" s="1184"/>
      <c r="Q132" s="1190"/>
      <c r="R132" s="1198"/>
      <c r="S132" s="1197">
        <f>Q132/Q135</f>
        <v>0</v>
      </c>
      <c r="T132" s="1256">
        <f>Q132*2</f>
        <v>0</v>
      </c>
      <c r="U132" s="1085"/>
      <c r="X132" s="1161">
        <f>T132</f>
        <v>0</v>
      </c>
      <c r="Z132" s="1287"/>
      <c r="AA132" s="1147"/>
      <c r="AB132" s="1150"/>
      <c r="AC132" s="1151"/>
      <c r="AD132" s="1151"/>
      <c r="AE132" s="1151"/>
      <c r="AF132" s="1151"/>
      <c r="AG132" s="1147"/>
    </row>
    <row r="133" spans="1:33" x14ac:dyDescent="0.3">
      <c r="A133" s="1118" t="s">
        <v>921</v>
      </c>
      <c r="B133" s="1118" t="s">
        <v>529</v>
      </c>
      <c r="C133" s="1193"/>
      <c r="D133" s="1194"/>
      <c r="E133" s="1194"/>
      <c r="F133" s="1195"/>
      <c r="G133" s="1194"/>
      <c r="H133" s="1194"/>
      <c r="I133" s="1196"/>
      <c r="J133" s="1196"/>
      <c r="K133" s="1196"/>
      <c r="L133" s="1196"/>
      <c r="M133" s="1194"/>
      <c r="N133" s="1191"/>
      <c r="O133" s="1197"/>
      <c r="P133" s="1198"/>
      <c r="Q133" s="1190">
        <v>35000</v>
      </c>
      <c r="R133" s="1199"/>
      <c r="S133" s="1265">
        <f>Q133/Q135</f>
        <v>0.13827898801194266</v>
      </c>
      <c r="T133" s="1256">
        <f>Q133*3</f>
        <v>105000</v>
      </c>
      <c r="U133" s="1085"/>
      <c r="Y133" s="1161">
        <f>T133</f>
        <v>105000</v>
      </c>
      <c r="Z133" s="1287"/>
      <c r="AA133" s="1147"/>
      <c r="AB133" s="1150"/>
      <c r="AC133" s="1151"/>
      <c r="AD133" s="1151"/>
      <c r="AE133" s="1151"/>
      <c r="AF133" s="1151"/>
      <c r="AG133" s="1147"/>
    </row>
    <row r="134" spans="1:33" x14ac:dyDescent="0.3">
      <c r="I134" s="1122">
        <f>I135/M135</f>
        <v>0.71698113207547165</v>
      </c>
      <c r="J134" s="1122"/>
      <c r="K134" s="1122">
        <f>K135/M135</f>
        <v>0.28301886792452829</v>
      </c>
      <c r="T134" s="1266"/>
      <c r="U134" s="1180"/>
      <c r="V134" s="1180"/>
      <c r="W134" s="1180"/>
      <c r="X134" s="1180"/>
      <c r="Y134" s="1180"/>
      <c r="Z134" s="1290"/>
      <c r="AA134" s="1202"/>
      <c r="AB134" s="1181"/>
      <c r="AC134" s="1205"/>
      <c r="AD134" s="1205"/>
      <c r="AE134" s="1205"/>
      <c r="AF134" s="1205"/>
      <c r="AG134" s="1202"/>
    </row>
    <row r="135" spans="1:33" x14ac:dyDescent="0.3">
      <c r="A135" s="1291" t="s">
        <v>531</v>
      </c>
      <c r="B135" s="1292"/>
      <c r="C135" s="1292"/>
      <c r="D135" s="1292"/>
      <c r="E135" s="1292"/>
      <c r="F135" s="1293"/>
      <c r="G135" s="1292"/>
      <c r="H135" s="1292"/>
      <c r="I135" s="1292">
        <f>+I122+I120+I119+I118+I116+I115+I114+I117+I124+I125+I126+I121</f>
        <v>38</v>
      </c>
      <c r="J135" s="1292"/>
      <c r="K135" s="1292">
        <f>K123</f>
        <v>15</v>
      </c>
      <c r="L135" s="1292"/>
      <c r="M135" s="1292">
        <f>SUM(I135:L135)</f>
        <v>53</v>
      </c>
      <c r="N135" s="1294"/>
      <c r="O135" s="1295"/>
      <c r="P135" s="1294"/>
      <c r="Q135" s="1296">
        <f>SUM(Q113:Q134)</f>
        <v>253111.48499999999</v>
      </c>
      <c r="R135" s="1296"/>
      <c r="S135" s="1297">
        <f>SUM(S113:S133)</f>
        <v>1</v>
      </c>
      <c r="T135" s="1298">
        <f>SUM(T113:T134)</f>
        <v>759334.45500000007</v>
      </c>
      <c r="U135" s="1299">
        <f t="shared" ref="U135:AA135" si="31">SUM(U113:U133)</f>
        <v>654334.45500000007</v>
      </c>
      <c r="V135" s="1299">
        <f t="shared" si="31"/>
        <v>0</v>
      </c>
      <c r="W135" s="1299">
        <f t="shared" si="31"/>
        <v>0</v>
      </c>
      <c r="X135" s="1299">
        <f t="shared" si="31"/>
        <v>0</v>
      </c>
      <c r="Y135" s="1299">
        <f t="shared" si="31"/>
        <v>105000</v>
      </c>
      <c r="Z135" s="1300">
        <f t="shared" si="31"/>
        <v>238806</v>
      </c>
      <c r="AA135" s="1301">
        <f t="shared" si="31"/>
        <v>164236.45500000002</v>
      </c>
      <c r="AB135" s="1302">
        <f>SUM(AB113:AB134)</f>
        <v>193923.75</v>
      </c>
      <c r="AC135" s="1303">
        <f>SUM(AC113:AC134)</f>
        <v>72965.205000000016</v>
      </c>
      <c r="AD135" s="1303">
        <f>SUM(AD113:AD134)</f>
        <v>163875</v>
      </c>
      <c r="AE135" s="1303">
        <f t="shared" ref="AE135:AG135" si="32">SUM(AE113:AE134)</f>
        <v>223570.5</v>
      </c>
      <c r="AF135" s="1303">
        <f t="shared" si="32"/>
        <v>0</v>
      </c>
      <c r="AG135" s="1303">
        <f t="shared" si="32"/>
        <v>0</v>
      </c>
    </row>
    <row r="136" spans="1:33" x14ac:dyDescent="0.3">
      <c r="A136" s="1304" t="s">
        <v>532</v>
      </c>
      <c r="B136" s="1305"/>
      <c r="C136" s="1305"/>
      <c r="D136" s="1305"/>
      <c r="E136" s="1305"/>
      <c r="F136" s="1306"/>
      <c r="G136" s="1305"/>
      <c r="H136" s="1305"/>
      <c r="I136" s="1305">
        <f>+I122+I120+I119+I118+I116+I115+I114+I124+I125+I126+I121</f>
        <v>35</v>
      </c>
      <c r="J136" s="1305">
        <f>I126+I125+I124+I122+I121+I120+I119+I118+I117+I116+I115+I114</f>
        <v>38</v>
      </c>
      <c r="K136" s="1305">
        <f>I126+I124+I125+K123+I122+I121+I120+I119+I118+I117+I116+I115</f>
        <v>33</v>
      </c>
      <c r="L136" s="1305"/>
      <c r="M136" s="1305">
        <f>SUM(I136:L136)</f>
        <v>106</v>
      </c>
      <c r="N136" s="1307"/>
      <c r="O136" s="1308"/>
      <c r="P136" s="1307"/>
      <c r="Q136" s="1307"/>
      <c r="R136" s="1307"/>
      <c r="S136" s="1309"/>
      <c r="T136" s="1310"/>
      <c r="U136" s="1311">
        <f>U135/T135</f>
        <v>0.86172101198805739</v>
      </c>
      <c r="V136" s="1311">
        <f>V135/T135</f>
        <v>0</v>
      </c>
      <c r="W136" s="1311">
        <f>W135/T135</f>
        <v>0</v>
      </c>
      <c r="X136" s="1311">
        <f>X135/T135</f>
        <v>0</v>
      </c>
      <c r="Y136" s="1311">
        <f>Y135/T135</f>
        <v>0.13827898801194263</v>
      </c>
      <c r="Z136" s="1312">
        <f>Z135/T135</f>
        <v>0.31449382867790449</v>
      </c>
      <c r="AA136" s="1313">
        <f>AA135/T135</f>
        <v>0.21629000754351388</v>
      </c>
      <c r="AB136" s="1314"/>
      <c r="AC136" s="1315"/>
      <c r="AD136" s="1315"/>
      <c r="AE136" s="1315"/>
      <c r="AF136" s="1315"/>
      <c r="AG136" s="1316"/>
    </row>
    <row r="137" spans="1:33" x14ac:dyDescent="0.3">
      <c r="A137" s="1241" t="s">
        <v>533</v>
      </c>
      <c r="B137" s="1186"/>
      <c r="C137" s="1186"/>
      <c r="D137" s="1186"/>
      <c r="E137" s="1186"/>
      <c r="F137" s="1187"/>
      <c r="G137" s="1186"/>
      <c r="H137" s="1186"/>
      <c r="I137" s="2194">
        <f>I136/$M$136</f>
        <v>0.330188679245283</v>
      </c>
      <c r="J137" s="2194">
        <f t="shared" ref="J137:L137" si="33">J136/$M$136</f>
        <v>0.35849056603773582</v>
      </c>
      <c r="K137" s="2194">
        <f t="shared" si="33"/>
        <v>0.31132075471698112</v>
      </c>
      <c r="L137" s="2194">
        <f t="shared" si="33"/>
        <v>0</v>
      </c>
      <c r="M137" s="1186"/>
      <c r="N137" s="1188"/>
      <c r="O137" s="1189"/>
      <c r="P137" s="1188"/>
      <c r="Q137" s="1182">
        <f>U135/3</f>
        <v>218111.48500000002</v>
      </c>
      <c r="R137" s="1184"/>
      <c r="S137" s="1242">
        <f>Q137/Q142</f>
        <v>0.86172101198805739</v>
      </c>
      <c r="T137" s="1100"/>
      <c r="U137" s="1085"/>
      <c r="Y137" s="1317"/>
      <c r="Z137" s="1318">
        <f>I114+I115+I118+I119+I120+I121+I122+K123+I125+I126</f>
        <v>44</v>
      </c>
      <c r="AA137" s="1246">
        <f>I116+I117+I124</f>
        <v>9</v>
      </c>
    </row>
    <row r="138" spans="1:33" x14ac:dyDescent="0.3">
      <c r="A138" s="1247" t="s">
        <v>11</v>
      </c>
      <c r="B138" s="1194"/>
      <c r="C138" s="1194"/>
      <c r="D138" s="1194"/>
      <c r="E138" s="1194"/>
      <c r="F138" s="1195"/>
      <c r="G138" s="1194"/>
      <c r="H138" s="1194"/>
      <c r="I138" s="1196"/>
      <c r="J138" s="1196"/>
      <c r="K138" s="1196"/>
      <c r="L138" s="1196"/>
      <c r="M138" s="1194"/>
      <c r="N138" s="1191"/>
      <c r="O138" s="1197"/>
      <c r="P138" s="1191"/>
      <c r="Q138" s="1190">
        <f>V135/3</f>
        <v>0</v>
      </c>
      <c r="R138" s="1198"/>
      <c r="S138" s="1248">
        <f>Q138/Q142</f>
        <v>0</v>
      </c>
      <c r="T138" s="1068">
        <f>Q135/M135</f>
        <v>4775.6883962264146</v>
      </c>
      <c r="U138" s="1069" t="s">
        <v>535</v>
      </c>
      <c r="Z138" s="1183">
        <f>Z137/M135</f>
        <v>0.83018867924528306</v>
      </c>
      <c r="AA138" s="1242">
        <f>AA137/M135</f>
        <v>0.16981132075471697</v>
      </c>
    </row>
    <row r="139" spans="1:33" x14ac:dyDescent="0.3">
      <c r="A139" s="1247" t="s">
        <v>536</v>
      </c>
      <c r="B139" s="1194"/>
      <c r="C139" s="1194"/>
      <c r="D139" s="1194"/>
      <c r="E139" s="1194"/>
      <c r="F139" s="1195"/>
      <c r="G139" s="1194"/>
      <c r="H139" s="1194"/>
      <c r="I139" s="1196"/>
      <c r="J139" s="1196"/>
      <c r="K139" s="1196"/>
      <c r="L139" s="1196"/>
      <c r="M139" s="1194"/>
      <c r="N139" s="1191"/>
      <c r="O139" s="1197"/>
      <c r="P139" s="1191"/>
      <c r="Q139" s="1190">
        <f>W135/3</f>
        <v>0</v>
      </c>
      <c r="R139" s="1198"/>
      <c r="S139" s="1248">
        <f>Q139/Q142</f>
        <v>0</v>
      </c>
      <c r="T139" s="1100"/>
      <c r="U139" s="1085"/>
      <c r="V139" s="1249"/>
      <c r="X139" s="1100"/>
      <c r="Z139" s="2551" t="s">
        <v>537</v>
      </c>
      <c r="AA139" s="2551"/>
    </row>
    <row r="140" spans="1:33" x14ac:dyDescent="0.3">
      <c r="A140" s="1247" t="s">
        <v>529</v>
      </c>
      <c r="B140" s="1194"/>
      <c r="C140" s="1194"/>
      <c r="D140" s="1194"/>
      <c r="E140" s="1194"/>
      <c r="F140" s="1195"/>
      <c r="G140" s="1194"/>
      <c r="H140" s="1194"/>
      <c r="I140" s="1196"/>
      <c r="J140" s="1196"/>
      <c r="K140" s="1196"/>
      <c r="L140" s="1196"/>
      <c r="M140" s="1194"/>
      <c r="N140" s="1191"/>
      <c r="O140" s="1197"/>
      <c r="P140" s="1191"/>
      <c r="Q140" s="1190">
        <f>Y135/3</f>
        <v>35000</v>
      </c>
      <c r="R140" s="1198"/>
      <c r="S140" s="1248">
        <f>Q140/Q142</f>
        <v>0.13827898801194263</v>
      </c>
      <c r="T140" s="1243"/>
      <c r="V140" s="1249"/>
      <c r="W140" s="1249"/>
    </row>
    <row r="141" spans="1:33" x14ac:dyDescent="0.3">
      <c r="A141" s="1247" t="s">
        <v>528</v>
      </c>
      <c r="B141" s="1194"/>
      <c r="C141" s="1194"/>
      <c r="D141" s="1194"/>
      <c r="E141" s="1194"/>
      <c r="F141" s="1195"/>
      <c r="G141" s="1194"/>
      <c r="H141" s="1194"/>
      <c r="I141" s="1196"/>
      <c r="J141" s="1196"/>
      <c r="K141" s="1196"/>
      <c r="L141" s="1196"/>
      <c r="M141" s="1194"/>
      <c r="N141" s="1191"/>
      <c r="O141" s="1197"/>
      <c r="P141" s="1191"/>
      <c r="Q141" s="1190">
        <f>X135</f>
        <v>0</v>
      </c>
      <c r="R141" s="1198"/>
      <c r="S141" s="1248">
        <f>Q141/Q142</f>
        <v>0</v>
      </c>
      <c r="T141" s="1243"/>
    </row>
    <row r="142" spans="1:33" x14ac:dyDescent="0.3">
      <c r="A142" s="1247"/>
      <c r="B142" s="1194"/>
      <c r="C142" s="1194"/>
      <c r="D142" s="1194"/>
      <c r="E142" s="1194"/>
      <c r="F142" s="1195"/>
      <c r="G142" s="1194"/>
      <c r="H142" s="1194"/>
      <c r="I142" s="1196"/>
      <c r="J142" s="1196"/>
      <c r="K142" s="1196"/>
      <c r="L142" s="1196"/>
      <c r="M142" s="1194"/>
      <c r="N142" s="1191"/>
      <c r="O142" s="1197"/>
      <c r="P142" s="1191"/>
      <c r="Q142" s="1250">
        <f>SUM(Q137:Q141)</f>
        <v>253111.48500000002</v>
      </c>
      <c r="R142" s="1251"/>
      <c r="S142" s="1248">
        <f>SUM(S137:S141)</f>
        <v>1</v>
      </c>
      <c r="T142" s="1243"/>
    </row>
    <row r="143" spans="1:33" x14ac:dyDescent="0.3">
      <c r="A143" s="1153"/>
      <c r="N143" s="84"/>
      <c r="O143" s="1243"/>
      <c r="P143" s="84"/>
      <c r="Q143" s="1276"/>
      <c r="R143" s="1276"/>
      <c r="S143" s="1243"/>
      <c r="T143" s="1243"/>
      <c r="U143" s="84"/>
    </row>
    <row r="144" spans="1:33" x14ac:dyDescent="0.3">
      <c r="A144" s="1153"/>
      <c r="N144" s="84"/>
      <c r="O144" s="1243"/>
      <c r="P144" s="84"/>
      <c r="Q144" s="1276"/>
      <c r="R144" s="1276"/>
      <c r="S144" s="1243"/>
      <c r="T144" s="1243"/>
      <c r="U144" s="84"/>
    </row>
    <row r="145" spans="1:33" ht="18" x14ac:dyDescent="0.35">
      <c r="A145" s="1037" t="s">
        <v>554</v>
      </c>
      <c r="N145" s="1127"/>
      <c r="P145" s="1127"/>
      <c r="Q145" s="1127"/>
      <c r="R145" s="1101"/>
      <c r="S145" s="1127"/>
      <c r="T145" s="1127"/>
      <c r="U145" s="1127"/>
      <c r="V145" s="1127"/>
      <c r="W145" s="1127"/>
      <c r="X145" s="1127"/>
      <c r="Y145" s="1127"/>
      <c r="Z145" s="1127"/>
      <c r="AA145" s="1127"/>
      <c r="AB145" s="1127"/>
      <c r="AC145" s="1127"/>
      <c r="AD145" s="1127"/>
      <c r="AE145" s="1127"/>
      <c r="AF145" s="1127"/>
      <c r="AG145" s="1127"/>
    </row>
    <row r="146" spans="1:33" x14ac:dyDescent="0.3">
      <c r="N146" s="1127"/>
      <c r="P146" s="1127"/>
      <c r="Q146" s="1127"/>
      <c r="R146" s="1101"/>
      <c r="S146" s="1127"/>
      <c r="T146" s="1127"/>
      <c r="U146" s="1127"/>
      <c r="V146" s="1127"/>
      <c r="W146" s="1127"/>
      <c r="X146" s="1127"/>
      <c r="Y146" s="1127"/>
      <c r="Z146" s="1127"/>
      <c r="AA146" s="1127"/>
      <c r="AB146" s="1127"/>
      <c r="AC146" s="1127"/>
      <c r="AD146" s="1127"/>
      <c r="AE146" s="1127"/>
      <c r="AF146" s="1127"/>
      <c r="AG146" s="1127"/>
    </row>
    <row r="147" spans="1:33" x14ac:dyDescent="0.3">
      <c r="A147" s="2587" t="s">
        <v>480</v>
      </c>
      <c r="B147" s="2588"/>
      <c r="C147" s="2588"/>
      <c r="D147" s="2588"/>
      <c r="E147" s="2588"/>
      <c r="F147" s="2588"/>
      <c r="G147" s="2588"/>
      <c r="H147" s="2588"/>
      <c r="I147" s="2588"/>
      <c r="J147" s="2588"/>
      <c r="K147" s="2588"/>
      <c r="L147" s="2588"/>
      <c r="M147" s="2588"/>
      <c r="N147" s="2588"/>
      <c r="O147" s="2588"/>
      <c r="P147" s="2588"/>
      <c r="Q147" s="2588"/>
      <c r="R147" s="2588"/>
      <c r="S147" s="2589"/>
      <c r="T147" s="2563" t="s">
        <v>584</v>
      </c>
      <c r="U147" s="2564"/>
      <c r="V147" s="2564"/>
      <c r="W147" s="2564"/>
      <c r="X147" s="2564"/>
      <c r="Y147" s="2564"/>
      <c r="Z147" s="2564"/>
      <c r="AA147" s="2564"/>
      <c r="AB147" s="2564"/>
      <c r="AC147" s="2564"/>
      <c r="AD147" s="2564"/>
      <c r="AE147" s="2564"/>
      <c r="AF147" s="2564"/>
      <c r="AG147" s="2576"/>
    </row>
    <row r="148" spans="1:33" ht="15.6" x14ac:dyDescent="0.3">
      <c r="A148" s="2662" t="s">
        <v>482</v>
      </c>
      <c r="B148" s="2657" t="s">
        <v>483</v>
      </c>
      <c r="C148" s="2657" t="s">
        <v>484</v>
      </c>
      <c r="D148" s="2657" t="s">
        <v>555</v>
      </c>
      <c r="E148" s="2657" t="s">
        <v>556</v>
      </c>
      <c r="F148" s="2655" t="s">
        <v>487</v>
      </c>
      <c r="G148" s="2657" t="s">
        <v>557</v>
      </c>
      <c r="H148" s="2657" t="s">
        <v>489</v>
      </c>
      <c r="I148" s="2659" t="s">
        <v>490</v>
      </c>
      <c r="J148" s="2659"/>
      <c r="K148" s="2659"/>
      <c r="L148" s="2659"/>
      <c r="M148" s="1319" t="s">
        <v>491</v>
      </c>
      <c r="N148" s="1320" t="s">
        <v>558</v>
      </c>
      <c r="O148" s="1321" t="s">
        <v>493</v>
      </c>
      <c r="P148" s="1320" t="s">
        <v>558</v>
      </c>
      <c r="Q148" s="1320" t="s">
        <v>559</v>
      </c>
      <c r="R148" s="1322" t="s">
        <v>585</v>
      </c>
      <c r="S148" s="2660" t="s">
        <v>495</v>
      </c>
      <c r="T148" s="1278" t="s">
        <v>496</v>
      </c>
      <c r="U148" s="2651" t="s">
        <v>497</v>
      </c>
      <c r="V148" s="2651"/>
      <c r="W148" s="2651"/>
      <c r="X148" s="2651"/>
      <c r="Y148" s="2651"/>
      <c r="Z148" s="2647" t="s">
        <v>498</v>
      </c>
      <c r="AA148" s="2648"/>
      <c r="AB148" s="2647" t="s">
        <v>499</v>
      </c>
      <c r="AC148" s="2651"/>
      <c r="AD148" s="2651"/>
      <c r="AE148" s="2651"/>
      <c r="AF148" s="2651"/>
      <c r="AG148" s="2648"/>
    </row>
    <row r="149" spans="1:33" ht="15.6" x14ac:dyDescent="0.3">
      <c r="A149" s="2663"/>
      <c r="B149" s="2658"/>
      <c r="C149" s="2658"/>
      <c r="D149" s="2658"/>
      <c r="E149" s="2658"/>
      <c r="F149" s="2656"/>
      <c r="G149" s="2658"/>
      <c r="H149" s="2658"/>
      <c r="I149" s="1323" t="s">
        <v>500</v>
      </c>
      <c r="J149" s="1323" t="s">
        <v>501</v>
      </c>
      <c r="K149" s="1323" t="s">
        <v>502</v>
      </c>
      <c r="L149" s="1323" t="s">
        <v>503</v>
      </c>
      <c r="M149" s="1324" t="s">
        <v>504</v>
      </c>
      <c r="N149" s="1325" t="s">
        <v>505</v>
      </c>
      <c r="O149" s="1326" t="s">
        <v>506</v>
      </c>
      <c r="P149" s="1325" t="s">
        <v>507</v>
      </c>
      <c r="Q149" s="1325" t="s">
        <v>560</v>
      </c>
      <c r="R149" s="1325"/>
      <c r="S149" s="2661"/>
      <c r="T149" s="1282" t="s">
        <v>508</v>
      </c>
      <c r="U149" s="2652"/>
      <c r="V149" s="2652"/>
      <c r="W149" s="2652"/>
      <c r="X149" s="2652"/>
      <c r="Y149" s="2652"/>
      <c r="Z149" s="2649"/>
      <c r="AA149" s="2650"/>
      <c r="AB149" s="2649"/>
      <c r="AC149" s="2652"/>
      <c r="AD149" s="2652"/>
      <c r="AE149" s="2652"/>
      <c r="AF149" s="2652"/>
      <c r="AG149" s="2650"/>
    </row>
    <row r="150" spans="1:33" ht="18" x14ac:dyDescent="0.35">
      <c r="A150" s="2653" t="s">
        <v>561</v>
      </c>
      <c r="B150" s="2654"/>
      <c r="C150" s="2654"/>
      <c r="D150" s="2654"/>
      <c r="E150" s="2654"/>
      <c r="F150" s="2654"/>
      <c r="G150" s="2654"/>
      <c r="H150" s="2654"/>
      <c r="I150" s="2654"/>
      <c r="J150" s="2654"/>
      <c r="K150" s="2654"/>
      <c r="L150" s="2654"/>
      <c r="M150" s="2654"/>
      <c r="N150" s="2654"/>
      <c r="O150" s="2654"/>
      <c r="P150" s="2654"/>
      <c r="Q150" s="2654"/>
      <c r="R150" s="2654"/>
      <c r="S150" s="2654"/>
      <c r="T150" s="1252"/>
      <c r="U150" s="1284" t="s">
        <v>510</v>
      </c>
      <c r="V150" s="1283" t="s">
        <v>11</v>
      </c>
      <c r="W150" s="1283" t="s">
        <v>511</v>
      </c>
      <c r="X150" s="1283" t="s">
        <v>512</v>
      </c>
      <c r="Y150" s="1285" t="s">
        <v>513</v>
      </c>
      <c r="Z150" s="1284" t="s">
        <v>514</v>
      </c>
      <c r="AA150" s="1285" t="s">
        <v>515</v>
      </c>
      <c r="AB150" s="1042" t="s">
        <v>171</v>
      </c>
      <c r="AC150" s="1044" t="s">
        <v>12</v>
      </c>
      <c r="AD150" s="1044" t="s">
        <v>172</v>
      </c>
      <c r="AE150" s="1044" t="s">
        <v>173</v>
      </c>
      <c r="AF150" s="1044" t="s">
        <v>139</v>
      </c>
      <c r="AG150" s="1045" t="s">
        <v>5</v>
      </c>
    </row>
    <row r="151" spans="1:33" x14ac:dyDescent="0.3">
      <c r="A151" s="1134"/>
      <c r="B151" s="1135"/>
      <c r="C151" s="1135"/>
      <c r="D151" s="1135"/>
      <c r="E151" s="1135"/>
      <c r="F151" s="1136"/>
      <c r="G151" s="1135"/>
      <c r="H151" s="1135"/>
      <c r="I151" s="1138"/>
      <c r="J151" s="1138"/>
      <c r="K151" s="1138"/>
      <c r="L151" s="1138"/>
      <c r="M151" s="1135"/>
      <c r="N151" s="1141"/>
      <c r="O151" s="1142"/>
      <c r="P151" s="1141"/>
      <c r="Q151" s="1141"/>
      <c r="R151" s="1143"/>
      <c r="S151" s="1286"/>
      <c r="T151" s="1177"/>
      <c r="U151" s="1146"/>
      <c r="Y151" s="1147"/>
      <c r="Z151" s="1287"/>
      <c r="AA151" s="1147"/>
      <c r="AB151" s="1148"/>
      <c r="AC151" s="1151"/>
      <c r="AD151" s="1151"/>
      <c r="AE151" s="1151"/>
      <c r="AF151" s="1151"/>
      <c r="AG151" s="1147"/>
    </row>
    <row r="152" spans="1:33" x14ac:dyDescent="0.3">
      <c r="A152" s="1055" t="s">
        <v>920</v>
      </c>
      <c r="B152" s="1055" t="s">
        <v>427</v>
      </c>
      <c r="C152" s="1055" t="s">
        <v>883</v>
      </c>
      <c r="D152" s="1055" t="s">
        <v>166</v>
      </c>
      <c r="E152" s="1055" t="s">
        <v>520</v>
      </c>
      <c r="F152" s="1152" t="s">
        <v>613</v>
      </c>
      <c r="G152" s="1055">
        <v>28</v>
      </c>
      <c r="H152" s="1055" t="s">
        <v>63</v>
      </c>
      <c r="I152" s="2627">
        <v>28</v>
      </c>
      <c r="J152" s="2628"/>
      <c r="L152" s="1150"/>
      <c r="M152" s="1154">
        <v>1</v>
      </c>
      <c r="N152" s="1165">
        <v>1875</v>
      </c>
      <c r="O152" s="1166">
        <v>0.06</v>
      </c>
      <c r="P152" s="1165">
        <f t="shared" ref="P152:P162" si="34">N152*(1-O152)</f>
        <v>1762.5</v>
      </c>
      <c r="Q152" s="1165">
        <f t="shared" ref="Q152:Q162" si="35">P152*M152*G152</f>
        <v>49350</v>
      </c>
      <c r="R152" s="1167" t="e">
        <f>(Q152+#REF!)/E129*1000</f>
        <v>#REF!</v>
      </c>
      <c r="S152" s="1255">
        <f>Q152/$Q$168</f>
        <v>0.19340408970681294</v>
      </c>
      <c r="T152" s="1327">
        <f>Q152</f>
        <v>49350</v>
      </c>
      <c r="U152" s="1170">
        <f>Q152</f>
        <v>49350</v>
      </c>
      <c r="V152" s="1161"/>
      <c r="Y152" s="1147"/>
      <c r="Z152" s="1288">
        <f>U152</f>
        <v>49350</v>
      </c>
      <c r="AA152" s="1162"/>
      <c r="AB152" s="1328">
        <f>T152</f>
        <v>49350</v>
      </c>
      <c r="AC152" s="1151"/>
      <c r="AD152" s="1151"/>
      <c r="AE152" s="1151"/>
      <c r="AF152" s="1151"/>
      <c r="AG152" s="1147"/>
    </row>
    <row r="153" spans="1:33" x14ac:dyDescent="0.3">
      <c r="A153" s="1055" t="s">
        <v>920</v>
      </c>
      <c r="B153" s="1055" t="s">
        <v>427</v>
      </c>
      <c r="C153" s="1055" t="s">
        <v>884</v>
      </c>
      <c r="D153" s="1055" t="s">
        <v>26</v>
      </c>
      <c r="E153" s="1055" t="s">
        <v>520</v>
      </c>
      <c r="F153" s="1152" t="s">
        <v>521</v>
      </c>
      <c r="G153" s="1055">
        <v>1</v>
      </c>
      <c r="H153" s="1055" t="s">
        <v>24</v>
      </c>
      <c r="I153" s="2630">
        <v>1</v>
      </c>
      <c r="J153" s="2631"/>
      <c r="K153" s="2631"/>
      <c r="L153" s="2632"/>
      <c r="M153" s="1154">
        <v>1</v>
      </c>
      <c r="N153" s="1165">
        <v>6000</v>
      </c>
      <c r="O153" s="1166">
        <v>0.04</v>
      </c>
      <c r="P153" s="1165">
        <f t="shared" si="34"/>
        <v>5760</v>
      </c>
      <c r="Q153" s="1165">
        <f t="shared" si="35"/>
        <v>5760</v>
      </c>
      <c r="R153" s="1167" t="e">
        <f>(Q153+Q158)/E129*1000</f>
        <v>#DIV/0!</v>
      </c>
      <c r="S153" s="1255">
        <f>Q153/$Q$168</f>
        <v>2.2573608038728318E-2</v>
      </c>
      <c r="T153" s="1327">
        <f t="shared" ref="T153:T162" si="36">Q153</f>
        <v>5760</v>
      </c>
      <c r="U153" s="1170">
        <f t="shared" ref="U153:U160" si="37">Q153</f>
        <v>5760</v>
      </c>
      <c r="V153" s="1161"/>
      <c r="X153" s="1161"/>
      <c r="Y153" s="1147"/>
      <c r="Z153" s="1289">
        <f>U153</f>
        <v>5760</v>
      </c>
      <c r="AA153" s="1162"/>
      <c r="AB153" s="1328">
        <f>T153</f>
        <v>5760</v>
      </c>
      <c r="AC153" s="1151"/>
      <c r="AD153" s="1151"/>
      <c r="AE153" s="1151"/>
      <c r="AF153" s="1151"/>
      <c r="AG153" s="1147"/>
    </row>
    <row r="154" spans="1:33" x14ac:dyDescent="0.3">
      <c r="A154" s="1055" t="s">
        <v>920</v>
      </c>
      <c r="B154" s="1055" t="s">
        <v>427</v>
      </c>
      <c r="C154" s="1055" t="s">
        <v>884</v>
      </c>
      <c r="D154" s="1055" t="s">
        <v>21</v>
      </c>
      <c r="E154" s="1055" t="s">
        <v>518</v>
      </c>
      <c r="F154" s="1152" t="s">
        <v>519</v>
      </c>
      <c r="G154" s="1055">
        <v>2</v>
      </c>
      <c r="H154" s="1055" t="s">
        <v>24</v>
      </c>
      <c r="I154" s="2627">
        <v>2</v>
      </c>
      <c r="J154" s="2628"/>
      <c r="K154" s="2628"/>
      <c r="L154" s="2629"/>
      <c r="M154" s="1154">
        <v>1</v>
      </c>
      <c r="N154" s="1165">
        <v>2875</v>
      </c>
      <c r="O154" s="1166">
        <v>0.05</v>
      </c>
      <c r="P154" s="1165">
        <f t="shared" si="34"/>
        <v>2731.25</v>
      </c>
      <c r="Q154" s="1165">
        <f t="shared" si="35"/>
        <v>5462.5</v>
      </c>
      <c r="R154" s="1167"/>
      <c r="S154" s="1257">
        <f>Q154/$Q$168</f>
        <v>2.1407696859644693E-2</v>
      </c>
      <c r="T154" s="1327">
        <f t="shared" si="36"/>
        <v>5462.5</v>
      </c>
      <c r="U154" s="1170">
        <f t="shared" si="37"/>
        <v>5462.5</v>
      </c>
      <c r="V154" s="1161"/>
      <c r="Y154" s="1147"/>
      <c r="Z154" s="1288"/>
      <c r="AA154" s="1162">
        <f>U154</f>
        <v>5462.5</v>
      </c>
      <c r="AB154" s="1328">
        <f>T154</f>
        <v>5462.5</v>
      </c>
      <c r="AC154" s="1151"/>
      <c r="AD154" s="1151"/>
      <c r="AE154" s="1151"/>
      <c r="AF154" s="1151"/>
      <c r="AG154" s="1147"/>
    </row>
    <row r="155" spans="1:33" x14ac:dyDescent="0.3">
      <c r="A155" s="1055" t="s">
        <v>920</v>
      </c>
      <c r="B155" s="1055" t="s">
        <v>409</v>
      </c>
      <c r="C155" s="1055" t="s">
        <v>884</v>
      </c>
      <c r="D155" s="1055" t="s">
        <v>21</v>
      </c>
      <c r="E155" s="1055" t="s">
        <v>518</v>
      </c>
      <c r="F155" s="1152" t="s">
        <v>519</v>
      </c>
      <c r="G155" s="1055">
        <v>3</v>
      </c>
      <c r="H155" s="1055" t="s">
        <v>24</v>
      </c>
      <c r="I155" s="2630">
        <v>3</v>
      </c>
      <c r="J155" s="2631"/>
      <c r="K155" s="2631"/>
      <c r="L155" s="2632"/>
      <c r="M155" s="1154">
        <v>1</v>
      </c>
      <c r="N155" s="1165">
        <v>27024.15</v>
      </c>
      <c r="O155" s="1166">
        <v>0.7</v>
      </c>
      <c r="P155" s="1165">
        <f t="shared" si="34"/>
        <v>8107.2450000000017</v>
      </c>
      <c r="Q155" s="1165">
        <f t="shared" si="35"/>
        <v>24321.735000000004</v>
      </c>
      <c r="R155" s="1167"/>
      <c r="S155" s="1257">
        <f t="shared" ref="S155:S158" si="38">Q155/$Q$168</f>
        <v>9.5317589012468742E-2</v>
      </c>
      <c r="T155" s="1327">
        <f t="shared" si="36"/>
        <v>24321.735000000004</v>
      </c>
      <c r="U155" s="1170">
        <f t="shared" si="37"/>
        <v>24321.735000000004</v>
      </c>
      <c r="V155" s="1161"/>
      <c r="Y155" s="1147"/>
      <c r="Z155" s="1288"/>
      <c r="AA155" s="1162">
        <f>U155</f>
        <v>24321.735000000004</v>
      </c>
      <c r="AB155" s="1148"/>
      <c r="AC155" s="1329">
        <f>T155</f>
        <v>24321.735000000004</v>
      </c>
      <c r="AD155" s="1151"/>
      <c r="AE155" s="1151"/>
      <c r="AF155" s="1151"/>
      <c r="AG155" s="1147"/>
    </row>
    <row r="156" spans="1:33" x14ac:dyDescent="0.3">
      <c r="A156" s="1055" t="s">
        <v>920</v>
      </c>
      <c r="B156" s="1055" t="s">
        <v>428</v>
      </c>
      <c r="C156" s="1055" t="s">
        <v>884</v>
      </c>
      <c r="D156" s="1055" t="s">
        <v>26</v>
      </c>
      <c r="E156" s="1055" t="s">
        <v>524</v>
      </c>
      <c r="F156" s="1152" t="s">
        <v>521</v>
      </c>
      <c r="G156" s="1055">
        <v>2</v>
      </c>
      <c r="H156" s="1055" t="s">
        <v>24</v>
      </c>
      <c r="I156" s="2630">
        <v>2</v>
      </c>
      <c r="J156" s="2631"/>
      <c r="K156" s="2631"/>
      <c r="L156" s="2632"/>
      <c r="M156" s="1055">
        <v>1</v>
      </c>
      <c r="N156" s="1165">
        <v>4800</v>
      </c>
      <c r="O156" s="1166">
        <v>0.05</v>
      </c>
      <c r="P156" s="1165">
        <f t="shared" si="34"/>
        <v>4560</v>
      </c>
      <c r="Q156" s="1165">
        <f t="shared" si="35"/>
        <v>9120</v>
      </c>
      <c r="R156" s="1167"/>
      <c r="S156" s="1258">
        <f t="shared" si="38"/>
        <v>3.5741546061319837E-2</v>
      </c>
      <c r="T156" s="1327">
        <f t="shared" si="36"/>
        <v>9120</v>
      </c>
      <c r="U156" s="1170">
        <f t="shared" si="37"/>
        <v>9120</v>
      </c>
      <c r="V156" s="1161"/>
      <c r="Y156" s="1147"/>
      <c r="Z156" s="1288"/>
      <c r="AA156" s="1162">
        <f>U156</f>
        <v>9120</v>
      </c>
      <c r="AB156" s="1148"/>
      <c r="AC156" s="1151"/>
      <c r="AD156" s="1329">
        <f>T156</f>
        <v>9120</v>
      </c>
      <c r="AE156" s="1151"/>
      <c r="AF156" s="1151"/>
      <c r="AG156" s="1147"/>
    </row>
    <row r="157" spans="1:33" x14ac:dyDescent="0.3">
      <c r="A157" s="1055" t="s">
        <v>920</v>
      </c>
      <c r="B157" s="1055" t="s">
        <v>430</v>
      </c>
      <c r="C157" s="1055" t="s">
        <v>884</v>
      </c>
      <c r="D157" s="1055" t="s">
        <v>26</v>
      </c>
      <c r="E157" s="1055" t="s">
        <v>524</v>
      </c>
      <c r="F157" s="1152" t="s">
        <v>521</v>
      </c>
      <c r="G157" s="1055">
        <v>1</v>
      </c>
      <c r="H157" s="1055" t="s">
        <v>24</v>
      </c>
      <c r="I157" s="2627">
        <v>1</v>
      </c>
      <c r="J157" s="2628"/>
      <c r="K157" s="2628"/>
      <c r="L157" s="2629"/>
      <c r="M157" s="1055">
        <v>1</v>
      </c>
      <c r="N157" s="1165">
        <v>12555</v>
      </c>
      <c r="O157" s="1166">
        <v>0.6</v>
      </c>
      <c r="P157" s="1176">
        <f t="shared" si="34"/>
        <v>5022</v>
      </c>
      <c r="Q157" s="1165">
        <f t="shared" si="35"/>
        <v>5022</v>
      </c>
      <c r="R157" s="1167"/>
      <c r="S157" s="1258">
        <f t="shared" si="38"/>
        <v>1.9681364508766251E-2</v>
      </c>
      <c r="T157" s="1327">
        <f t="shared" si="36"/>
        <v>5022</v>
      </c>
      <c r="U157" s="1170">
        <f t="shared" si="37"/>
        <v>5022</v>
      </c>
      <c r="V157" s="1161"/>
      <c r="Y157" s="1147"/>
      <c r="Z157" s="1288"/>
      <c r="AA157" s="1162">
        <f>U157</f>
        <v>5022</v>
      </c>
      <c r="AB157" s="1148"/>
      <c r="AC157" s="1151"/>
      <c r="AD157" s="1151"/>
      <c r="AE157" s="1329">
        <f>T157</f>
        <v>5022</v>
      </c>
      <c r="AF157" s="1151"/>
      <c r="AG157" s="1147"/>
    </row>
    <row r="158" spans="1:33" x14ac:dyDescent="0.3">
      <c r="A158" s="1055" t="s">
        <v>920</v>
      </c>
      <c r="B158" s="1055" t="s">
        <v>430</v>
      </c>
      <c r="C158" s="1055" t="s">
        <v>884</v>
      </c>
      <c r="D158" s="1055" t="s">
        <v>166</v>
      </c>
      <c r="E158" s="1055" t="s">
        <v>520</v>
      </c>
      <c r="F158" s="1152" t="s">
        <v>613</v>
      </c>
      <c r="G158" s="1055">
        <v>23</v>
      </c>
      <c r="H158" s="1055" t="s">
        <v>24</v>
      </c>
      <c r="I158" s="1153"/>
      <c r="K158" s="2631">
        <v>23</v>
      </c>
      <c r="L158" s="2632"/>
      <c r="M158" s="1055">
        <v>1</v>
      </c>
      <c r="N158" s="1165">
        <v>4075</v>
      </c>
      <c r="O158" s="1166">
        <v>0.6</v>
      </c>
      <c r="P158" s="1176">
        <f t="shared" si="34"/>
        <v>1630</v>
      </c>
      <c r="Q158" s="1165">
        <f t="shared" si="35"/>
        <v>37490</v>
      </c>
      <c r="R158" s="1167"/>
      <c r="S158" s="1258">
        <f t="shared" si="38"/>
        <v>0.14692440371040358</v>
      </c>
      <c r="T158" s="1327">
        <f t="shared" si="36"/>
        <v>37490</v>
      </c>
      <c r="U158" s="1170">
        <f t="shared" si="37"/>
        <v>37490</v>
      </c>
      <c r="V158" s="1161"/>
      <c r="W158" s="1161"/>
      <c r="Y158" s="1147"/>
      <c r="Z158" s="1288"/>
      <c r="AA158" s="1162">
        <f>U158</f>
        <v>37490</v>
      </c>
      <c r="AB158" s="1148"/>
      <c r="AC158" s="1151"/>
      <c r="AD158" s="1151"/>
      <c r="AE158" s="1329">
        <f t="shared" ref="AE158:AE160" si="39">T158</f>
        <v>37490</v>
      </c>
      <c r="AF158" s="1151"/>
      <c r="AG158" s="1147"/>
    </row>
    <row r="159" spans="1:33" x14ac:dyDescent="0.3">
      <c r="A159" s="1055" t="s">
        <v>920</v>
      </c>
      <c r="B159" s="1055" t="s">
        <v>430</v>
      </c>
      <c r="C159" s="1055" t="s">
        <v>884</v>
      </c>
      <c r="D159" s="1055" t="s">
        <v>21</v>
      </c>
      <c r="E159" s="1055" t="s">
        <v>518</v>
      </c>
      <c r="F159" s="1152" t="s">
        <v>519</v>
      </c>
      <c r="G159" s="1055">
        <v>4</v>
      </c>
      <c r="H159" s="1055" t="s">
        <v>24</v>
      </c>
      <c r="I159" s="2627">
        <v>4</v>
      </c>
      <c r="J159" s="2628"/>
      <c r="K159" s="2628"/>
      <c r="L159" s="2629"/>
      <c r="M159" s="1055">
        <v>1</v>
      </c>
      <c r="N159" s="1165">
        <v>10005</v>
      </c>
      <c r="O159" s="1166">
        <v>0.5</v>
      </c>
      <c r="P159" s="1176">
        <f t="shared" si="34"/>
        <v>5002.5</v>
      </c>
      <c r="Q159" s="1165">
        <f t="shared" si="35"/>
        <v>20010</v>
      </c>
      <c r="R159" s="1167"/>
      <c r="S159" s="1259">
        <f>Q159/$Q$168</f>
        <v>7.8419773759540568E-2</v>
      </c>
      <c r="T159" s="1327">
        <f t="shared" si="36"/>
        <v>20010</v>
      </c>
      <c r="U159" s="1170">
        <f t="shared" si="37"/>
        <v>20010</v>
      </c>
      <c r="V159" s="1161"/>
      <c r="Y159" s="1147"/>
      <c r="Z159" s="1289">
        <f>U159</f>
        <v>20010</v>
      </c>
      <c r="AA159" s="1147"/>
      <c r="AB159" s="1148"/>
      <c r="AC159" s="1151"/>
      <c r="AD159" s="1151"/>
      <c r="AE159" s="1329">
        <f t="shared" si="39"/>
        <v>20010</v>
      </c>
      <c r="AF159" s="1151"/>
      <c r="AG159" s="1147"/>
    </row>
    <row r="160" spans="1:33" x14ac:dyDescent="0.3">
      <c r="A160" s="1055" t="s">
        <v>920</v>
      </c>
      <c r="B160" s="1055" t="s">
        <v>430</v>
      </c>
      <c r="C160" s="1055" t="s">
        <v>884</v>
      </c>
      <c r="D160" s="1055" t="s">
        <v>26</v>
      </c>
      <c r="E160" s="1055" t="s">
        <v>520</v>
      </c>
      <c r="F160" s="1152" t="s">
        <v>521</v>
      </c>
      <c r="G160" s="1055">
        <v>2</v>
      </c>
      <c r="H160" s="1055" t="s">
        <v>24</v>
      </c>
      <c r="I160" s="2627">
        <v>2</v>
      </c>
      <c r="J160" s="2628"/>
      <c r="K160" s="2628"/>
      <c r="L160" s="2629"/>
      <c r="M160" s="1055">
        <v>1</v>
      </c>
      <c r="N160" s="1165">
        <v>12555</v>
      </c>
      <c r="O160" s="1166">
        <v>0.6</v>
      </c>
      <c r="P160" s="1176">
        <f t="shared" si="34"/>
        <v>5022</v>
      </c>
      <c r="Q160" s="1165">
        <f t="shared" si="35"/>
        <v>10044</v>
      </c>
      <c r="R160" s="1167"/>
      <c r="S160" s="1258">
        <f>Q160/$Q$168</f>
        <v>3.9362729017532502E-2</v>
      </c>
      <c r="T160" s="1327">
        <f t="shared" si="36"/>
        <v>10044</v>
      </c>
      <c r="U160" s="1170">
        <f t="shared" si="37"/>
        <v>10044</v>
      </c>
      <c r="V160" s="1161"/>
      <c r="Y160" s="1147"/>
      <c r="Z160" s="1287"/>
      <c r="AA160" s="1162">
        <f>U160</f>
        <v>10044</v>
      </c>
      <c r="AB160" s="1148"/>
      <c r="AC160" s="1151"/>
      <c r="AD160" s="1151"/>
      <c r="AE160" s="1329">
        <f t="shared" si="39"/>
        <v>10044</v>
      </c>
      <c r="AF160" s="1151"/>
      <c r="AG160" s="1147"/>
    </row>
    <row r="161" spans="1:33" x14ac:dyDescent="0.3">
      <c r="A161" s="1055" t="s">
        <v>921</v>
      </c>
      <c r="B161" s="1055" t="s">
        <v>150</v>
      </c>
      <c r="C161" s="1055" t="s">
        <v>922</v>
      </c>
      <c r="D161" s="1055" t="s">
        <v>50</v>
      </c>
      <c r="E161" s="1055" t="s">
        <v>520</v>
      </c>
      <c r="F161" s="1152" t="s">
        <v>552</v>
      </c>
      <c r="G161" s="1055">
        <v>15</v>
      </c>
      <c r="H161" s="1055" t="s">
        <v>24</v>
      </c>
      <c r="I161" s="2627">
        <v>15</v>
      </c>
      <c r="J161" s="2628"/>
      <c r="K161" s="2628"/>
      <c r="L161" s="2629"/>
      <c r="M161" s="1055">
        <v>1</v>
      </c>
      <c r="N161" s="1165">
        <v>4065</v>
      </c>
      <c r="O161" s="1166">
        <v>0.4</v>
      </c>
      <c r="P161" s="1176">
        <f t="shared" si="34"/>
        <v>2439</v>
      </c>
      <c r="Q161" s="1165">
        <f t="shared" si="35"/>
        <v>36585</v>
      </c>
      <c r="R161" s="1167"/>
      <c r="S161" s="1258">
        <f>Q161/$Q$168</f>
        <v>0.14337768230848533</v>
      </c>
      <c r="T161" s="1327">
        <f t="shared" si="36"/>
        <v>36585</v>
      </c>
      <c r="U161" s="1170"/>
      <c r="W161" s="1244">
        <f>T161</f>
        <v>36585</v>
      </c>
      <c r="X161" s="1161"/>
      <c r="Y161" s="1147"/>
      <c r="Z161" s="1287"/>
      <c r="AA161" s="1162">
        <f>U161</f>
        <v>0</v>
      </c>
      <c r="AB161" s="1148"/>
      <c r="AC161" s="1151"/>
      <c r="AD161" s="1151"/>
      <c r="AE161" s="1151"/>
      <c r="AF161" s="1329">
        <f>T161</f>
        <v>36585</v>
      </c>
      <c r="AG161" s="1147"/>
    </row>
    <row r="162" spans="1:33" x14ac:dyDescent="0.3">
      <c r="A162" s="1055" t="s">
        <v>921</v>
      </c>
      <c r="B162" s="1055" t="s">
        <v>41</v>
      </c>
      <c r="C162" s="1055" t="s">
        <v>887</v>
      </c>
      <c r="D162" s="1055" t="s">
        <v>168</v>
      </c>
      <c r="E162" s="1055" t="s">
        <v>520</v>
      </c>
      <c r="F162" s="1152" t="s">
        <v>796</v>
      </c>
      <c r="G162" s="1055">
        <v>25</v>
      </c>
      <c r="H162" s="1055" t="s">
        <v>24</v>
      </c>
      <c r="I162" s="2642">
        <v>25</v>
      </c>
      <c r="J162" s="2643"/>
      <c r="K162" s="2643"/>
      <c r="L162" s="2644"/>
      <c r="M162" s="1055">
        <v>1</v>
      </c>
      <c r="N162" s="1165">
        <v>1600</v>
      </c>
      <c r="O162" s="1166">
        <v>0.7</v>
      </c>
      <c r="P162" s="1176">
        <f t="shared" si="34"/>
        <v>480.00000000000006</v>
      </c>
      <c r="Q162" s="1165">
        <f t="shared" si="35"/>
        <v>12000.000000000002</v>
      </c>
      <c r="R162" s="1167"/>
      <c r="S162" s="1258">
        <f>Q162/$Q$168</f>
        <v>4.7028350080684005E-2</v>
      </c>
      <c r="T162" s="1327">
        <f t="shared" si="36"/>
        <v>12000.000000000002</v>
      </c>
      <c r="U162" s="1170"/>
      <c r="W162" s="1244">
        <f>T162</f>
        <v>12000.000000000002</v>
      </c>
      <c r="X162" s="1161"/>
      <c r="Y162" s="1147"/>
      <c r="Z162" s="1287"/>
      <c r="AA162" s="1162">
        <f>U162</f>
        <v>0</v>
      </c>
      <c r="AB162" s="1148"/>
      <c r="AC162" s="1151"/>
      <c r="AD162" s="1151"/>
      <c r="AE162" s="1151"/>
      <c r="AF162" s="1151"/>
      <c r="AG162" s="1330">
        <f>T162</f>
        <v>12000.000000000002</v>
      </c>
    </row>
    <row r="163" spans="1:33" x14ac:dyDescent="0.3">
      <c r="A163" s="1055"/>
      <c r="B163" s="1055"/>
      <c r="C163" s="1055"/>
      <c r="D163" s="1055"/>
      <c r="E163" s="1055"/>
      <c r="F163" s="1152"/>
      <c r="G163" s="1055"/>
      <c r="H163" s="1055"/>
      <c r="I163" s="82"/>
      <c r="J163" s="82"/>
      <c r="K163" s="82"/>
      <c r="L163" s="1154"/>
      <c r="M163" s="1055"/>
      <c r="N163" s="1260"/>
      <c r="O163" s="1156"/>
      <c r="P163" s="1261"/>
      <c r="Q163" s="1260"/>
      <c r="R163" s="1262"/>
      <c r="S163" s="1263"/>
      <c r="T163" s="1331"/>
      <c r="U163" s="1160"/>
      <c r="X163" s="1161"/>
      <c r="Y163" s="1147"/>
      <c r="Z163" s="1287"/>
      <c r="AA163" s="1147"/>
      <c r="AB163" s="1148"/>
      <c r="AC163" s="1151"/>
      <c r="AD163" s="1151"/>
      <c r="AE163" s="1151"/>
      <c r="AF163" s="1151"/>
      <c r="AG163" s="1147"/>
    </row>
    <row r="164" spans="1:33" x14ac:dyDescent="0.3">
      <c r="A164" s="1151"/>
      <c r="B164" s="1055"/>
      <c r="C164" s="1178"/>
      <c r="D164" s="1178"/>
      <c r="E164" s="1178"/>
      <c r="F164" s="1179"/>
      <c r="G164" s="1178"/>
      <c r="H164" s="1178"/>
      <c r="I164" s="1180"/>
      <c r="J164" s="1180"/>
      <c r="K164" s="1180"/>
      <c r="L164" s="1181"/>
      <c r="M164" s="1178"/>
      <c r="N164" s="1182"/>
      <c r="O164" s="1183"/>
      <c r="P164" s="1184"/>
      <c r="Q164" s="1165"/>
      <c r="R164" s="1167"/>
      <c r="S164" s="1257"/>
      <c r="T164" s="1177"/>
      <c r="U164" s="1170"/>
      <c r="Y164" s="1147"/>
      <c r="Z164" s="1287"/>
      <c r="AA164" s="1147"/>
      <c r="AB164" s="1148"/>
      <c r="AC164" s="1151"/>
      <c r="AD164" s="1151"/>
      <c r="AE164" s="1151"/>
      <c r="AF164" s="1151"/>
      <c r="AG164" s="1147"/>
    </row>
    <row r="165" spans="1:33" x14ac:dyDescent="0.3">
      <c r="A165" s="1118" t="s">
        <v>926</v>
      </c>
      <c r="B165" s="1118" t="s">
        <v>528</v>
      </c>
      <c r="C165" s="1185"/>
      <c r="D165" s="1186"/>
      <c r="E165" s="1186"/>
      <c r="F165" s="1187"/>
      <c r="G165" s="1186"/>
      <c r="H165" s="1186"/>
      <c r="I165" s="1180"/>
      <c r="J165" s="1180"/>
      <c r="K165" s="1180"/>
      <c r="L165" s="1180"/>
      <c r="M165" s="1186"/>
      <c r="N165" s="1188"/>
      <c r="O165" s="1189"/>
      <c r="P165" s="1184"/>
      <c r="Q165" s="1190"/>
      <c r="R165" s="1198"/>
      <c r="S165" s="1197"/>
      <c r="T165" s="1177"/>
      <c r="U165" s="1170"/>
      <c r="Y165" s="1162"/>
      <c r="Z165" s="1287"/>
      <c r="AA165" s="1147"/>
      <c r="AB165" s="1148"/>
      <c r="AC165" s="1151"/>
      <c r="AD165" s="1151"/>
      <c r="AE165" s="1151"/>
      <c r="AF165" s="1151"/>
      <c r="AG165" s="1147"/>
    </row>
    <row r="166" spans="1:33" x14ac:dyDescent="0.3">
      <c r="A166" s="1118" t="s">
        <v>921</v>
      </c>
      <c r="B166" s="1118" t="s">
        <v>529</v>
      </c>
      <c r="C166" s="1193"/>
      <c r="D166" s="1194"/>
      <c r="E166" s="1194"/>
      <c r="F166" s="1195"/>
      <c r="G166" s="1194"/>
      <c r="H166" s="1194"/>
      <c r="I166" s="1196"/>
      <c r="J166" s="1196"/>
      <c r="K166" s="1196"/>
      <c r="L166" s="1196"/>
      <c r="M166" s="1194"/>
      <c r="N166" s="1191"/>
      <c r="O166" s="1197"/>
      <c r="P166" s="1198"/>
      <c r="Q166" s="1190">
        <v>40000</v>
      </c>
      <c r="R166" s="1199"/>
      <c r="S166" s="1265">
        <f>Q166/Q168</f>
        <v>0.15676116693561332</v>
      </c>
      <c r="T166" s="1327">
        <f t="shared" ref="T166" si="40">Q166</f>
        <v>40000</v>
      </c>
      <c r="U166" s="1170"/>
      <c r="Y166" s="1330">
        <f>T166</f>
        <v>40000</v>
      </c>
      <c r="Z166" s="1287"/>
      <c r="AA166" s="1147"/>
      <c r="AB166" s="1148"/>
      <c r="AC166" s="1151"/>
      <c r="AD166" s="1151"/>
      <c r="AE166" s="1151"/>
      <c r="AF166" s="1151"/>
      <c r="AG166" s="1147"/>
    </row>
    <row r="167" spans="1:33" x14ac:dyDescent="0.3">
      <c r="I167" s="1122">
        <f>I168/M168</f>
        <v>0.78301886792452835</v>
      </c>
      <c r="J167" s="1122"/>
      <c r="K167" s="1122">
        <f>K168/M168</f>
        <v>0.21698113207547171</v>
      </c>
      <c r="T167" s="1332"/>
      <c r="U167" s="1201"/>
      <c r="V167" s="1180"/>
      <c r="W167" s="1180"/>
      <c r="X167" s="1180"/>
      <c r="Y167" s="1202"/>
      <c r="Z167" s="1290"/>
      <c r="AA167" s="1202"/>
      <c r="AB167" s="1203"/>
      <c r="AC167" s="1205"/>
      <c r="AD167" s="1205"/>
      <c r="AE167" s="1205"/>
      <c r="AF167" s="1205"/>
      <c r="AG167" s="1202"/>
    </row>
    <row r="168" spans="1:33" x14ac:dyDescent="0.3">
      <c r="A168" s="1333" t="s">
        <v>531</v>
      </c>
      <c r="B168" s="1334"/>
      <c r="C168" s="1334"/>
      <c r="D168" s="1334"/>
      <c r="E168" s="1334"/>
      <c r="F168" s="1335"/>
      <c r="G168" s="1334"/>
      <c r="H168" s="1334"/>
      <c r="I168" s="1334">
        <f>I157+I154+I153+I152+I155+I161+I162+I159+I160+I156</f>
        <v>83</v>
      </c>
      <c r="J168" s="1334"/>
      <c r="K168" s="1334">
        <f>K158</f>
        <v>23</v>
      </c>
      <c r="L168" s="1334"/>
      <c r="M168" s="1334">
        <f>SUM(I168:L168)</f>
        <v>106</v>
      </c>
      <c r="N168" s="1336"/>
      <c r="O168" s="1337"/>
      <c r="P168" s="1336"/>
      <c r="Q168" s="1338">
        <f>SUM(Q151:Q167)</f>
        <v>255165.23499999999</v>
      </c>
      <c r="R168" s="1338"/>
      <c r="S168" s="1337">
        <f>SUM(S151:S166)</f>
        <v>1</v>
      </c>
      <c r="T168" s="1298">
        <f>SUM(T152:T167)</f>
        <v>255165.23499999999</v>
      </c>
      <c r="U168" s="1299">
        <f>SUM(U152:U166)</f>
        <v>166580.23499999999</v>
      </c>
      <c r="V168" s="1299">
        <f t="shared" ref="V168:X168" si="41">SUM(V146:V166)</f>
        <v>0</v>
      </c>
      <c r="W168" s="1299">
        <f>SUM(W152:W166)</f>
        <v>48585</v>
      </c>
      <c r="X168" s="1299">
        <f t="shared" si="41"/>
        <v>0</v>
      </c>
      <c r="Y168" s="1299">
        <f>SUM(Y152:Y166)</f>
        <v>40000</v>
      </c>
      <c r="Z168" s="1300">
        <f>SUM(Z151:Z167)</f>
        <v>75120</v>
      </c>
      <c r="AA168" s="1301">
        <f>SUM(AA151:AA167)</f>
        <v>91460.235000000001</v>
      </c>
      <c r="AB168" s="1300">
        <f>SUM(AB151:AB167)</f>
        <v>60572.5</v>
      </c>
      <c r="AC168" s="1303">
        <f>SUM(AC151:AC167)</f>
        <v>24321.735000000004</v>
      </c>
      <c r="AD168" s="1303">
        <f t="shared" ref="AD168:AG168" si="42">SUM(AD151:AD167)</f>
        <v>9120</v>
      </c>
      <c r="AE168" s="1303">
        <f t="shared" si="42"/>
        <v>72566</v>
      </c>
      <c r="AF168" s="1303">
        <f t="shared" si="42"/>
        <v>36585</v>
      </c>
      <c r="AG168" s="1339">
        <f t="shared" si="42"/>
        <v>12000.000000000002</v>
      </c>
    </row>
    <row r="169" spans="1:33" x14ac:dyDescent="0.3">
      <c r="A169" s="1333" t="s">
        <v>532</v>
      </c>
      <c r="B169" s="1334"/>
      <c r="C169" s="1334"/>
      <c r="D169" s="1334"/>
      <c r="E169" s="1334"/>
      <c r="F169" s="1335"/>
      <c r="G169" s="1334"/>
      <c r="H169" s="1334"/>
      <c r="I169" s="1334">
        <f>I157+I154+I153+I152+I162+I155+I156+I159+I160+I161</f>
        <v>83</v>
      </c>
      <c r="J169" s="1334">
        <f>I152+I153+I154+I155+I156+I157+I159+I160+I161+I162</f>
        <v>83</v>
      </c>
      <c r="K169" s="1334">
        <f>I153+I154+I155+I156+I157+K158+I159+I160+I161+I162</f>
        <v>78</v>
      </c>
      <c r="L169" s="1334"/>
      <c r="M169" s="1334">
        <f>SUM(I169:L169)</f>
        <v>244</v>
      </c>
      <c r="N169" s="1336"/>
      <c r="O169" s="1337"/>
      <c r="P169" s="1336"/>
      <c r="Q169" s="1336"/>
      <c r="R169" s="1336"/>
      <c r="S169" s="1337"/>
      <c r="T169" s="1310"/>
      <c r="U169" s="1311">
        <f>U168/T168</f>
        <v>0.65283280067521732</v>
      </c>
      <c r="V169" s="1311">
        <f>V168/T168</f>
        <v>0</v>
      </c>
      <c r="W169" s="1311">
        <f>W168/T168</f>
        <v>0.19040603238916934</v>
      </c>
      <c r="X169" s="1311">
        <f>X168/T168</f>
        <v>0</v>
      </c>
      <c r="Y169" s="1311">
        <f>Y168/T168</f>
        <v>0.15676116693561332</v>
      </c>
      <c r="Z169" s="1312">
        <f>Z168/T168</f>
        <v>0.29439747150508183</v>
      </c>
      <c r="AA169" s="1313">
        <f>AA168/T168</f>
        <v>0.3584353291701356</v>
      </c>
      <c r="AB169" s="1340"/>
      <c r="AC169" s="1315"/>
      <c r="AD169" s="1315"/>
      <c r="AE169" s="1315"/>
      <c r="AF169" s="1315"/>
      <c r="AG169" s="1316"/>
    </row>
    <row r="170" spans="1:33" x14ac:dyDescent="0.3">
      <c r="A170" s="1247" t="s">
        <v>533</v>
      </c>
      <c r="B170" s="1194"/>
      <c r="C170" s="1194"/>
      <c r="D170" s="1194"/>
      <c r="E170" s="1194"/>
      <c r="F170" s="1195"/>
      <c r="G170" s="1194"/>
      <c r="H170" s="1194"/>
      <c r="I170" s="2195">
        <f>I169/$M$169</f>
        <v>0.3401639344262295</v>
      </c>
      <c r="J170" s="2195">
        <f t="shared" ref="J170:L170" si="43">J169/$M$169</f>
        <v>0.3401639344262295</v>
      </c>
      <c r="K170" s="2195">
        <f t="shared" si="43"/>
        <v>0.31967213114754101</v>
      </c>
      <c r="L170" s="2195">
        <f t="shared" si="43"/>
        <v>0</v>
      </c>
      <c r="M170" s="1194"/>
      <c r="N170" s="1191"/>
      <c r="O170" s="1197"/>
      <c r="P170" s="1191"/>
      <c r="Q170" s="1190">
        <f>U168</f>
        <v>166580.23499999999</v>
      </c>
      <c r="R170" s="1198"/>
      <c r="S170" s="1248">
        <f>Q170/Q175</f>
        <v>0.65283280067521732</v>
      </c>
      <c r="T170" s="1100"/>
      <c r="U170" s="1085"/>
      <c r="Y170" s="1317"/>
      <c r="Z170" s="1318">
        <f>I152+I153+I156+I157+K158+I160+I161+I162</f>
        <v>97</v>
      </c>
      <c r="AA170" s="1246">
        <f>I154+I155+I159</f>
        <v>9</v>
      </c>
    </row>
    <row r="171" spans="1:33" x14ac:dyDescent="0.3">
      <c r="A171" s="1247" t="s">
        <v>11</v>
      </c>
      <c r="B171" s="1194"/>
      <c r="C171" s="1194"/>
      <c r="D171" s="1194"/>
      <c r="E171" s="1194"/>
      <c r="F171" s="1195"/>
      <c r="G171" s="1194"/>
      <c r="H171" s="1194"/>
      <c r="I171" s="1196"/>
      <c r="J171" s="1196"/>
      <c r="K171" s="1196"/>
      <c r="L171" s="1196"/>
      <c r="M171" s="1194"/>
      <c r="N171" s="1191"/>
      <c r="O171" s="1197"/>
      <c r="P171" s="1191"/>
      <c r="Q171" s="1190">
        <f>V168</f>
        <v>0</v>
      </c>
      <c r="R171" s="1198"/>
      <c r="S171" s="1248">
        <f>Q171/Q175</f>
        <v>0</v>
      </c>
      <c r="T171" s="1068">
        <f>Q168/M168</f>
        <v>2407.2191981132073</v>
      </c>
      <c r="U171" s="1069" t="s">
        <v>535</v>
      </c>
      <c r="Z171" s="1183">
        <f>Z170/M168</f>
        <v>0.91509433962264153</v>
      </c>
      <c r="AA171" s="1242">
        <f>AA170/M168</f>
        <v>8.4905660377358486E-2</v>
      </c>
    </row>
    <row r="172" spans="1:33" x14ac:dyDescent="0.3">
      <c r="A172" s="1247" t="s">
        <v>536</v>
      </c>
      <c r="B172" s="1194"/>
      <c r="C172" s="1194"/>
      <c r="D172" s="1194"/>
      <c r="E172" s="1194"/>
      <c r="F172" s="1195"/>
      <c r="G172" s="1194"/>
      <c r="H172" s="1194"/>
      <c r="I172" s="1196"/>
      <c r="J172" s="1196"/>
      <c r="K172" s="1196"/>
      <c r="L172" s="1196"/>
      <c r="M172" s="1194"/>
      <c r="N172" s="1191"/>
      <c r="O172" s="1197"/>
      <c r="P172" s="1191"/>
      <c r="Q172" s="1190">
        <f>W168</f>
        <v>48585</v>
      </c>
      <c r="R172" s="1198"/>
      <c r="S172" s="1248">
        <f>Q172/Q175</f>
        <v>0.19040603238916934</v>
      </c>
      <c r="T172" s="1100"/>
      <c r="U172" s="1085"/>
      <c r="V172" s="1249"/>
      <c r="X172" s="1100"/>
      <c r="Z172" s="2551" t="s">
        <v>537</v>
      </c>
      <c r="AA172" s="2551"/>
    </row>
    <row r="173" spans="1:33" x14ac:dyDescent="0.3">
      <c r="A173" s="1247" t="s">
        <v>529</v>
      </c>
      <c r="B173" s="1194"/>
      <c r="C173" s="1194"/>
      <c r="D173" s="1194"/>
      <c r="E173" s="1194"/>
      <c r="F173" s="1195"/>
      <c r="G173" s="1194"/>
      <c r="H173" s="1194"/>
      <c r="I173" s="1196"/>
      <c r="J173" s="1196"/>
      <c r="K173" s="1196"/>
      <c r="L173" s="1196"/>
      <c r="M173" s="1194"/>
      <c r="N173" s="1191"/>
      <c r="O173" s="1197"/>
      <c r="P173" s="1191"/>
      <c r="Q173" s="1190">
        <f>Y168</f>
        <v>40000</v>
      </c>
      <c r="R173" s="1198"/>
      <c r="S173" s="1248">
        <f>Q173/Q175</f>
        <v>0.15676116693561332</v>
      </c>
      <c r="T173" s="1243"/>
      <c r="V173" s="1249"/>
      <c r="W173" s="1249"/>
    </row>
    <row r="174" spans="1:33" x14ac:dyDescent="0.3">
      <c r="A174" s="1247" t="s">
        <v>528</v>
      </c>
      <c r="B174" s="1194"/>
      <c r="C174" s="1194"/>
      <c r="D174" s="1194"/>
      <c r="E174" s="1194"/>
      <c r="F174" s="1195"/>
      <c r="G174" s="1194"/>
      <c r="H174" s="1194"/>
      <c r="I174" s="1196"/>
      <c r="J174" s="1196"/>
      <c r="K174" s="1196"/>
      <c r="L174" s="1196"/>
      <c r="M174" s="1194"/>
      <c r="N174" s="1191"/>
      <c r="O174" s="1197"/>
      <c r="P174" s="1191"/>
      <c r="Q174" s="1190"/>
      <c r="R174" s="1198"/>
      <c r="S174" s="1248">
        <f>Q174/Q175</f>
        <v>0</v>
      </c>
      <c r="T174" s="1243"/>
    </row>
    <row r="175" spans="1:33" x14ac:dyDescent="0.3">
      <c r="A175" s="1247"/>
      <c r="B175" s="1194"/>
      <c r="C175" s="1194"/>
      <c r="D175" s="1194"/>
      <c r="E175" s="1194"/>
      <c r="F175" s="1195"/>
      <c r="G175" s="1194"/>
      <c r="H175" s="1194"/>
      <c r="I175" s="1196"/>
      <c r="J175" s="1196"/>
      <c r="K175" s="1196"/>
      <c r="L175" s="1196"/>
      <c r="M175" s="1194"/>
      <c r="N175" s="1191"/>
      <c r="O175" s="1197"/>
      <c r="P175" s="1191"/>
      <c r="Q175" s="1250">
        <f>SUM(Q170:Q174)</f>
        <v>255165.23499999999</v>
      </c>
      <c r="R175" s="1251"/>
      <c r="S175" s="1248">
        <f>SUM(S170:S174)</f>
        <v>1</v>
      </c>
      <c r="T175" s="1243"/>
    </row>
    <row r="179" spans="1:33" x14ac:dyDescent="0.3">
      <c r="E179" s="82" t="s">
        <v>562</v>
      </c>
      <c r="F179" s="83" t="s">
        <v>906</v>
      </c>
    </row>
    <row r="180" spans="1:33" x14ac:dyDescent="0.3">
      <c r="E180" s="82" t="s">
        <v>473</v>
      </c>
      <c r="F180" s="83" t="s">
        <v>923</v>
      </c>
    </row>
    <row r="181" spans="1:33" x14ac:dyDescent="0.3">
      <c r="E181" s="82" t="s">
        <v>475</v>
      </c>
      <c r="F181" s="83" t="s">
        <v>927</v>
      </c>
    </row>
    <row r="182" spans="1:33" x14ac:dyDescent="0.3">
      <c r="E182" s="82" t="s">
        <v>477</v>
      </c>
      <c r="F182" s="83" t="s">
        <v>928</v>
      </c>
    </row>
    <row r="183" spans="1:33" ht="18" x14ac:dyDescent="0.35">
      <c r="A183" s="1037" t="s">
        <v>567</v>
      </c>
      <c r="N183" s="1127"/>
      <c r="P183" s="1127"/>
      <c r="Q183" s="1127"/>
      <c r="R183" s="1101"/>
      <c r="S183" s="1127"/>
      <c r="T183" s="1127"/>
      <c r="U183" s="1127"/>
      <c r="V183" s="1127"/>
      <c r="W183" s="1127"/>
      <c r="X183" s="1127"/>
      <c r="Y183" s="1127"/>
      <c r="Z183" s="1127"/>
      <c r="AA183" s="1127"/>
      <c r="AB183" s="1127"/>
      <c r="AC183" s="1127"/>
      <c r="AD183" s="1127"/>
      <c r="AE183" s="1127"/>
      <c r="AF183" s="1127"/>
      <c r="AG183" s="1127"/>
    </row>
    <row r="184" spans="1:33" x14ac:dyDescent="0.3">
      <c r="N184" s="1127"/>
      <c r="P184" s="1127"/>
      <c r="Q184" s="1127"/>
      <c r="R184" s="1101"/>
      <c r="S184" s="1127"/>
      <c r="T184" s="1127"/>
      <c r="U184" s="1127"/>
      <c r="V184" s="1127"/>
      <c r="W184" s="1127"/>
      <c r="X184" s="1127"/>
      <c r="Y184" s="1127"/>
      <c r="Z184" s="1127"/>
      <c r="AA184" s="1127"/>
      <c r="AB184" s="1127"/>
      <c r="AC184" s="1127"/>
      <c r="AD184" s="1127"/>
      <c r="AE184" s="1127"/>
      <c r="AF184" s="1127"/>
      <c r="AG184" s="1127"/>
    </row>
    <row r="185" spans="1:33" x14ac:dyDescent="0.3">
      <c r="A185" s="2587" t="s">
        <v>480</v>
      </c>
      <c r="B185" s="2588"/>
      <c r="C185" s="2588"/>
      <c r="D185" s="2588"/>
      <c r="E185" s="2588"/>
      <c r="F185" s="2588"/>
      <c r="G185" s="2588"/>
      <c r="H185" s="2588"/>
      <c r="I185" s="2588"/>
      <c r="J185" s="2588"/>
      <c r="K185" s="2588"/>
      <c r="L185" s="2588"/>
      <c r="M185" s="2588"/>
      <c r="N185" s="2588"/>
      <c r="O185" s="2588"/>
      <c r="P185" s="2588"/>
      <c r="Q185" s="2588"/>
      <c r="R185" s="2588"/>
      <c r="S185" s="2589"/>
      <c r="T185" s="2563" t="s">
        <v>584</v>
      </c>
      <c r="U185" s="2564"/>
      <c r="V185" s="2564"/>
      <c r="W185" s="2564"/>
      <c r="X185" s="2564"/>
      <c r="Y185" s="2564"/>
      <c r="Z185" s="2564"/>
      <c r="AA185" s="2564"/>
      <c r="AB185" s="2564"/>
      <c r="AC185" s="2564"/>
      <c r="AD185" s="2564"/>
      <c r="AE185" s="2564"/>
      <c r="AF185" s="2564"/>
      <c r="AG185" s="2576"/>
    </row>
    <row r="186" spans="1:33" ht="18" x14ac:dyDescent="0.35">
      <c r="A186" s="2645" t="s">
        <v>482</v>
      </c>
      <c r="B186" s="2637" t="s">
        <v>483</v>
      </c>
      <c r="C186" s="2637" t="s">
        <v>484</v>
      </c>
      <c r="D186" s="2637" t="s">
        <v>555</v>
      </c>
      <c r="E186" s="2637" t="s">
        <v>556</v>
      </c>
      <c r="F186" s="2635" t="s">
        <v>487</v>
      </c>
      <c r="G186" s="2637" t="s">
        <v>557</v>
      </c>
      <c r="H186" s="2637" t="s">
        <v>489</v>
      </c>
      <c r="I186" s="2639" t="s">
        <v>490</v>
      </c>
      <c r="J186" s="2639"/>
      <c r="K186" s="2639"/>
      <c r="L186" s="2639"/>
      <c r="M186" s="1341" t="s">
        <v>491</v>
      </c>
      <c r="N186" s="1342" t="s">
        <v>558</v>
      </c>
      <c r="O186" s="1343" t="s">
        <v>493</v>
      </c>
      <c r="P186" s="1342" t="s">
        <v>558</v>
      </c>
      <c r="Q186" s="1342" t="s">
        <v>559</v>
      </c>
      <c r="R186" s="1344" t="s">
        <v>585</v>
      </c>
      <c r="S186" s="2640" t="s">
        <v>495</v>
      </c>
      <c r="T186" s="1345" t="s">
        <v>496</v>
      </c>
      <c r="U186" s="2553" t="s">
        <v>497</v>
      </c>
      <c r="V186" s="2553"/>
      <c r="W186" s="2553"/>
      <c r="X186" s="2553"/>
      <c r="Y186" s="2553"/>
      <c r="Z186" s="2552" t="s">
        <v>498</v>
      </c>
      <c r="AA186" s="2556"/>
      <c r="AB186" s="2552" t="s">
        <v>499</v>
      </c>
      <c r="AC186" s="2553"/>
      <c r="AD186" s="2553"/>
      <c r="AE186" s="2553"/>
      <c r="AF186" s="2553"/>
      <c r="AG186" s="2556"/>
    </row>
    <row r="187" spans="1:33" ht="18" x14ac:dyDescent="0.35">
      <c r="A187" s="2646"/>
      <c r="B187" s="2638"/>
      <c r="C187" s="2638"/>
      <c r="D187" s="2638"/>
      <c r="E187" s="2638"/>
      <c r="F187" s="2636"/>
      <c r="G187" s="2638"/>
      <c r="H187" s="2638"/>
      <c r="I187" s="1346" t="s">
        <v>500</v>
      </c>
      <c r="J187" s="1346" t="s">
        <v>501</v>
      </c>
      <c r="K187" s="1346" t="s">
        <v>502</v>
      </c>
      <c r="L187" s="1346" t="s">
        <v>503</v>
      </c>
      <c r="M187" s="1347" t="s">
        <v>504</v>
      </c>
      <c r="N187" s="1348" t="s">
        <v>505</v>
      </c>
      <c r="O187" s="1349" t="s">
        <v>506</v>
      </c>
      <c r="P187" s="1348" t="s">
        <v>507</v>
      </c>
      <c r="Q187" s="1348" t="s">
        <v>560</v>
      </c>
      <c r="R187" s="1348"/>
      <c r="S187" s="2641"/>
      <c r="T187" s="1350" t="s">
        <v>508</v>
      </c>
      <c r="U187" s="2558"/>
      <c r="V187" s="2558"/>
      <c r="W187" s="2558"/>
      <c r="X187" s="2558"/>
      <c r="Y187" s="2558"/>
      <c r="Z187" s="2557"/>
      <c r="AA187" s="2559"/>
      <c r="AB187" s="2557"/>
      <c r="AC187" s="2558"/>
      <c r="AD187" s="2558"/>
      <c r="AE187" s="2558"/>
      <c r="AF187" s="2558"/>
      <c r="AG187" s="2559"/>
    </row>
    <row r="188" spans="1:33" ht="18" x14ac:dyDescent="0.35">
      <c r="A188" s="2633" t="s">
        <v>568</v>
      </c>
      <c r="B188" s="2634"/>
      <c r="C188" s="2634"/>
      <c r="D188" s="2634"/>
      <c r="E188" s="2634"/>
      <c r="F188" s="2634"/>
      <c r="G188" s="2634"/>
      <c r="H188" s="2634"/>
      <c r="I188" s="2634"/>
      <c r="J188" s="2634"/>
      <c r="K188" s="2634"/>
      <c r="L188" s="2634"/>
      <c r="M188" s="2634"/>
      <c r="N188" s="2634"/>
      <c r="O188" s="2634"/>
      <c r="P188" s="2634"/>
      <c r="Q188" s="2634"/>
      <c r="R188" s="2634"/>
      <c r="S188" s="2634"/>
      <c r="T188" s="1351"/>
      <c r="U188" s="1352" t="s">
        <v>510</v>
      </c>
      <c r="V188" s="1353" t="s">
        <v>11</v>
      </c>
      <c r="W188" s="1353" t="s">
        <v>511</v>
      </c>
      <c r="X188" s="1353" t="s">
        <v>512</v>
      </c>
      <c r="Y188" s="1354" t="s">
        <v>513</v>
      </c>
      <c r="Z188" s="1352" t="s">
        <v>514</v>
      </c>
      <c r="AA188" s="1354" t="s">
        <v>515</v>
      </c>
      <c r="AB188" s="1042" t="s">
        <v>171</v>
      </c>
      <c r="AC188" s="1044" t="s">
        <v>12</v>
      </c>
      <c r="AD188" s="1044" t="s">
        <v>172</v>
      </c>
      <c r="AE188" s="1044" t="s">
        <v>173</v>
      </c>
      <c r="AF188" s="1044" t="s">
        <v>139</v>
      </c>
      <c r="AG188" s="1045" t="s">
        <v>5</v>
      </c>
    </row>
    <row r="189" spans="1:33" x14ac:dyDescent="0.3">
      <c r="A189" s="1134"/>
      <c r="B189" s="1135"/>
      <c r="C189" s="1135"/>
      <c r="D189" s="1135"/>
      <c r="E189" s="1135"/>
      <c r="F189" s="1136"/>
      <c r="G189" s="1135"/>
      <c r="H189" s="1135"/>
      <c r="I189" s="1138"/>
      <c r="J189" s="1138"/>
      <c r="K189" s="1138"/>
      <c r="L189" s="1138"/>
      <c r="M189" s="1135"/>
      <c r="N189" s="1141"/>
      <c r="O189" s="1142"/>
      <c r="P189" s="1141"/>
      <c r="Q189" s="1141"/>
      <c r="R189" s="1141"/>
      <c r="S189" s="1286"/>
      <c r="T189" s="1254"/>
      <c r="U189" s="1287"/>
      <c r="Y189" s="1147"/>
      <c r="Z189" s="1287"/>
      <c r="AA189" s="1147"/>
      <c r="AB189" s="1287"/>
      <c r="AG189" s="1147"/>
    </row>
    <row r="190" spans="1:33" x14ac:dyDescent="0.3">
      <c r="A190" s="1055" t="s">
        <v>920</v>
      </c>
      <c r="B190" s="1055" t="s">
        <v>427</v>
      </c>
      <c r="C190" s="1055" t="s">
        <v>883</v>
      </c>
      <c r="D190" s="1055" t="s">
        <v>166</v>
      </c>
      <c r="E190" s="1055" t="s">
        <v>520</v>
      </c>
      <c r="F190" s="1152" t="s">
        <v>698</v>
      </c>
      <c r="G190" s="1055">
        <v>15</v>
      </c>
      <c r="H190" s="1055" t="s">
        <v>63</v>
      </c>
      <c r="I190" s="2627">
        <v>15</v>
      </c>
      <c r="J190" s="2628"/>
      <c r="L190" s="1150"/>
      <c r="M190" s="1154">
        <v>1</v>
      </c>
      <c r="N190" s="1165">
        <v>1875</v>
      </c>
      <c r="O190" s="1166">
        <v>0.06</v>
      </c>
      <c r="P190" s="1165">
        <f t="shared" ref="P190:P199" si="44">N190*(1-O190)</f>
        <v>1762.5</v>
      </c>
      <c r="Q190" s="1165">
        <f t="shared" ref="Q190:Q199" si="45">P190*M190*G190</f>
        <v>26437.5</v>
      </c>
      <c r="R190" s="1167" t="e">
        <f>(Q190+#REF!)/E167*1000</f>
        <v>#REF!</v>
      </c>
      <c r="S190" s="1255">
        <f>Q190/$Q$205</f>
        <v>0.19148555452894753</v>
      </c>
      <c r="T190" s="1256">
        <f t="shared" ref="T190:T199" si="46">Q190*4</f>
        <v>105750</v>
      </c>
      <c r="U190" s="1288">
        <f t="shared" ref="U190:U198" si="47">T190</f>
        <v>105750</v>
      </c>
      <c r="Y190" s="1147"/>
      <c r="Z190" s="1288">
        <f>T190</f>
        <v>105750</v>
      </c>
      <c r="AA190" s="1162"/>
      <c r="AB190" s="1288">
        <f>T190</f>
        <v>105750</v>
      </c>
      <c r="AG190" s="1147"/>
    </row>
    <row r="191" spans="1:33" x14ac:dyDescent="0.3">
      <c r="A191" s="1055" t="s">
        <v>920</v>
      </c>
      <c r="B191" s="1055" t="s">
        <v>427</v>
      </c>
      <c r="C191" s="1055" t="s">
        <v>884</v>
      </c>
      <c r="D191" s="1055" t="s">
        <v>26</v>
      </c>
      <c r="E191" s="1055" t="s">
        <v>520</v>
      </c>
      <c r="F191" s="1152" t="s">
        <v>551</v>
      </c>
      <c r="G191" s="1055">
        <v>1</v>
      </c>
      <c r="H191" s="1055" t="s">
        <v>24</v>
      </c>
      <c r="I191" s="2630">
        <v>1</v>
      </c>
      <c r="J191" s="2631"/>
      <c r="K191" s="2631"/>
      <c r="L191" s="2632"/>
      <c r="M191" s="1154">
        <v>1</v>
      </c>
      <c r="N191" s="1165">
        <v>6000</v>
      </c>
      <c r="O191" s="1166">
        <v>0.04</v>
      </c>
      <c r="P191" s="1165">
        <f t="shared" si="44"/>
        <v>5760</v>
      </c>
      <c r="Q191" s="1165">
        <f t="shared" si="45"/>
        <v>5760</v>
      </c>
      <c r="R191" s="1167" t="e">
        <f>(Q191+Q196)/E167*1000</f>
        <v>#DIV/0!</v>
      </c>
      <c r="S191" s="1255">
        <f>Q191/$Q$205</f>
        <v>4.171940592290261E-2</v>
      </c>
      <c r="T191" s="1256">
        <f t="shared" si="46"/>
        <v>23040</v>
      </c>
      <c r="U191" s="1288">
        <f t="shared" si="47"/>
        <v>23040</v>
      </c>
      <c r="W191" s="1161"/>
      <c r="Y191" s="1147"/>
      <c r="Z191" s="1289">
        <f>T191</f>
        <v>23040</v>
      </c>
      <c r="AA191" s="1162"/>
      <c r="AB191" s="1288">
        <f t="shared" ref="AB191:AB192" si="48">T191</f>
        <v>23040</v>
      </c>
      <c r="AG191" s="1147"/>
    </row>
    <row r="192" spans="1:33" x14ac:dyDescent="0.3">
      <c r="A192" s="1055" t="s">
        <v>920</v>
      </c>
      <c r="B192" s="1055" t="s">
        <v>427</v>
      </c>
      <c r="C192" s="1055" t="s">
        <v>884</v>
      </c>
      <c r="D192" s="1055" t="s">
        <v>21</v>
      </c>
      <c r="E192" s="1055" t="s">
        <v>518</v>
      </c>
      <c r="F192" s="1152" t="s">
        <v>521</v>
      </c>
      <c r="G192" s="1055">
        <v>2</v>
      </c>
      <c r="H192" s="1055" t="s">
        <v>24</v>
      </c>
      <c r="I192" s="2627">
        <v>2</v>
      </c>
      <c r="J192" s="2628"/>
      <c r="K192" s="2628"/>
      <c r="L192" s="2629"/>
      <c r="M192" s="1154">
        <v>1</v>
      </c>
      <c r="N192" s="1165">
        <v>2875</v>
      </c>
      <c r="O192" s="1166">
        <v>0.05</v>
      </c>
      <c r="P192" s="1165">
        <f t="shared" si="44"/>
        <v>2731.25</v>
      </c>
      <c r="Q192" s="1165">
        <f t="shared" si="45"/>
        <v>5462.5</v>
      </c>
      <c r="R192" s="1167"/>
      <c r="S192" s="1257">
        <f>Q192/$Q$205</f>
        <v>3.9564627578794358E-2</v>
      </c>
      <c r="T192" s="1256">
        <f t="shared" si="46"/>
        <v>21850</v>
      </c>
      <c r="U192" s="1288">
        <f t="shared" si="47"/>
        <v>21850</v>
      </c>
      <c r="Y192" s="1147"/>
      <c r="Z192" s="1288"/>
      <c r="AA192" s="1162">
        <f>T192</f>
        <v>21850</v>
      </c>
      <c r="AB192" s="1288">
        <f t="shared" si="48"/>
        <v>21850</v>
      </c>
      <c r="AG192" s="1147"/>
    </row>
    <row r="193" spans="1:33" x14ac:dyDescent="0.3">
      <c r="A193" s="1055" t="s">
        <v>920</v>
      </c>
      <c r="B193" s="1055" t="s">
        <v>409</v>
      </c>
      <c r="C193" s="1055" t="s">
        <v>884</v>
      </c>
      <c r="D193" s="1055" t="s">
        <v>21</v>
      </c>
      <c r="E193" s="1055" t="s">
        <v>518</v>
      </c>
      <c r="F193" s="1152" t="s">
        <v>521</v>
      </c>
      <c r="G193" s="1055">
        <v>1</v>
      </c>
      <c r="H193" s="1055" t="s">
        <v>24</v>
      </c>
      <c r="I193" s="2630">
        <v>1</v>
      </c>
      <c r="J193" s="2631"/>
      <c r="K193" s="2631"/>
      <c r="L193" s="2632"/>
      <c r="M193" s="1154">
        <v>1</v>
      </c>
      <c r="N193" s="1165">
        <v>27024.15</v>
      </c>
      <c r="O193" s="1166">
        <v>0.7</v>
      </c>
      <c r="P193" s="1165">
        <f t="shared" si="44"/>
        <v>8107.2450000000017</v>
      </c>
      <c r="Q193" s="1165">
        <f t="shared" si="45"/>
        <v>8107.2450000000017</v>
      </c>
      <c r="R193" s="1167"/>
      <c r="S193" s="1257">
        <f t="shared" ref="S193:S199" si="49">Q193/$Q$205</f>
        <v>5.8720389769344211E-2</v>
      </c>
      <c r="T193" s="1256">
        <f t="shared" si="46"/>
        <v>32428.980000000007</v>
      </c>
      <c r="U193" s="1288">
        <f t="shared" si="47"/>
        <v>32428.980000000007</v>
      </c>
      <c r="Y193" s="1147"/>
      <c r="Z193" s="1288"/>
      <c r="AA193" s="1162">
        <f>T193</f>
        <v>32428.980000000007</v>
      </c>
      <c r="AB193" s="1287"/>
      <c r="AC193" s="1161">
        <f>T193</f>
        <v>32428.980000000007</v>
      </c>
      <c r="AG193" s="1147"/>
    </row>
    <row r="194" spans="1:33" x14ac:dyDescent="0.3">
      <c r="A194" s="1055" t="s">
        <v>920</v>
      </c>
      <c r="B194" s="1055" t="s">
        <v>428</v>
      </c>
      <c r="C194" s="1055" t="s">
        <v>884</v>
      </c>
      <c r="D194" s="1055" t="s">
        <v>26</v>
      </c>
      <c r="E194" s="1055" t="s">
        <v>524</v>
      </c>
      <c r="F194" s="1152" t="s">
        <v>551</v>
      </c>
      <c r="G194" s="1055">
        <v>2</v>
      </c>
      <c r="H194" s="1055" t="s">
        <v>24</v>
      </c>
      <c r="I194" s="2630">
        <v>2</v>
      </c>
      <c r="J194" s="2631"/>
      <c r="K194" s="2631"/>
      <c r="L194" s="2632"/>
      <c r="M194" s="1055">
        <v>1</v>
      </c>
      <c r="N194" s="1165">
        <v>4800</v>
      </c>
      <c r="O194" s="1166">
        <v>0.05</v>
      </c>
      <c r="P194" s="1165">
        <f t="shared" si="44"/>
        <v>4560</v>
      </c>
      <c r="Q194" s="1165">
        <f t="shared" si="45"/>
        <v>9120</v>
      </c>
      <c r="R194" s="1167"/>
      <c r="S194" s="1258">
        <f t="shared" si="49"/>
        <v>6.6055726044595808E-2</v>
      </c>
      <c r="T194" s="1256">
        <f t="shared" si="46"/>
        <v>36480</v>
      </c>
      <c r="U194" s="1288">
        <f t="shared" si="47"/>
        <v>36480</v>
      </c>
      <c r="Y194" s="1147"/>
      <c r="Z194" s="1288"/>
      <c r="AA194" s="1162">
        <f t="shared" ref="AA194:AA196" si="50">T194</f>
        <v>36480</v>
      </c>
      <c r="AB194" s="1287"/>
      <c r="AD194" s="1161">
        <f>T194</f>
        <v>36480</v>
      </c>
      <c r="AG194" s="1147"/>
    </row>
    <row r="195" spans="1:33" x14ac:dyDescent="0.3">
      <c r="A195" s="1055" t="s">
        <v>920</v>
      </c>
      <c r="B195" s="1055" t="s">
        <v>430</v>
      </c>
      <c r="C195" s="1055" t="s">
        <v>884</v>
      </c>
      <c r="D195" s="1055" t="s">
        <v>26</v>
      </c>
      <c r="E195" s="1055" t="s">
        <v>524</v>
      </c>
      <c r="F195" s="1152" t="s">
        <v>551</v>
      </c>
      <c r="G195" s="1055">
        <v>1</v>
      </c>
      <c r="H195" s="1055" t="s">
        <v>24</v>
      </c>
      <c r="I195" s="2627">
        <v>1</v>
      </c>
      <c r="J195" s="2628"/>
      <c r="K195" s="2628"/>
      <c r="L195" s="2629"/>
      <c r="M195" s="1055">
        <v>1</v>
      </c>
      <c r="N195" s="1165">
        <v>12555</v>
      </c>
      <c r="O195" s="1166">
        <v>0.6</v>
      </c>
      <c r="P195" s="1176">
        <f t="shared" si="44"/>
        <v>5022</v>
      </c>
      <c r="Q195" s="1165">
        <f t="shared" si="45"/>
        <v>5022</v>
      </c>
      <c r="R195" s="1167"/>
      <c r="S195" s="1258">
        <f t="shared" si="49"/>
        <v>3.6374107039030712E-2</v>
      </c>
      <c r="T195" s="1256">
        <f t="shared" si="46"/>
        <v>20088</v>
      </c>
      <c r="U195" s="1288">
        <f t="shared" si="47"/>
        <v>20088</v>
      </c>
      <c r="Y195" s="1147"/>
      <c r="Z195" s="1288"/>
      <c r="AA195" s="1162">
        <f t="shared" si="50"/>
        <v>20088</v>
      </c>
      <c r="AB195" s="1287"/>
      <c r="AE195" s="1161">
        <f>T195</f>
        <v>20088</v>
      </c>
      <c r="AG195" s="1147"/>
    </row>
    <row r="196" spans="1:33" x14ac:dyDescent="0.3">
      <c r="A196" s="1055" t="s">
        <v>920</v>
      </c>
      <c r="B196" s="1055" t="s">
        <v>430</v>
      </c>
      <c r="C196" s="1055" t="s">
        <v>884</v>
      </c>
      <c r="D196" s="1055" t="s">
        <v>166</v>
      </c>
      <c r="E196" s="1055" t="s">
        <v>520</v>
      </c>
      <c r="F196" s="1152" t="s">
        <v>698</v>
      </c>
      <c r="G196" s="1055">
        <v>10</v>
      </c>
      <c r="H196" s="1055" t="s">
        <v>24</v>
      </c>
      <c r="I196" s="1153"/>
      <c r="K196" s="2631">
        <v>10</v>
      </c>
      <c r="L196" s="2632"/>
      <c r="M196" s="1055">
        <v>1</v>
      </c>
      <c r="N196" s="1165">
        <v>4075</v>
      </c>
      <c r="O196" s="1166">
        <v>0.6</v>
      </c>
      <c r="P196" s="1176">
        <f t="shared" si="44"/>
        <v>1630</v>
      </c>
      <c r="Q196" s="1165">
        <f t="shared" si="45"/>
        <v>16300</v>
      </c>
      <c r="R196" s="1167"/>
      <c r="S196" s="1258">
        <f t="shared" si="49"/>
        <v>0.11806012439988066</v>
      </c>
      <c r="T196" s="1256">
        <f t="shared" si="46"/>
        <v>65200</v>
      </c>
      <c r="U196" s="1288">
        <f t="shared" si="47"/>
        <v>65200</v>
      </c>
      <c r="V196" s="1161"/>
      <c r="Y196" s="1147"/>
      <c r="Z196" s="1288"/>
      <c r="AA196" s="1162">
        <f t="shared" si="50"/>
        <v>65200</v>
      </c>
      <c r="AB196" s="1287"/>
      <c r="AE196" s="1161">
        <f t="shared" ref="AE196:AE198" si="51">T196</f>
        <v>65200</v>
      </c>
      <c r="AG196" s="1147"/>
    </row>
    <row r="197" spans="1:33" x14ac:dyDescent="0.3">
      <c r="A197" s="1055" t="s">
        <v>920</v>
      </c>
      <c r="B197" s="1055" t="s">
        <v>430</v>
      </c>
      <c r="C197" s="1055" t="s">
        <v>884</v>
      </c>
      <c r="D197" s="1055" t="s">
        <v>21</v>
      </c>
      <c r="E197" s="1055" t="s">
        <v>518</v>
      </c>
      <c r="F197" s="1152" t="s">
        <v>521</v>
      </c>
      <c r="G197" s="1055">
        <v>2</v>
      </c>
      <c r="H197" s="1055" t="s">
        <v>24</v>
      </c>
      <c r="I197" s="2627">
        <v>2</v>
      </c>
      <c r="J197" s="2628"/>
      <c r="K197" s="2628"/>
      <c r="L197" s="2629"/>
      <c r="M197" s="1055">
        <v>1</v>
      </c>
      <c r="N197" s="1165">
        <v>10005</v>
      </c>
      <c r="O197" s="1166">
        <v>0.5</v>
      </c>
      <c r="P197" s="1176">
        <f t="shared" si="44"/>
        <v>5002.5</v>
      </c>
      <c r="Q197" s="1165">
        <f t="shared" si="45"/>
        <v>10005</v>
      </c>
      <c r="R197" s="1167"/>
      <c r="S197" s="1259">
        <f>Q197/$Q$205</f>
        <v>7.2465738933791782E-2</v>
      </c>
      <c r="T197" s="1256">
        <f t="shared" si="46"/>
        <v>40020</v>
      </c>
      <c r="U197" s="1288">
        <f t="shared" si="47"/>
        <v>40020</v>
      </c>
      <c r="Y197" s="1147"/>
      <c r="Z197" s="1289">
        <f>T197</f>
        <v>40020</v>
      </c>
      <c r="AA197" s="1147"/>
      <c r="AB197" s="1287"/>
      <c r="AE197" s="1161">
        <f t="shared" si="51"/>
        <v>40020</v>
      </c>
      <c r="AG197" s="1147"/>
    </row>
    <row r="198" spans="1:33" x14ac:dyDescent="0.3">
      <c r="A198" s="1055" t="s">
        <v>920</v>
      </c>
      <c r="B198" s="1055" t="s">
        <v>430</v>
      </c>
      <c r="C198" s="1055" t="s">
        <v>884</v>
      </c>
      <c r="D198" s="1055" t="s">
        <v>26</v>
      </c>
      <c r="E198" s="1055" t="s">
        <v>520</v>
      </c>
      <c r="F198" s="1152" t="s">
        <v>551</v>
      </c>
      <c r="G198" s="1055">
        <v>1</v>
      </c>
      <c r="H198" s="1055" t="s">
        <v>24</v>
      </c>
      <c r="I198" s="2627">
        <v>1</v>
      </c>
      <c r="J198" s="2628"/>
      <c r="K198" s="2628"/>
      <c r="L198" s="2629"/>
      <c r="M198" s="1055">
        <v>1</v>
      </c>
      <c r="N198" s="1165">
        <v>12555</v>
      </c>
      <c r="O198" s="1166">
        <v>0.6</v>
      </c>
      <c r="P198" s="1176">
        <f t="shared" si="44"/>
        <v>5022</v>
      </c>
      <c r="Q198" s="1165">
        <f t="shared" si="45"/>
        <v>5022</v>
      </c>
      <c r="R198" s="1167"/>
      <c r="S198" s="1258">
        <f t="shared" si="49"/>
        <v>3.6374107039030712E-2</v>
      </c>
      <c r="T198" s="1256">
        <f t="shared" si="46"/>
        <v>20088</v>
      </c>
      <c r="U198" s="1288">
        <f t="shared" si="47"/>
        <v>20088</v>
      </c>
      <c r="Y198" s="1147"/>
      <c r="Z198" s="1287"/>
      <c r="AA198" s="1162">
        <f t="shared" ref="AA198:AA199" si="52">T198</f>
        <v>20088</v>
      </c>
      <c r="AB198" s="1287"/>
      <c r="AE198" s="1161">
        <f t="shared" si="51"/>
        <v>20088</v>
      </c>
      <c r="AG198" s="1147"/>
    </row>
    <row r="199" spans="1:33" x14ac:dyDescent="0.3">
      <c r="A199" s="1055" t="s">
        <v>921</v>
      </c>
      <c r="B199" s="1055" t="s">
        <v>150</v>
      </c>
      <c r="C199" s="1055" t="s">
        <v>922</v>
      </c>
      <c r="D199" s="1055" t="s">
        <v>50</v>
      </c>
      <c r="E199" s="1055" t="s">
        <v>520</v>
      </c>
      <c r="F199" s="1152" t="s">
        <v>655</v>
      </c>
      <c r="G199" s="1055">
        <v>11</v>
      </c>
      <c r="H199" s="1055" t="s">
        <v>24</v>
      </c>
      <c r="I199" s="2627">
        <v>11</v>
      </c>
      <c r="J199" s="2628"/>
      <c r="K199" s="2628"/>
      <c r="L199" s="2629"/>
      <c r="M199" s="1055">
        <v>1</v>
      </c>
      <c r="N199" s="1165">
        <v>4065</v>
      </c>
      <c r="O199" s="1166">
        <v>0.4</v>
      </c>
      <c r="P199" s="1176">
        <f t="shared" si="44"/>
        <v>2439</v>
      </c>
      <c r="Q199" s="1165">
        <f t="shared" si="45"/>
        <v>26829</v>
      </c>
      <c r="R199" s="1167"/>
      <c r="S199" s="1258">
        <f t="shared" si="49"/>
        <v>0.19432117040026983</v>
      </c>
      <c r="T199" s="1256">
        <f t="shared" si="46"/>
        <v>107316</v>
      </c>
      <c r="U199" s="1287"/>
      <c r="W199" s="1161">
        <f>T199</f>
        <v>107316</v>
      </c>
      <c r="Y199" s="1147"/>
      <c r="Z199" s="1287"/>
      <c r="AA199" s="1162">
        <f t="shared" si="52"/>
        <v>107316</v>
      </c>
      <c r="AB199" s="1287"/>
      <c r="AE199" s="1161"/>
      <c r="AF199" s="1161">
        <f>T199</f>
        <v>107316</v>
      </c>
      <c r="AG199" s="1147"/>
    </row>
    <row r="200" spans="1:33" x14ac:dyDescent="0.3">
      <c r="A200" s="1055"/>
      <c r="B200" s="1055"/>
      <c r="C200" s="1055"/>
      <c r="D200" s="1055"/>
      <c r="E200" s="1055"/>
      <c r="F200" s="1152"/>
      <c r="G200" s="1055"/>
      <c r="H200" s="1055"/>
      <c r="I200" s="82"/>
      <c r="J200" s="82"/>
      <c r="K200" s="82"/>
      <c r="L200" s="1154"/>
      <c r="M200" s="1055"/>
      <c r="N200" s="1260"/>
      <c r="O200" s="1156"/>
      <c r="P200" s="1261"/>
      <c r="Q200" s="1260"/>
      <c r="R200" s="1262"/>
      <c r="S200" s="1263"/>
      <c r="T200" s="1264"/>
      <c r="U200" s="1287"/>
      <c r="W200" s="1161"/>
      <c r="Y200" s="1147"/>
      <c r="Z200" s="1287"/>
      <c r="AA200" s="1147"/>
      <c r="AB200" s="1287"/>
      <c r="AG200" s="1147"/>
    </row>
    <row r="201" spans="1:33" x14ac:dyDescent="0.3">
      <c r="A201" s="1151"/>
      <c r="B201" s="1055"/>
      <c r="C201" s="1178"/>
      <c r="D201" s="1178"/>
      <c r="E201" s="1178"/>
      <c r="F201" s="1179"/>
      <c r="G201" s="1178"/>
      <c r="H201" s="1178"/>
      <c r="I201" s="1180"/>
      <c r="J201" s="1180"/>
      <c r="K201" s="1180"/>
      <c r="L201" s="1181"/>
      <c r="M201" s="1178"/>
      <c r="N201" s="1182"/>
      <c r="O201" s="1183"/>
      <c r="P201" s="1184"/>
      <c r="Q201" s="1165"/>
      <c r="R201" s="1167"/>
      <c r="S201" s="1257"/>
      <c r="T201" s="1256"/>
      <c r="U201" s="1287"/>
      <c r="Y201" s="1147"/>
      <c r="Z201" s="1287"/>
      <c r="AA201" s="1147"/>
      <c r="AB201" s="1287"/>
      <c r="AG201" s="1147"/>
    </row>
    <row r="202" spans="1:33" x14ac:dyDescent="0.3">
      <c r="A202" s="1118" t="s">
        <v>926</v>
      </c>
      <c r="B202" s="1118" t="s">
        <v>528</v>
      </c>
      <c r="C202" s="1185"/>
      <c r="D202" s="1186"/>
      <c r="E202" s="1186"/>
      <c r="F202" s="1187"/>
      <c r="G202" s="1186"/>
      <c r="H202" s="1186"/>
      <c r="I202" s="1180"/>
      <c r="J202" s="1180"/>
      <c r="K202" s="1180"/>
      <c r="L202" s="1180"/>
      <c r="M202" s="1186"/>
      <c r="N202" s="1188"/>
      <c r="O202" s="1189"/>
      <c r="P202" s="1184"/>
      <c r="Q202" s="1190"/>
      <c r="R202" s="1198"/>
      <c r="S202" s="1197"/>
      <c r="T202" s="1256">
        <f>Q202*2</f>
        <v>0</v>
      </c>
      <c r="U202" s="1287"/>
      <c r="X202" s="1161"/>
      <c r="Y202" s="1147"/>
      <c r="Z202" s="1287"/>
      <c r="AA202" s="1147"/>
      <c r="AB202" s="1287"/>
      <c r="AG202" s="1147"/>
    </row>
    <row r="203" spans="1:33" x14ac:dyDescent="0.3">
      <c r="A203" s="1118" t="s">
        <v>921</v>
      </c>
      <c r="B203" s="1118" t="s">
        <v>529</v>
      </c>
      <c r="C203" s="1193"/>
      <c r="D203" s="1194"/>
      <c r="E203" s="1194"/>
      <c r="F203" s="1195"/>
      <c r="G203" s="1194"/>
      <c r="H203" s="1194"/>
      <c r="I203" s="1196"/>
      <c r="J203" s="1196"/>
      <c r="K203" s="1196"/>
      <c r="L203" s="1196"/>
      <c r="M203" s="1194"/>
      <c r="N203" s="1191"/>
      <c r="O203" s="1197"/>
      <c r="P203" s="1198"/>
      <c r="Q203" s="1190">
        <v>20000</v>
      </c>
      <c r="R203" s="1199"/>
      <c r="S203" s="1265">
        <f>Q203/Q205</f>
        <v>0.14485904834341184</v>
      </c>
      <c r="T203" s="1256">
        <f>Q203*4</f>
        <v>80000</v>
      </c>
      <c r="U203" s="1287"/>
      <c r="Y203" s="1162">
        <f>T203</f>
        <v>80000</v>
      </c>
      <c r="Z203" s="1287"/>
      <c r="AA203" s="1147"/>
      <c r="AB203" s="1287"/>
      <c r="AG203" s="1147"/>
    </row>
    <row r="204" spans="1:33" x14ac:dyDescent="0.3">
      <c r="I204" s="1122">
        <f>I205/M205</f>
        <v>0.78260869565217395</v>
      </c>
      <c r="J204" s="1122"/>
      <c r="K204" s="1122">
        <f>K205/M205</f>
        <v>0.21739130434782608</v>
      </c>
      <c r="T204" s="1254"/>
      <c r="U204" s="1287"/>
      <c r="Y204" s="1147"/>
      <c r="Z204" s="1287"/>
      <c r="AA204" s="1202"/>
      <c r="AB204" s="1290"/>
      <c r="AC204" s="1180"/>
      <c r="AD204" s="1180"/>
      <c r="AE204" s="1180"/>
      <c r="AF204" s="1180"/>
      <c r="AG204" s="1202"/>
    </row>
    <row r="205" spans="1:33" x14ac:dyDescent="0.3">
      <c r="A205" s="1355" t="s">
        <v>531</v>
      </c>
      <c r="B205" s="1356"/>
      <c r="C205" s="1356"/>
      <c r="D205" s="1356"/>
      <c r="E205" s="1356"/>
      <c r="F205" s="1357"/>
      <c r="G205" s="1356"/>
      <c r="H205" s="1356"/>
      <c r="I205" s="1356">
        <f>I199+I198+I197+I195+I194+I193+I192+I191+I190</f>
        <v>36</v>
      </c>
      <c r="J205" s="1356"/>
      <c r="K205" s="1356">
        <f>K196</f>
        <v>10</v>
      </c>
      <c r="L205" s="1356"/>
      <c r="M205" s="1356">
        <f>SUM(I205:L205)</f>
        <v>46</v>
      </c>
      <c r="N205" s="1358"/>
      <c r="O205" s="1359"/>
      <c r="P205" s="1358"/>
      <c r="Q205" s="1360">
        <f>SUM(Q189:Q204)</f>
        <v>138065.245</v>
      </c>
      <c r="R205" s="1360"/>
      <c r="S205" s="1359">
        <f>SUM(S189:S203)</f>
        <v>1</v>
      </c>
      <c r="T205" s="1361">
        <f>SUM(T189:T204)</f>
        <v>552260.98</v>
      </c>
      <c r="U205" s="1362">
        <f t="shared" ref="U205:AA205" si="53">SUM(U189:U203)</f>
        <v>364944.98</v>
      </c>
      <c r="V205" s="1363">
        <f t="shared" si="53"/>
        <v>0</v>
      </c>
      <c r="W205" s="1363">
        <f t="shared" si="53"/>
        <v>107316</v>
      </c>
      <c r="X205" s="1363">
        <f t="shared" si="53"/>
        <v>0</v>
      </c>
      <c r="Y205" s="1364">
        <f t="shared" si="53"/>
        <v>80000</v>
      </c>
      <c r="Z205" s="1365">
        <f t="shared" si="53"/>
        <v>168810</v>
      </c>
      <c r="AA205" s="1366">
        <f t="shared" si="53"/>
        <v>303450.98</v>
      </c>
      <c r="AB205" s="1367">
        <f>SUM(AB189:AB204)</f>
        <v>150640</v>
      </c>
      <c r="AC205" s="1368">
        <f>SUM(AC189:AC204)</f>
        <v>32428.980000000007</v>
      </c>
      <c r="AD205" s="1368">
        <f t="shared" ref="AD205:AG205" si="54">SUM(AD189:AD204)</f>
        <v>36480</v>
      </c>
      <c r="AE205" s="1368">
        <f t="shared" si="54"/>
        <v>145396</v>
      </c>
      <c r="AF205" s="1368">
        <f t="shared" si="54"/>
        <v>107316</v>
      </c>
      <c r="AG205" s="1364">
        <f t="shared" si="54"/>
        <v>0</v>
      </c>
    </row>
    <row r="206" spans="1:33" x14ac:dyDescent="0.3">
      <c r="A206" s="1355" t="s">
        <v>532</v>
      </c>
      <c r="B206" s="1356"/>
      <c r="C206" s="1356"/>
      <c r="D206" s="1356"/>
      <c r="E206" s="1356"/>
      <c r="F206" s="1357"/>
      <c r="G206" s="1356"/>
      <c r="H206" s="1356"/>
      <c r="I206" s="1356">
        <f>I199+I198+I197+I195+I194+I193+I192+I191+I190</f>
        <v>36</v>
      </c>
      <c r="J206" s="1356">
        <f>I199+I198+I197+I195+I194+I193+I192+I191+I190</f>
        <v>36</v>
      </c>
      <c r="K206" s="1356">
        <f>I199+I198+I197+K196+I195+I194+I193+I192+I191</f>
        <v>31</v>
      </c>
      <c r="L206" s="1356"/>
      <c r="M206" s="1356">
        <f>SUM(I206:L206)</f>
        <v>103</v>
      </c>
      <c r="N206" s="1358"/>
      <c r="O206" s="1359"/>
      <c r="P206" s="1358"/>
      <c r="Q206" s="1358"/>
      <c r="R206" s="1358"/>
      <c r="S206" s="1359"/>
      <c r="T206" s="1369"/>
      <c r="U206" s="1370">
        <f>U205/T205</f>
        <v>0.66081978125631835</v>
      </c>
      <c r="V206" s="1371">
        <f>V205/T205</f>
        <v>0</v>
      </c>
      <c r="W206" s="1371">
        <f>W205/T205</f>
        <v>0.19432117040026983</v>
      </c>
      <c r="X206" s="1371">
        <f>X205/T205</f>
        <v>0</v>
      </c>
      <c r="Y206" s="1372">
        <f>Y205/T205</f>
        <v>0.14485904834341184</v>
      </c>
      <c r="Z206" s="1373">
        <f>Z205/T205</f>
        <v>0.3056706993856419</v>
      </c>
      <c r="AA206" s="1372">
        <f>AA205/T205</f>
        <v>0.54947025227094626</v>
      </c>
      <c r="AB206" s="1374"/>
      <c r="AC206" s="1375"/>
      <c r="AD206" s="1376"/>
      <c r="AE206" s="1376"/>
      <c r="AF206" s="1376"/>
      <c r="AG206" s="1377"/>
    </row>
    <row r="207" spans="1:33" x14ac:dyDescent="0.3">
      <c r="A207" s="1247" t="s">
        <v>533</v>
      </c>
      <c r="B207" s="1194"/>
      <c r="C207" s="1194"/>
      <c r="D207" s="1194"/>
      <c r="E207" s="1194"/>
      <c r="F207" s="1195"/>
      <c r="G207" s="1194"/>
      <c r="H207" s="1194"/>
      <c r="I207" s="2195">
        <f>I206/$M$206</f>
        <v>0.34951456310679613</v>
      </c>
      <c r="J207" s="2195">
        <f t="shared" ref="J207:L207" si="55">J206/$M$206</f>
        <v>0.34951456310679613</v>
      </c>
      <c r="K207" s="2195">
        <f t="shared" si="55"/>
        <v>0.30097087378640774</v>
      </c>
      <c r="L207" s="2195">
        <f t="shared" si="55"/>
        <v>0</v>
      </c>
      <c r="M207" s="1194"/>
      <c r="N207" s="1191"/>
      <c r="O207" s="1197"/>
      <c r="P207" s="1191"/>
      <c r="Q207" s="1190">
        <f>U205/4</f>
        <v>91236.244999999995</v>
      </c>
      <c r="R207" s="1198"/>
      <c r="S207" s="1248">
        <f>Q207/Q212</f>
        <v>0.66081978125631835</v>
      </c>
      <c r="T207" s="1100"/>
      <c r="U207" s="1085"/>
      <c r="Y207" s="1317"/>
      <c r="Z207" s="1318">
        <f>I190+I191+I194+I195+K196+I198+I199</f>
        <v>41</v>
      </c>
      <c r="AA207" s="1246">
        <f>I192+I193+I197</f>
        <v>5</v>
      </c>
    </row>
    <row r="208" spans="1:33" x14ac:dyDescent="0.3">
      <c r="A208" s="1247" t="s">
        <v>11</v>
      </c>
      <c r="B208" s="1194"/>
      <c r="C208" s="1194"/>
      <c r="D208" s="1194"/>
      <c r="E208" s="1194"/>
      <c r="F208" s="1195"/>
      <c r="G208" s="1194"/>
      <c r="H208" s="1194"/>
      <c r="I208" s="1196"/>
      <c r="J208" s="1196"/>
      <c r="K208" s="1196"/>
      <c r="L208" s="1196"/>
      <c r="M208" s="1194"/>
      <c r="N208" s="1191"/>
      <c r="O208" s="1197"/>
      <c r="P208" s="1191"/>
      <c r="Q208" s="1190">
        <f>V205</f>
        <v>0</v>
      </c>
      <c r="R208" s="1198"/>
      <c r="S208" s="1248"/>
      <c r="T208" s="1077">
        <f>Q205/M205</f>
        <v>3001.4183695652173</v>
      </c>
      <c r="U208" s="1078" t="s">
        <v>535</v>
      </c>
      <c r="Z208" s="1183">
        <f>Z207/M205</f>
        <v>0.89130434782608692</v>
      </c>
      <c r="AA208" s="1242">
        <f>AA207/M205</f>
        <v>0.10869565217391304</v>
      </c>
    </row>
    <row r="209" spans="1:33" x14ac:dyDescent="0.3">
      <c r="A209" s="1247" t="s">
        <v>536</v>
      </c>
      <c r="B209" s="1194"/>
      <c r="C209" s="1194"/>
      <c r="D209" s="1194"/>
      <c r="E209" s="1194"/>
      <c r="F209" s="1195"/>
      <c r="G209" s="1194"/>
      <c r="H209" s="1194"/>
      <c r="I209" s="1196"/>
      <c r="J209" s="1196"/>
      <c r="K209" s="1196"/>
      <c r="L209" s="1196"/>
      <c r="M209" s="1194"/>
      <c r="N209" s="1191"/>
      <c r="O209" s="1197"/>
      <c r="P209" s="1191"/>
      <c r="Q209" s="1190">
        <f>W205/4</f>
        <v>26829</v>
      </c>
      <c r="R209" s="1198"/>
      <c r="S209" s="1248">
        <f>Q209/Q212</f>
        <v>0.19432117040026983</v>
      </c>
      <c r="T209" s="1243"/>
      <c r="W209" s="1249"/>
      <c r="Y209" s="1100"/>
      <c r="Z209" s="2551" t="s">
        <v>537</v>
      </c>
      <c r="AA209" s="2551"/>
    </row>
    <row r="210" spans="1:33" x14ac:dyDescent="0.3">
      <c r="A210" s="1247" t="s">
        <v>529</v>
      </c>
      <c r="B210" s="1194"/>
      <c r="C210" s="1194"/>
      <c r="D210" s="1194"/>
      <c r="E210" s="1194"/>
      <c r="F210" s="1195"/>
      <c r="G210" s="1194"/>
      <c r="H210" s="1194"/>
      <c r="I210" s="1196"/>
      <c r="J210" s="1196"/>
      <c r="K210" s="1196"/>
      <c r="L210" s="1196"/>
      <c r="M210" s="1194"/>
      <c r="N210" s="1191"/>
      <c r="O210" s="1197"/>
      <c r="P210" s="1191"/>
      <c r="Q210" s="1190">
        <f>Y205/4</f>
        <v>20000</v>
      </c>
      <c r="R210" s="1198"/>
      <c r="S210" s="1248">
        <f>Q210/Q212</f>
        <v>0.14485904834341184</v>
      </c>
      <c r="T210" s="1243"/>
      <c r="V210" s="1249"/>
      <c r="W210" s="1249"/>
    </row>
    <row r="211" spans="1:33" x14ac:dyDescent="0.3">
      <c r="A211" s="1247" t="s">
        <v>528</v>
      </c>
      <c r="B211" s="1194"/>
      <c r="C211" s="1194"/>
      <c r="D211" s="1194"/>
      <c r="E211" s="1194"/>
      <c r="F211" s="1195"/>
      <c r="G211" s="1194"/>
      <c r="H211" s="1194"/>
      <c r="I211" s="1196"/>
      <c r="J211" s="1196"/>
      <c r="K211" s="1196"/>
      <c r="L211" s="1196"/>
      <c r="M211" s="1194"/>
      <c r="N211" s="1191"/>
      <c r="O211" s="1197"/>
      <c r="P211" s="1191"/>
      <c r="Q211" s="1190">
        <f>X205</f>
        <v>0</v>
      </c>
      <c r="R211" s="1198"/>
      <c r="S211" s="1248"/>
      <c r="T211" s="1243"/>
    </row>
    <row r="212" spans="1:33" x14ac:dyDescent="0.3">
      <c r="A212" s="1247"/>
      <c r="B212" s="1194"/>
      <c r="C212" s="1194"/>
      <c r="D212" s="1194"/>
      <c r="E212" s="1194"/>
      <c r="F212" s="1195"/>
      <c r="G212" s="1194"/>
      <c r="H212" s="1194"/>
      <c r="I212" s="1196"/>
      <c r="J212" s="1196"/>
      <c r="K212" s="1196"/>
      <c r="L212" s="1196"/>
      <c r="M212" s="1194"/>
      <c r="N212" s="1191"/>
      <c r="O212" s="1197"/>
      <c r="P212" s="1191"/>
      <c r="Q212" s="1250">
        <f>SUM(Q207:Q211)</f>
        <v>138065.245</v>
      </c>
      <c r="R212" s="1251"/>
      <c r="S212" s="1248">
        <f>SUM(S207:S211)</f>
        <v>1</v>
      </c>
      <c r="T212" s="1243"/>
    </row>
    <row r="214" spans="1:33" x14ac:dyDescent="0.3">
      <c r="Q214" s="1378"/>
      <c r="AA214" s="1244">
        <f>SUM(AB215:AG215)</f>
        <v>2133252.625</v>
      </c>
      <c r="AB214" s="1082" t="s">
        <v>171</v>
      </c>
      <c r="AC214" s="1082" t="s">
        <v>12</v>
      </c>
      <c r="AD214" s="1082" t="s">
        <v>172</v>
      </c>
      <c r="AE214" s="1082" t="s">
        <v>173</v>
      </c>
      <c r="AF214" s="1082" t="s">
        <v>139</v>
      </c>
      <c r="AG214" s="1081" t="s">
        <v>5</v>
      </c>
    </row>
    <row r="215" spans="1:33" ht="18" x14ac:dyDescent="0.35">
      <c r="A215" s="430" t="s">
        <v>569</v>
      </c>
      <c r="B215" s="431"/>
      <c r="C215" s="431"/>
      <c r="D215" s="432"/>
      <c r="E215" s="432"/>
      <c r="F215" s="433"/>
      <c r="G215" s="432"/>
      <c r="H215" s="432"/>
      <c r="I215" s="434"/>
      <c r="J215" s="434"/>
      <c r="K215" s="434"/>
      <c r="L215" s="434"/>
      <c r="M215" s="431"/>
      <c r="N215" s="435"/>
      <c r="O215" s="436"/>
      <c r="P215" s="435"/>
      <c r="Q215" s="435"/>
      <c r="R215" s="436"/>
      <c r="S215" s="763" t="s">
        <v>878</v>
      </c>
      <c r="T215" s="763">
        <f>T205+T168+T135+T89+T56</f>
        <v>2494252.625</v>
      </c>
      <c r="AA215" t="s">
        <v>601</v>
      </c>
      <c r="AB215" s="1379">
        <f>AB205+AB168+AB135+AB89+AB56</f>
        <v>664022.5</v>
      </c>
      <c r="AC215" s="1379">
        <f t="shared" ref="AC215:AG215" si="56">AC205+AC168+AC135+AC89+AC56</f>
        <v>202681.12500000003</v>
      </c>
      <c r="AD215" s="1379">
        <f t="shared" si="56"/>
        <v>355205</v>
      </c>
      <c r="AE215" s="1379">
        <f t="shared" si="56"/>
        <v>694663</v>
      </c>
      <c r="AF215" s="1379">
        <f t="shared" si="56"/>
        <v>192681</v>
      </c>
      <c r="AG215" s="1379">
        <f t="shared" si="56"/>
        <v>24000.000000000004</v>
      </c>
    </row>
    <row r="216" spans="1:33" x14ac:dyDescent="0.3">
      <c r="B216" s="1"/>
      <c r="C216" s="1"/>
      <c r="D216" s="1"/>
      <c r="E216" s="1"/>
      <c r="F216" s="2"/>
      <c r="G216" s="1"/>
      <c r="H216" s="1"/>
      <c r="M216" s="1"/>
      <c r="N216" s="99"/>
      <c r="O216" s="3"/>
      <c r="P216" s="99"/>
      <c r="Q216" s="99"/>
      <c r="R216" s="3" t="s">
        <v>571</v>
      </c>
      <c r="S216" s="98" t="s">
        <v>571</v>
      </c>
      <c r="T216" s="98">
        <f>D19-T215</f>
        <v>9607.375</v>
      </c>
      <c r="U216" s="111"/>
    </row>
    <row r="217" spans="1:33" x14ac:dyDescent="0.3">
      <c r="B217" s="1"/>
      <c r="C217" s="1"/>
      <c r="D217" s="1"/>
      <c r="E217" s="1"/>
      <c r="F217" s="2"/>
      <c r="G217" s="1"/>
      <c r="H217" s="1"/>
      <c r="M217" s="1"/>
      <c r="N217" s="99"/>
      <c r="O217" s="3"/>
      <c r="P217" s="99"/>
      <c r="Q217" s="99"/>
      <c r="R217" s="3"/>
      <c r="S217" s="99"/>
    </row>
    <row r="218" spans="1:33" x14ac:dyDescent="0.3">
      <c r="D218" s="1105"/>
      <c r="E218" s="1105"/>
      <c r="F218" s="1105"/>
      <c r="G218" s="1380"/>
      <c r="H218" s="1380"/>
    </row>
    <row r="219" spans="1:33" x14ac:dyDescent="0.3">
      <c r="D219" s="1123"/>
      <c r="E219" s="1123"/>
      <c r="G219" s="1123"/>
      <c r="H219" s="1123"/>
    </row>
    <row r="220" spans="1:33" x14ac:dyDescent="0.3">
      <c r="D220" s="1123"/>
      <c r="E220" s="1123"/>
      <c r="G220" s="1123"/>
      <c r="H220" s="1123"/>
    </row>
    <row r="221" spans="1:33" x14ac:dyDescent="0.3">
      <c r="D221" s="1123"/>
      <c r="E221" s="1123"/>
      <c r="G221" s="1123"/>
      <c r="H221" s="1123"/>
    </row>
    <row r="222" spans="1:33" x14ac:dyDescent="0.3">
      <c r="D222" s="1123"/>
      <c r="E222" s="1123"/>
      <c r="G222" s="1123"/>
      <c r="H222" s="1123"/>
    </row>
    <row r="223" spans="1:33" x14ac:dyDescent="0.3">
      <c r="D223" s="112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91"/>
  <sheetViews>
    <sheetView topLeftCell="A42" workbookViewId="0">
      <selection activeCell="H54" sqref="H54:H63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394</v>
      </c>
      <c r="C2" t="s">
        <v>425</v>
      </c>
      <c r="D2" t="s">
        <v>426</v>
      </c>
      <c r="E2" s="82" t="s">
        <v>427</v>
      </c>
      <c r="F2" s="82" t="s">
        <v>166</v>
      </c>
      <c r="G2" s="2193">
        <v>1</v>
      </c>
      <c r="H2" s="2186">
        <f>VLOOKUP(G2,Pesos!A:B,2,0)</f>
        <v>0.9</v>
      </c>
      <c r="I2" s="82" t="s">
        <v>305</v>
      </c>
      <c r="K2" s="1">
        <v>15</v>
      </c>
      <c r="L2" s="83" t="s">
        <v>185</v>
      </c>
      <c r="M2" s="82">
        <v>25</v>
      </c>
      <c r="N2" s="82" t="s">
        <v>63</v>
      </c>
      <c r="O2" s="1">
        <v>25</v>
      </c>
      <c r="P2" s="74"/>
      <c r="Q2" s="1"/>
      <c r="R2" s="1"/>
      <c r="S2" s="82">
        <v>1</v>
      </c>
      <c r="T2" s="84">
        <v>1875</v>
      </c>
      <c r="U2" s="85">
        <v>0.06</v>
      </c>
      <c r="V2" s="25">
        <f>T2*(1-U2)</f>
        <v>1762.5</v>
      </c>
      <c r="W2" s="25">
        <f>V2*S2*M2</f>
        <v>44062.5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394</v>
      </c>
      <c r="C3" t="s">
        <v>425</v>
      </c>
      <c r="D3" t="s">
        <v>426</v>
      </c>
      <c r="E3" s="82" t="s">
        <v>427</v>
      </c>
      <c r="F3" s="82" t="s">
        <v>26</v>
      </c>
      <c r="G3" s="2193">
        <v>5</v>
      </c>
      <c r="H3" s="2186">
        <f>VLOOKUP(G3,Pesos!A:B,2,0)</f>
        <v>0.5</v>
      </c>
      <c r="I3" s="82" t="s">
        <v>305</v>
      </c>
      <c r="K3" s="1">
        <v>5</v>
      </c>
      <c r="L3" s="83" t="s">
        <v>203</v>
      </c>
      <c r="M3" s="82">
        <v>1</v>
      </c>
      <c r="N3" s="82" t="s">
        <v>24</v>
      </c>
      <c r="O3" s="1">
        <v>1</v>
      </c>
      <c r="P3" s="13"/>
      <c r="S3" s="82">
        <v>1</v>
      </c>
      <c r="T3" s="84">
        <v>6000</v>
      </c>
      <c r="U3" s="85">
        <v>0.04</v>
      </c>
      <c r="V3" s="26">
        <f>T3*(1-U3)</f>
        <v>5760</v>
      </c>
      <c r="W3" s="25">
        <f t="shared" ref="W3:W63" si="0">V3*S3*M3</f>
        <v>5760</v>
      </c>
      <c r="X3" s="6"/>
      <c r="Y3" s="22"/>
      <c r="Z3" s="1"/>
    </row>
    <row r="4" spans="1:32" x14ac:dyDescent="0.3">
      <c r="A4" t="s">
        <v>327</v>
      </c>
      <c r="B4" t="s">
        <v>394</v>
      </c>
      <c r="C4" t="s">
        <v>425</v>
      </c>
      <c r="D4" t="s">
        <v>426</v>
      </c>
      <c r="E4" s="82" t="s">
        <v>427</v>
      </c>
      <c r="F4" s="82" t="s">
        <v>21</v>
      </c>
      <c r="G4" s="2193">
        <v>2</v>
      </c>
      <c r="H4" s="2186">
        <f>VLOOKUP(G4,Pesos!A:B,2,0)</f>
        <v>0.8</v>
      </c>
      <c r="I4" s="82"/>
      <c r="J4" s="82" t="s">
        <v>305</v>
      </c>
      <c r="K4" s="1">
        <v>8</v>
      </c>
      <c r="L4" s="83" t="s">
        <v>170</v>
      </c>
      <c r="M4" s="82">
        <v>4</v>
      </c>
      <c r="N4" s="82" t="s">
        <v>24</v>
      </c>
      <c r="O4" s="1">
        <v>4</v>
      </c>
      <c r="P4" s="13"/>
      <c r="S4" s="82">
        <v>1</v>
      </c>
      <c r="T4" s="84">
        <v>2875</v>
      </c>
      <c r="U4" s="85">
        <v>0.05</v>
      </c>
      <c r="V4" s="26">
        <f t="shared" ref="V4" si="1">T4*(1-U4)</f>
        <v>2731.25</v>
      </c>
      <c r="W4" s="25">
        <f t="shared" si="0"/>
        <v>10925</v>
      </c>
      <c r="X4" s="6"/>
      <c r="Y4" s="22"/>
      <c r="Z4" s="1"/>
    </row>
    <row r="5" spans="1:32" x14ac:dyDescent="0.3">
      <c r="A5" t="s">
        <v>327</v>
      </c>
      <c r="B5" t="s">
        <v>394</v>
      </c>
      <c r="C5" t="s">
        <v>425</v>
      </c>
      <c r="D5" t="s">
        <v>426</v>
      </c>
      <c r="E5" s="82" t="s">
        <v>409</v>
      </c>
      <c r="F5" s="82" t="s">
        <v>21</v>
      </c>
      <c r="G5" s="2193">
        <v>2</v>
      </c>
      <c r="H5" s="2186">
        <f>VLOOKUP(G5,Pesos!A:B,2,0)</f>
        <v>0.8</v>
      </c>
      <c r="I5" s="82"/>
      <c r="J5" s="82" t="s">
        <v>305</v>
      </c>
      <c r="K5" s="1">
        <v>8</v>
      </c>
      <c r="L5" s="83" t="s">
        <v>170</v>
      </c>
      <c r="M5" s="82">
        <v>3</v>
      </c>
      <c r="N5" s="82" t="s">
        <v>24</v>
      </c>
      <c r="O5" s="1">
        <v>3</v>
      </c>
      <c r="P5" s="13"/>
      <c r="S5" s="82">
        <v>1</v>
      </c>
      <c r="T5" s="84">
        <v>27024.15</v>
      </c>
      <c r="U5" s="85">
        <v>0.7</v>
      </c>
      <c r="V5" s="26">
        <f>T5*(1-U5)</f>
        <v>8107.2450000000017</v>
      </c>
      <c r="W5" s="25">
        <f t="shared" si="0"/>
        <v>24321.735000000004</v>
      </c>
      <c r="X5" s="18"/>
      <c r="Y5" s="22"/>
      <c r="Z5" s="1"/>
    </row>
    <row r="6" spans="1:32" x14ac:dyDescent="0.3">
      <c r="A6" t="s">
        <v>327</v>
      </c>
      <c r="B6" t="s">
        <v>394</v>
      </c>
      <c r="C6" t="s">
        <v>425</v>
      </c>
      <c r="D6" t="s">
        <v>426</v>
      </c>
      <c r="E6" s="82" t="s">
        <v>427</v>
      </c>
      <c r="F6" s="82" t="s">
        <v>29</v>
      </c>
      <c r="G6" s="2193">
        <v>4</v>
      </c>
      <c r="H6" s="2186">
        <f>VLOOKUP(G6,Pesos!A:B,2,0)</f>
        <v>0.6</v>
      </c>
      <c r="I6" s="82" t="s">
        <v>305</v>
      </c>
      <c r="K6" s="1">
        <v>4</v>
      </c>
      <c r="L6" s="83" t="s">
        <v>330</v>
      </c>
      <c r="M6" s="82">
        <v>2</v>
      </c>
      <c r="N6" s="82" t="s">
        <v>24</v>
      </c>
      <c r="O6" s="1">
        <v>2</v>
      </c>
      <c r="P6" s="13"/>
      <c r="S6" s="82">
        <v>1</v>
      </c>
      <c r="T6" s="84">
        <v>16250</v>
      </c>
      <c r="U6" s="85">
        <v>0.05</v>
      </c>
      <c r="V6" s="26">
        <f>T6*(1-U6)</f>
        <v>15437.5</v>
      </c>
      <c r="W6" s="25">
        <f t="shared" si="0"/>
        <v>30875</v>
      </c>
      <c r="X6" s="6"/>
      <c r="Y6" s="22"/>
      <c r="Z6" s="1"/>
    </row>
    <row r="7" spans="1:32" x14ac:dyDescent="0.3">
      <c r="A7" t="s">
        <v>327</v>
      </c>
      <c r="B7" t="s">
        <v>394</v>
      </c>
      <c r="C7" t="s">
        <v>425</v>
      </c>
      <c r="D7" t="s">
        <v>426</v>
      </c>
      <c r="E7" s="82" t="s">
        <v>428</v>
      </c>
      <c r="F7" s="82" t="s">
        <v>29</v>
      </c>
      <c r="G7" s="2193">
        <v>4</v>
      </c>
      <c r="H7" s="2186">
        <f>VLOOKUP(G7,Pesos!A:B,2,0)</f>
        <v>0.6</v>
      </c>
      <c r="I7" s="82" t="s">
        <v>305</v>
      </c>
      <c r="K7" s="1">
        <v>4</v>
      </c>
      <c r="L7" s="83" t="s">
        <v>330</v>
      </c>
      <c r="M7" s="82">
        <v>1</v>
      </c>
      <c r="N7" s="82" t="s">
        <v>24</v>
      </c>
      <c r="O7" s="1">
        <v>1</v>
      </c>
      <c r="P7" s="13"/>
      <c r="S7" s="82">
        <v>1</v>
      </c>
      <c r="T7" s="84">
        <v>24500</v>
      </c>
      <c r="U7" s="85">
        <v>0.05</v>
      </c>
      <c r="V7" s="26">
        <f t="shared" ref="V7:V17" si="2">T7*(1-U7)</f>
        <v>23275</v>
      </c>
      <c r="W7" s="25">
        <f t="shared" si="0"/>
        <v>23275</v>
      </c>
      <c r="X7" s="6"/>
      <c r="Y7" s="22"/>
      <c r="Z7" s="1"/>
    </row>
    <row r="8" spans="1:32" x14ac:dyDescent="0.3">
      <c r="A8" t="s">
        <v>327</v>
      </c>
      <c r="B8" t="s">
        <v>394</v>
      </c>
      <c r="C8" t="s">
        <v>425</v>
      </c>
      <c r="D8" t="s">
        <v>426</v>
      </c>
      <c r="E8" s="82" t="s">
        <v>428</v>
      </c>
      <c r="F8" s="82" t="s">
        <v>26</v>
      </c>
      <c r="G8" s="2193">
        <v>5</v>
      </c>
      <c r="H8" s="2186">
        <f>VLOOKUP(G8,Pesos!A:B,2,0)</f>
        <v>0.5</v>
      </c>
      <c r="I8" s="82" t="s">
        <v>305</v>
      </c>
      <c r="K8" s="1">
        <v>5</v>
      </c>
      <c r="L8" s="83" t="s">
        <v>203</v>
      </c>
      <c r="M8" s="82">
        <v>4</v>
      </c>
      <c r="N8" s="82" t="s">
        <v>24</v>
      </c>
      <c r="O8" s="1">
        <v>4</v>
      </c>
      <c r="P8" s="13"/>
      <c r="S8" s="82">
        <v>1</v>
      </c>
      <c r="T8" s="84">
        <v>4800</v>
      </c>
      <c r="U8" s="85">
        <v>0.05</v>
      </c>
      <c r="V8" s="26">
        <f t="shared" si="2"/>
        <v>4560</v>
      </c>
      <c r="W8" s="25">
        <f t="shared" si="0"/>
        <v>18240</v>
      </c>
      <c r="X8" s="6"/>
      <c r="Y8" s="22"/>
      <c r="Z8" s="1"/>
    </row>
    <row r="9" spans="1:32" x14ac:dyDescent="0.3">
      <c r="A9" t="s">
        <v>327</v>
      </c>
      <c r="B9" t="s">
        <v>394</v>
      </c>
      <c r="C9" t="s">
        <v>425</v>
      </c>
      <c r="D9" t="s">
        <v>426</v>
      </c>
      <c r="E9" s="82" t="s">
        <v>428</v>
      </c>
      <c r="F9" s="82" t="s">
        <v>429</v>
      </c>
      <c r="G9" s="2193">
        <v>3</v>
      </c>
      <c r="H9" s="2186">
        <f>VLOOKUP(G9,Pesos!A:B,2,0)</f>
        <v>0.7</v>
      </c>
      <c r="I9" s="82" t="s">
        <v>305</v>
      </c>
      <c r="K9" s="1">
        <v>4</v>
      </c>
      <c r="L9" s="83" t="s">
        <v>330</v>
      </c>
      <c r="M9" s="82">
        <v>1</v>
      </c>
      <c r="N9" s="82" t="s">
        <v>24</v>
      </c>
      <c r="O9" s="1">
        <v>1</v>
      </c>
      <c r="P9" s="13"/>
      <c r="S9" s="82">
        <v>1</v>
      </c>
      <c r="T9" s="84">
        <v>23400</v>
      </c>
      <c r="U9" s="85">
        <v>0.05</v>
      </c>
      <c r="V9" s="26">
        <f t="shared" si="2"/>
        <v>22230</v>
      </c>
      <c r="W9" s="25">
        <f t="shared" si="0"/>
        <v>22230</v>
      </c>
      <c r="X9" s="6"/>
      <c r="Y9" s="22"/>
      <c r="Z9" s="1"/>
    </row>
    <row r="10" spans="1:32" x14ac:dyDescent="0.3">
      <c r="A10" t="s">
        <v>327</v>
      </c>
      <c r="B10" t="s">
        <v>394</v>
      </c>
      <c r="C10" t="s">
        <v>425</v>
      </c>
      <c r="D10" t="s">
        <v>426</v>
      </c>
      <c r="E10" s="82" t="s">
        <v>430</v>
      </c>
      <c r="F10" s="82" t="s">
        <v>26</v>
      </c>
      <c r="G10" s="2193">
        <v>5</v>
      </c>
      <c r="H10" s="2186">
        <f>VLOOKUP(G10,Pesos!A:B,2,0)</f>
        <v>0.5</v>
      </c>
      <c r="I10" s="82" t="s">
        <v>305</v>
      </c>
      <c r="K10" s="1">
        <v>5</v>
      </c>
      <c r="L10" s="83" t="s">
        <v>203</v>
      </c>
      <c r="M10" s="82">
        <v>2</v>
      </c>
      <c r="N10" s="82" t="s">
        <v>24</v>
      </c>
      <c r="O10" s="1">
        <v>2</v>
      </c>
      <c r="S10" s="82">
        <v>1</v>
      </c>
      <c r="T10" s="84">
        <v>12555</v>
      </c>
      <c r="U10" s="85">
        <v>0.6</v>
      </c>
      <c r="V10" s="26">
        <f t="shared" si="2"/>
        <v>5022</v>
      </c>
      <c r="W10" s="25">
        <f t="shared" si="0"/>
        <v>10044</v>
      </c>
      <c r="X10" s="6"/>
      <c r="Y10" s="22"/>
      <c r="Z10" s="1"/>
    </row>
    <row r="11" spans="1:32" x14ac:dyDescent="0.3">
      <c r="A11" t="s">
        <v>327</v>
      </c>
      <c r="B11" t="s">
        <v>394</v>
      </c>
      <c r="C11" t="s">
        <v>425</v>
      </c>
      <c r="D11" t="s">
        <v>426</v>
      </c>
      <c r="E11" s="82" t="s">
        <v>430</v>
      </c>
      <c r="F11" s="82" t="s">
        <v>166</v>
      </c>
      <c r="G11" s="2193">
        <v>1</v>
      </c>
      <c r="H11" s="2186">
        <f>VLOOKUP(G11,Pesos!A:B,2,0)</f>
        <v>0.9</v>
      </c>
      <c r="I11" s="82" t="s">
        <v>305</v>
      </c>
      <c r="K11" s="1">
        <v>15</v>
      </c>
      <c r="L11" s="83" t="s">
        <v>185</v>
      </c>
      <c r="M11" s="82">
        <v>15</v>
      </c>
      <c r="N11" s="82" t="s">
        <v>24</v>
      </c>
      <c r="P11" s="13"/>
      <c r="Q11" s="1">
        <v>15</v>
      </c>
      <c r="S11" s="82">
        <v>1</v>
      </c>
      <c r="T11" s="84">
        <v>4075</v>
      </c>
      <c r="U11" s="85">
        <v>0.6</v>
      </c>
      <c r="V11" s="26">
        <f t="shared" si="2"/>
        <v>1630</v>
      </c>
      <c r="W11" s="25">
        <f t="shared" si="0"/>
        <v>24450</v>
      </c>
      <c r="X11" s="6"/>
      <c r="Y11" s="22"/>
      <c r="Z11" s="1"/>
    </row>
    <row r="12" spans="1:32" x14ac:dyDescent="0.3">
      <c r="A12" t="s">
        <v>327</v>
      </c>
      <c r="B12" t="s">
        <v>394</v>
      </c>
      <c r="C12" t="s">
        <v>425</v>
      </c>
      <c r="D12" t="s">
        <v>426</v>
      </c>
      <c r="E12" s="82" t="s">
        <v>430</v>
      </c>
      <c r="F12" s="82" t="s">
        <v>21</v>
      </c>
      <c r="G12" s="2193">
        <v>2</v>
      </c>
      <c r="H12" s="2186">
        <f>VLOOKUP(G12,Pesos!A:B,2,0)</f>
        <v>0.8</v>
      </c>
      <c r="I12" s="82"/>
      <c r="J12" s="82" t="s">
        <v>305</v>
      </c>
      <c r="K12" s="1">
        <v>8</v>
      </c>
      <c r="L12" s="83" t="s">
        <v>170</v>
      </c>
      <c r="M12" s="82">
        <v>3</v>
      </c>
      <c r="N12" s="82" t="s">
        <v>24</v>
      </c>
      <c r="O12" s="1">
        <v>3</v>
      </c>
      <c r="S12" s="82">
        <v>1</v>
      </c>
      <c r="T12" s="84">
        <v>10005</v>
      </c>
      <c r="U12" s="85">
        <v>0.5</v>
      </c>
      <c r="V12" s="26">
        <f t="shared" si="2"/>
        <v>5002.5</v>
      </c>
      <c r="W12" s="25">
        <f t="shared" si="0"/>
        <v>15007.5</v>
      </c>
      <c r="X12" s="6"/>
      <c r="Y12" s="22"/>
      <c r="Z12" s="1"/>
    </row>
    <row r="13" spans="1:32" x14ac:dyDescent="0.3">
      <c r="A13" t="s">
        <v>327</v>
      </c>
      <c r="B13" t="s">
        <v>394</v>
      </c>
      <c r="C13" t="s">
        <v>425</v>
      </c>
      <c r="D13" t="s">
        <v>426</v>
      </c>
      <c r="E13" s="82" t="s">
        <v>430</v>
      </c>
      <c r="F13" s="82" t="s">
        <v>26</v>
      </c>
      <c r="G13" s="2193">
        <v>5</v>
      </c>
      <c r="H13" s="2186">
        <f>VLOOKUP(G13,Pesos!A:B,2,0)</f>
        <v>0.5</v>
      </c>
      <c r="I13" s="82" t="s">
        <v>305</v>
      </c>
      <c r="K13" s="1">
        <v>5</v>
      </c>
      <c r="L13" s="83" t="s">
        <v>203</v>
      </c>
      <c r="M13" s="82">
        <v>2</v>
      </c>
      <c r="N13" s="82" t="s">
        <v>24</v>
      </c>
      <c r="O13" s="13">
        <v>2</v>
      </c>
      <c r="S13" s="82">
        <v>1</v>
      </c>
      <c r="T13" s="84">
        <v>12555</v>
      </c>
      <c r="U13" s="85">
        <v>0.6</v>
      </c>
      <c r="V13" s="26">
        <f t="shared" si="2"/>
        <v>5022</v>
      </c>
      <c r="W13" s="25">
        <f t="shared" si="0"/>
        <v>10044</v>
      </c>
      <c r="X13" s="6"/>
      <c r="Y13" s="22"/>
      <c r="Z13" s="1"/>
    </row>
    <row r="14" spans="1:32" x14ac:dyDescent="0.3">
      <c r="A14" t="s">
        <v>327</v>
      </c>
      <c r="B14" t="s">
        <v>394</v>
      </c>
      <c r="C14" t="s">
        <v>425</v>
      </c>
      <c r="D14" t="s">
        <v>426</v>
      </c>
      <c r="E14" s="82" t="s">
        <v>430</v>
      </c>
      <c r="F14" s="82" t="s">
        <v>29</v>
      </c>
      <c r="G14" s="2193">
        <v>4</v>
      </c>
      <c r="H14" s="2186">
        <f>VLOOKUP(G14,Pesos!A:B,2,0)</f>
        <v>0.6</v>
      </c>
      <c r="I14" s="82" t="s">
        <v>305</v>
      </c>
      <c r="K14" s="1">
        <v>4</v>
      </c>
      <c r="L14" s="83" t="s">
        <v>330</v>
      </c>
      <c r="M14" s="82">
        <v>1</v>
      </c>
      <c r="N14" s="82" t="s">
        <v>24</v>
      </c>
      <c r="O14" s="1">
        <v>1</v>
      </c>
      <c r="S14" s="82">
        <v>1</v>
      </c>
      <c r="T14" s="84">
        <v>62555</v>
      </c>
      <c r="U14" s="85">
        <v>0.6</v>
      </c>
      <c r="V14" s="26">
        <f t="shared" si="2"/>
        <v>25022</v>
      </c>
      <c r="W14" s="25">
        <f t="shared" si="0"/>
        <v>25022</v>
      </c>
      <c r="X14" s="6"/>
      <c r="Y14" s="22"/>
      <c r="Z14" s="1"/>
    </row>
    <row r="15" spans="1:32" x14ac:dyDescent="0.3">
      <c r="G15" s="2186"/>
      <c r="H15" s="2186"/>
      <c r="L15" s="2"/>
      <c r="M15" s="1"/>
      <c r="T15" s="5"/>
      <c r="U15" s="24"/>
      <c r="V15" s="26"/>
      <c r="X15" s="6"/>
      <c r="Y15" s="22"/>
      <c r="Z15" s="1"/>
    </row>
    <row r="16" spans="1:32" x14ac:dyDescent="0.3">
      <c r="A16" t="s">
        <v>340</v>
      </c>
      <c r="B16" t="s">
        <v>394</v>
      </c>
      <c r="C16" t="s">
        <v>425</v>
      </c>
      <c r="D16" t="s">
        <v>426</v>
      </c>
      <c r="E16" s="82" t="s">
        <v>427</v>
      </c>
      <c r="F16" s="82" t="s">
        <v>166</v>
      </c>
      <c r="G16" s="2193">
        <v>2</v>
      </c>
      <c r="H16" s="2186">
        <f>VLOOKUP(G16,Pesos!A:B,2,0)</f>
        <v>0.8</v>
      </c>
      <c r="I16" s="82" t="s">
        <v>305</v>
      </c>
      <c r="K16" s="1">
        <v>15</v>
      </c>
      <c r="L16" s="83" t="s">
        <v>185</v>
      </c>
      <c r="M16" s="82">
        <v>35</v>
      </c>
      <c r="N16" s="82" t="s">
        <v>63</v>
      </c>
      <c r="O16" s="1">
        <v>35</v>
      </c>
      <c r="S16" s="82">
        <v>1</v>
      </c>
      <c r="T16" s="84">
        <v>1875</v>
      </c>
      <c r="U16" s="85">
        <v>0.06</v>
      </c>
      <c r="V16" s="26">
        <f t="shared" si="2"/>
        <v>1762.5</v>
      </c>
      <c r="W16" s="25">
        <f t="shared" si="0"/>
        <v>61687.5</v>
      </c>
      <c r="X16" s="6"/>
      <c r="Y16" s="22"/>
      <c r="Z16" s="1"/>
    </row>
    <row r="17" spans="1:30" x14ac:dyDescent="0.3">
      <c r="A17" t="s">
        <v>340</v>
      </c>
      <c r="B17" t="s">
        <v>394</v>
      </c>
      <c r="C17" t="s">
        <v>425</v>
      </c>
      <c r="D17" t="s">
        <v>426</v>
      </c>
      <c r="E17" s="82" t="s">
        <v>427</v>
      </c>
      <c r="F17" s="82" t="s">
        <v>26</v>
      </c>
      <c r="G17" s="2193">
        <v>4</v>
      </c>
      <c r="H17" s="2186">
        <f>VLOOKUP(G17,Pesos!A:B,2,0)</f>
        <v>0.6</v>
      </c>
      <c r="I17" s="82" t="s">
        <v>305</v>
      </c>
      <c r="K17" s="1">
        <v>5</v>
      </c>
      <c r="L17" s="83" t="s">
        <v>203</v>
      </c>
      <c r="M17" s="82">
        <v>1</v>
      </c>
      <c r="N17" s="82" t="s">
        <v>24</v>
      </c>
      <c r="O17" s="1">
        <v>1</v>
      </c>
      <c r="S17" s="82">
        <v>1</v>
      </c>
      <c r="T17" s="84">
        <v>6000</v>
      </c>
      <c r="U17" s="85">
        <v>0.04</v>
      </c>
      <c r="V17" s="26">
        <f t="shared" si="2"/>
        <v>5760</v>
      </c>
      <c r="W17" s="25">
        <f t="shared" si="0"/>
        <v>5760</v>
      </c>
      <c r="X17" s="6"/>
      <c r="Y17" s="22"/>
      <c r="Z17" s="1"/>
    </row>
    <row r="18" spans="1:30" x14ac:dyDescent="0.3">
      <c r="A18" t="s">
        <v>340</v>
      </c>
      <c r="B18" t="s">
        <v>394</v>
      </c>
      <c r="C18" t="s">
        <v>425</v>
      </c>
      <c r="D18" t="s">
        <v>426</v>
      </c>
      <c r="E18" s="82" t="s">
        <v>427</v>
      </c>
      <c r="F18" s="82" t="s">
        <v>21</v>
      </c>
      <c r="G18" s="2193">
        <v>1</v>
      </c>
      <c r="H18" s="2186">
        <f>VLOOKUP(G18,Pesos!A:B,2,0)</f>
        <v>0.9</v>
      </c>
      <c r="I18" s="82"/>
      <c r="J18" s="82" t="s">
        <v>305</v>
      </c>
      <c r="K18" s="1">
        <v>8</v>
      </c>
      <c r="L18" s="83" t="s">
        <v>170</v>
      </c>
      <c r="M18" s="82">
        <v>3</v>
      </c>
      <c r="N18" s="82" t="s">
        <v>24</v>
      </c>
      <c r="O18" s="1">
        <v>3</v>
      </c>
      <c r="S18" s="82">
        <v>1</v>
      </c>
      <c r="T18" s="84">
        <v>2875</v>
      </c>
      <c r="U18" s="85">
        <v>0.05</v>
      </c>
      <c r="V18" s="25">
        <f>T18*(1-U18)</f>
        <v>2731.25</v>
      </c>
      <c r="W18" s="25">
        <f t="shared" si="0"/>
        <v>8193.75</v>
      </c>
      <c r="X18" s="18"/>
    </row>
    <row r="19" spans="1:30" x14ac:dyDescent="0.3">
      <c r="A19" t="s">
        <v>340</v>
      </c>
      <c r="B19" t="s">
        <v>394</v>
      </c>
      <c r="C19" t="s">
        <v>425</v>
      </c>
      <c r="D19" t="s">
        <v>426</v>
      </c>
      <c r="E19" s="82" t="s">
        <v>409</v>
      </c>
      <c r="F19" s="82" t="s">
        <v>21</v>
      </c>
      <c r="G19" s="2193">
        <v>1</v>
      </c>
      <c r="H19" s="2186">
        <f>VLOOKUP(G19,Pesos!A:B,2,0)</f>
        <v>0.9</v>
      </c>
      <c r="I19" s="82"/>
      <c r="J19" s="16" t="s">
        <v>305</v>
      </c>
      <c r="K19" s="79">
        <v>8</v>
      </c>
      <c r="L19" s="83" t="s">
        <v>170</v>
      </c>
      <c r="M19" s="82">
        <v>3</v>
      </c>
      <c r="N19" s="82" t="s">
        <v>24</v>
      </c>
      <c r="O19" s="13">
        <v>3</v>
      </c>
      <c r="P19" s="13"/>
      <c r="Q19" s="1"/>
      <c r="R19" s="1"/>
      <c r="S19" s="82">
        <v>1</v>
      </c>
      <c r="T19" s="84">
        <v>27024.15</v>
      </c>
      <c r="U19" s="85">
        <v>0.7</v>
      </c>
      <c r="V19" s="25">
        <f>T19*(1-U19)</f>
        <v>8107.2450000000017</v>
      </c>
      <c r="W19" s="25">
        <f t="shared" si="0"/>
        <v>24321.735000000004</v>
      </c>
      <c r="X19" s="6"/>
      <c r="AB19" s="1"/>
      <c r="AD19" s="1"/>
    </row>
    <row r="20" spans="1:30" x14ac:dyDescent="0.3">
      <c r="A20" t="s">
        <v>340</v>
      </c>
      <c r="B20" t="s">
        <v>394</v>
      </c>
      <c r="C20" t="s">
        <v>425</v>
      </c>
      <c r="D20" t="s">
        <v>426</v>
      </c>
      <c r="E20" s="82" t="s">
        <v>428</v>
      </c>
      <c r="F20" s="82" t="s">
        <v>26</v>
      </c>
      <c r="G20" s="2193">
        <v>4</v>
      </c>
      <c r="H20" s="2186">
        <f>VLOOKUP(G20,Pesos!A:B,2,0)</f>
        <v>0.6</v>
      </c>
      <c r="I20" s="82" t="s">
        <v>305</v>
      </c>
      <c r="K20" s="79">
        <v>5</v>
      </c>
      <c r="L20" s="83" t="s">
        <v>203</v>
      </c>
      <c r="M20" s="82">
        <v>4</v>
      </c>
      <c r="N20" s="82" t="s">
        <v>24</v>
      </c>
      <c r="O20" s="79">
        <v>4</v>
      </c>
      <c r="P20" s="79"/>
      <c r="Q20" s="79"/>
      <c r="R20" s="79"/>
      <c r="S20" s="82">
        <v>1</v>
      </c>
      <c r="T20" s="84">
        <v>4800</v>
      </c>
      <c r="U20" s="85">
        <v>0.05</v>
      </c>
      <c r="V20" s="26">
        <f t="shared" ref="V20:V63" si="3">T20*(1-U20)</f>
        <v>4560</v>
      </c>
      <c r="W20" s="25">
        <f t="shared" si="0"/>
        <v>18240</v>
      </c>
      <c r="X20" s="6"/>
      <c r="AB20" s="1"/>
      <c r="AD20" s="1"/>
    </row>
    <row r="21" spans="1:30" x14ac:dyDescent="0.3">
      <c r="A21" t="s">
        <v>340</v>
      </c>
      <c r="B21" t="s">
        <v>394</v>
      </c>
      <c r="C21" t="s">
        <v>425</v>
      </c>
      <c r="D21" t="s">
        <v>426</v>
      </c>
      <c r="E21" s="82" t="s">
        <v>430</v>
      </c>
      <c r="F21" s="82" t="s">
        <v>26</v>
      </c>
      <c r="G21" s="2193">
        <v>4</v>
      </c>
      <c r="H21" s="2186">
        <f>VLOOKUP(G21,Pesos!A:B,2,0)</f>
        <v>0.6</v>
      </c>
      <c r="I21" s="82" t="s">
        <v>305</v>
      </c>
      <c r="K21" s="79">
        <v>5</v>
      </c>
      <c r="L21" s="83" t="s">
        <v>203</v>
      </c>
      <c r="M21" s="82">
        <v>2</v>
      </c>
      <c r="N21" s="82" t="s">
        <v>24</v>
      </c>
      <c r="O21" s="79">
        <v>2</v>
      </c>
      <c r="P21" s="79"/>
      <c r="Q21" s="79"/>
      <c r="R21" s="80"/>
      <c r="S21" s="82">
        <v>1</v>
      </c>
      <c r="T21" s="84">
        <v>12555</v>
      </c>
      <c r="U21" s="85">
        <v>0.6</v>
      </c>
      <c r="V21" s="26">
        <f t="shared" si="3"/>
        <v>5022</v>
      </c>
      <c r="W21" s="25">
        <f t="shared" si="0"/>
        <v>10044</v>
      </c>
      <c r="X21" s="6"/>
      <c r="AB21" s="1"/>
      <c r="AD21" s="1"/>
    </row>
    <row r="22" spans="1:30" x14ac:dyDescent="0.3">
      <c r="A22" t="s">
        <v>340</v>
      </c>
      <c r="B22" t="s">
        <v>394</v>
      </c>
      <c r="C22" t="s">
        <v>425</v>
      </c>
      <c r="D22" t="s">
        <v>426</v>
      </c>
      <c r="E22" s="82" t="s">
        <v>430</v>
      </c>
      <c r="F22" s="82" t="s">
        <v>166</v>
      </c>
      <c r="G22" s="2193">
        <v>2</v>
      </c>
      <c r="H22" s="2186">
        <f>VLOOKUP(G22,Pesos!A:B,2,0)</f>
        <v>0.8</v>
      </c>
      <c r="I22" s="82" t="s">
        <v>305</v>
      </c>
      <c r="K22" s="79">
        <v>15</v>
      </c>
      <c r="L22" s="83" t="s">
        <v>185</v>
      </c>
      <c r="M22" s="82">
        <v>30</v>
      </c>
      <c r="N22" s="82" t="s">
        <v>24</v>
      </c>
      <c r="O22" s="79"/>
      <c r="P22" s="79"/>
      <c r="Q22" s="79">
        <v>30</v>
      </c>
      <c r="R22" s="81"/>
      <c r="S22" s="82">
        <v>1</v>
      </c>
      <c r="T22" s="84">
        <v>4075</v>
      </c>
      <c r="U22" s="85">
        <v>0.6</v>
      </c>
      <c r="V22" s="26">
        <f t="shared" si="3"/>
        <v>1630</v>
      </c>
      <c r="W22" s="25">
        <f t="shared" si="0"/>
        <v>48900</v>
      </c>
      <c r="X22" s="6"/>
      <c r="AB22" s="1"/>
      <c r="AD22" s="1"/>
    </row>
    <row r="23" spans="1:30" x14ac:dyDescent="0.3">
      <c r="A23" t="s">
        <v>340</v>
      </c>
      <c r="B23" t="s">
        <v>394</v>
      </c>
      <c r="C23" t="s">
        <v>425</v>
      </c>
      <c r="D23" t="s">
        <v>426</v>
      </c>
      <c r="E23" s="82" t="s">
        <v>430</v>
      </c>
      <c r="F23" s="82" t="s">
        <v>21</v>
      </c>
      <c r="G23" s="2193">
        <v>1</v>
      </c>
      <c r="H23" s="2186">
        <f>VLOOKUP(G23,Pesos!A:B,2,0)</f>
        <v>0.9</v>
      </c>
      <c r="I23" s="82"/>
      <c r="J23" s="16" t="s">
        <v>305</v>
      </c>
      <c r="K23" s="79">
        <v>8</v>
      </c>
      <c r="L23" s="83" t="s">
        <v>170</v>
      </c>
      <c r="M23" s="82">
        <v>3</v>
      </c>
      <c r="N23" s="82" t="s">
        <v>24</v>
      </c>
      <c r="O23" s="79">
        <v>3</v>
      </c>
      <c r="P23" s="79"/>
      <c r="Q23" s="79"/>
      <c r="R23" s="81"/>
      <c r="S23" s="82">
        <v>1</v>
      </c>
      <c r="T23" s="84">
        <v>10005</v>
      </c>
      <c r="U23" s="85">
        <v>0.5</v>
      </c>
      <c r="V23" s="26">
        <f t="shared" si="3"/>
        <v>5002.5</v>
      </c>
      <c r="W23" s="25">
        <f t="shared" si="0"/>
        <v>15007.5</v>
      </c>
      <c r="X23" s="6"/>
      <c r="AB23" s="1"/>
      <c r="AD23" s="1"/>
    </row>
    <row r="24" spans="1:30" x14ac:dyDescent="0.3">
      <c r="A24" t="s">
        <v>340</v>
      </c>
      <c r="B24" t="s">
        <v>394</v>
      </c>
      <c r="C24" t="s">
        <v>425</v>
      </c>
      <c r="D24" t="s">
        <v>426</v>
      </c>
      <c r="E24" s="82" t="s">
        <v>430</v>
      </c>
      <c r="F24" s="82" t="s">
        <v>26</v>
      </c>
      <c r="G24" s="2193">
        <v>4</v>
      </c>
      <c r="H24" s="2186">
        <f>VLOOKUP(G24,Pesos!A:B,2,0)</f>
        <v>0.6</v>
      </c>
      <c r="I24" s="82" t="s">
        <v>305</v>
      </c>
      <c r="K24" s="79">
        <v>5</v>
      </c>
      <c r="L24" s="83" t="s">
        <v>203</v>
      </c>
      <c r="M24" s="82">
        <v>2</v>
      </c>
      <c r="N24" s="82" t="s">
        <v>24</v>
      </c>
      <c r="O24" s="79">
        <v>2</v>
      </c>
      <c r="P24" s="79"/>
      <c r="Q24" s="79"/>
      <c r="R24" s="80"/>
      <c r="S24" s="82">
        <v>1</v>
      </c>
      <c r="T24" s="84">
        <v>12555</v>
      </c>
      <c r="U24" s="85">
        <v>0.6</v>
      </c>
      <c r="V24" s="26">
        <f t="shared" si="3"/>
        <v>5022</v>
      </c>
      <c r="W24" s="25">
        <f t="shared" si="0"/>
        <v>10044</v>
      </c>
      <c r="X24" s="6"/>
      <c r="AB24" s="1"/>
      <c r="AD24" s="1"/>
    </row>
    <row r="25" spans="1:30" x14ac:dyDescent="0.3">
      <c r="A25" t="s">
        <v>340</v>
      </c>
      <c r="B25" t="s">
        <v>394</v>
      </c>
      <c r="C25" t="s">
        <v>425</v>
      </c>
      <c r="D25" t="s">
        <v>426</v>
      </c>
      <c r="E25" s="82" t="s">
        <v>150</v>
      </c>
      <c r="F25" s="82" t="s">
        <v>50</v>
      </c>
      <c r="G25" s="2193">
        <v>3</v>
      </c>
      <c r="H25" s="2186">
        <f>VLOOKUP(G25,Pesos!A:B,2,0)</f>
        <v>0.7</v>
      </c>
      <c r="I25" s="82" t="s">
        <v>305</v>
      </c>
      <c r="K25" s="79">
        <v>15</v>
      </c>
      <c r="L25" s="83" t="s">
        <v>83</v>
      </c>
      <c r="M25" s="82">
        <v>20</v>
      </c>
      <c r="N25" s="82" t="s">
        <v>24</v>
      </c>
      <c r="O25" s="79">
        <v>20</v>
      </c>
      <c r="P25" s="79"/>
      <c r="Q25" s="79"/>
      <c r="R25" s="80"/>
      <c r="S25" s="82">
        <v>1</v>
      </c>
      <c r="T25" s="84">
        <v>4065</v>
      </c>
      <c r="U25" s="85">
        <v>0.4</v>
      </c>
      <c r="V25" s="26">
        <f t="shared" si="3"/>
        <v>2439</v>
      </c>
      <c r="W25" s="25">
        <f t="shared" si="0"/>
        <v>48780</v>
      </c>
      <c r="X25" s="6"/>
      <c r="AB25" s="1"/>
      <c r="AD25" s="1"/>
    </row>
    <row r="26" spans="1:30" x14ac:dyDescent="0.3">
      <c r="A26" t="s">
        <v>340</v>
      </c>
      <c r="B26" t="s">
        <v>394</v>
      </c>
      <c r="C26" t="s">
        <v>425</v>
      </c>
      <c r="D26" t="s">
        <v>426</v>
      </c>
      <c r="E26" s="82" t="s">
        <v>41</v>
      </c>
      <c r="F26" s="82" t="s">
        <v>168</v>
      </c>
      <c r="G26" s="2193">
        <v>5</v>
      </c>
      <c r="H26" s="2186">
        <f>VLOOKUP(G26,Pesos!A:B,2,0)</f>
        <v>0.5</v>
      </c>
      <c r="I26" s="82" t="s">
        <v>305</v>
      </c>
      <c r="K26" s="79">
        <v>20</v>
      </c>
      <c r="L26" s="83" t="s">
        <v>185</v>
      </c>
      <c r="M26" s="82">
        <v>25</v>
      </c>
      <c r="N26" s="82" t="s">
        <v>24</v>
      </c>
      <c r="O26" s="1">
        <v>25</v>
      </c>
      <c r="P26" s="1"/>
      <c r="Q26" s="1"/>
      <c r="R26" s="1"/>
      <c r="S26" s="82">
        <v>1</v>
      </c>
      <c r="T26" s="84">
        <v>1600</v>
      </c>
      <c r="U26" s="85">
        <v>0.7</v>
      </c>
      <c r="V26" s="26">
        <f t="shared" si="3"/>
        <v>480.00000000000006</v>
      </c>
      <c r="W26" s="25">
        <f t="shared" si="0"/>
        <v>12000.000000000002</v>
      </c>
      <c r="AB26" s="1"/>
      <c r="AD26" s="1"/>
    </row>
    <row r="27" spans="1:30" x14ac:dyDescent="0.3">
      <c r="E27" s="1"/>
      <c r="F27" s="1"/>
      <c r="G27" s="2186"/>
      <c r="H27" s="2186"/>
      <c r="I27" s="1"/>
      <c r="K27" s="79"/>
      <c r="L27" s="2"/>
      <c r="M27" s="1"/>
      <c r="N27" s="1"/>
      <c r="O27" s="1"/>
      <c r="P27" s="1"/>
      <c r="Q27" s="1"/>
      <c r="R27" s="1"/>
      <c r="S27" s="1"/>
      <c r="T27" s="5"/>
      <c r="U27" s="24"/>
      <c r="V27" s="26"/>
      <c r="W27" s="25"/>
      <c r="AB27" s="1"/>
      <c r="AD27" s="1"/>
    </row>
    <row r="28" spans="1:30" x14ac:dyDescent="0.3">
      <c r="A28" t="s">
        <v>342</v>
      </c>
      <c r="B28" t="s">
        <v>394</v>
      </c>
      <c r="C28" t="s">
        <v>425</v>
      </c>
      <c r="D28" t="s">
        <v>426</v>
      </c>
      <c r="E28" s="82" t="s">
        <v>427</v>
      </c>
      <c r="F28" s="82" t="s">
        <v>166</v>
      </c>
      <c r="G28" s="2193">
        <v>1</v>
      </c>
      <c r="H28" s="2186">
        <f>VLOOKUP(G28,Pesos!A:B,2,0)</f>
        <v>0.9</v>
      </c>
      <c r="I28" s="82" t="s">
        <v>305</v>
      </c>
      <c r="K28" s="79">
        <v>10</v>
      </c>
      <c r="L28" s="83" t="s">
        <v>83</v>
      </c>
      <c r="M28" s="82">
        <v>20</v>
      </c>
      <c r="N28" s="82" t="s">
        <v>63</v>
      </c>
      <c r="O28" s="1">
        <v>20</v>
      </c>
      <c r="P28" s="1"/>
      <c r="Q28" s="1"/>
      <c r="R28" s="1"/>
      <c r="S28" s="82">
        <v>1</v>
      </c>
      <c r="T28" s="84">
        <v>1875</v>
      </c>
      <c r="U28" s="85">
        <v>0.06</v>
      </c>
      <c r="V28" s="26">
        <f t="shared" si="3"/>
        <v>1762.5</v>
      </c>
      <c r="W28" s="25">
        <f t="shared" si="0"/>
        <v>35250</v>
      </c>
      <c r="AB28" s="1"/>
      <c r="AD28" s="1"/>
    </row>
    <row r="29" spans="1:30" x14ac:dyDescent="0.3">
      <c r="A29" t="s">
        <v>342</v>
      </c>
      <c r="B29" t="s">
        <v>394</v>
      </c>
      <c r="C29" t="s">
        <v>425</v>
      </c>
      <c r="D29" t="s">
        <v>426</v>
      </c>
      <c r="E29" s="82" t="s">
        <v>427</v>
      </c>
      <c r="F29" s="82" t="s">
        <v>26</v>
      </c>
      <c r="G29" s="2193">
        <v>5</v>
      </c>
      <c r="H29" s="2186">
        <f>VLOOKUP(G29,Pesos!A:B,2,0)</f>
        <v>0.5</v>
      </c>
      <c r="I29" s="82" t="s">
        <v>305</v>
      </c>
      <c r="K29" s="79">
        <v>4</v>
      </c>
      <c r="L29" s="83" t="s">
        <v>330</v>
      </c>
      <c r="M29" s="82">
        <v>1</v>
      </c>
      <c r="N29" s="82" t="s">
        <v>24</v>
      </c>
      <c r="O29" s="1">
        <v>1</v>
      </c>
      <c r="P29" s="1"/>
      <c r="Q29" s="1"/>
      <c r="R29" s="1"/>
      <c r="S29" s="82">
        <v>1</v>
      </c>
      <c r="T29" s="84">
        <v>6000</v>
      </c>
      <c r="U29" s="85">
        <v>0.04</v>
      </c>
      <c r="V29" s="26">
        <f t="shared" si="3"/>
        <v>5760</v>
      </c>
      <c r="W29" s="25">
        <f t="shared" si="0"/>
        <v>5760</v>
      </c>
      <c r="AB29" s="1"/>
      <c r="AD29" s="1"/>
    </row>
    <row r="30" spans="1:30" x14ac:dyDescent="0.3">
      <c r="A30" t="s">
        <v>342</v>
      </c>
      <c r="B30" t="s">
        <v>394</v>
      </c>
      <c r="C30" t="s">
        <v>425</v>
      </c>
      <c r="D30" t="s">
        <v>426</v>
      </c>
      <c r="E30" s="82" t="s">
        <v>427</v>
      </c>
      <c r="F30" s="82" t="s">
        <v>21</v>
      </c>
      <c r="G30" s="2193">
        <v>2</v>
      </c>
      <c r="H30" s="2186">
        <f>VLOOKUP(G30,Pesos!A:B,2,0)</f>
        <v>0.8</v>
      </c>
      <c r="I30" s="82"/>
      <c r="J30" s="16" t="s">
        <v>305</v>
      </c>
      <c r="K30" s="79">
        <v>6</v>
      </c>
      <c r="L30" s="83" t="s">
        <v>331</v>
      </c>
      <c r="M30" s="82">
        <v>3</v>
      </c>
      <c r="N30" s="82" t="s">
        <v>24</v>
      </c>
      <c r="O30" s="1">
        <v>3</v>
      </c>
      <c r="P30" s="1"/>
      <c r="Q30" s="1"/>
      <c r="R30" s="1"/>
      <c r="S30" s="82">
        <v>1</v>
      </c>
      <c r="T30" s="84">
        <v>2875</v>
      </c>
      <c r="U30" s="85">
        <v>0.05</v>
      </c>
      <c r="V30" s="26">
        <f t="shared" si="3"/>
        <v>2731.25</v>
      </c>
      <c r="W30" s="25">
        <f t="shared" si="0"/>
        <v>8193.75</v>
      </c>
      <c r="AB30" s="1"/>
      <c r="AD30" s="1"/>
    </row>
    <row r="31" spans="1:30" x14ac:dyDescent="0.3">
      <c r="A31" t="s">
        <v>342</v>
      </c>
      <c r="B31" t="s">
        <v>394</v>
      </c>
      <c r="C31" t="s">
        <v>425</v>
      </c>
      <c r="D31" t="s">
        <v>426</v>
      </c>
      <c r="E31" s="82" t="s">
        <v>409</v>
      </c>
      <c r="F31" s="82" t="s">
        <v>21</v>
      </c>
      <c r="G31" s="2193">
        <v>2</v>
      </c>
      <c r="H31" s="2186">
        <f>VLOOKUP(G31,Pesos!A:B,2,0)</f>
        <v>0.8</v>
      </c>
      <c r="I31" s="82"/>
      <c r="J31" s="16" t="s">
        <v>305</v>
      </c>
      <c r="K31" s="79">
        <v>6</v>
      </c>
      <c r="L31" s="83" t="s">
        <v>331</v>
      </c>
      <c r="M31" s="82">
        <v>3</v>
      </c>
      <c r="N31" s="82" t="s">
        <v>24</v>
      </c>
      <c r="O31" s="1">
        <v>3</v>
      </c>
      <c r="P31" s="1"/>
      <c r="Q31" s="1"/>
      <c r="R31" s="1"/>
      <c r="S31" s="82">
        <v>1</v>
      </c>
      <c r="T31" s="84">
        <v>27024.15</v>
      </c>
      <c r="U31" s="85">
        <v>0.7</v>
      </c>
      <c r="V31" s="26">
        <f t="shared" si="3"/>
        <v>8107.2450000000017</v>
      </c>
      <c r="W31" s="25">
        <f t="shared" si="0"/>
        <v>24321.735000000004</v>
      </c>
      <c r="AB31" s="1"/>
      <c r="AD31" s="1"/>
    </row>
    <row r="32" spans="1:30" x14ac:dyDescent="0.3">
      <c r="A32" t="s">
        <v>342</v>
      </c>
      <c r="B32" t="s">
        <v>394</v>
      </c>
      <c r="C32" t="s">
        <v>425</v>
      </c>
      <c r="D32" t="s">
        <v>426</v>
      </c>
      <c r="E32" s="82" t="s">
        <v>427</v>
      </c>
      <c r="F32" s="82" t="s">
        <v>29</v>
      </c>
      <c r="G32" s="2193">
        <v>3</v>
      </c>
      <c r="H32" s="2186">
        <f>VLOOKUP(G32,Pesos!A:B,2,0)</f>
        <v>0.7</v>
      </c>
      <c r="I32" s="82" t="s">
        <v>305</v>
      </c>
      <c r="K32" s="79">
        <v>3</v>
      </c>
      <c r="L32" s="83" t="s">
        <v>354</v>
      </c>
      <c r="M32" s="82">
        <v>1</v>
      </c>
      <c r="N32" s="82" t="s">
        <v>24</v>
      </c>
      <c r="O32" s="1">
        <v>1</v>
      </c>
      <c r="P32" s="1"/>
      <c r="Q32" s="1"/>
      <c r="R32" s="1"/>
      <c r="S32" s="82">
        <v>1</v>
      </c>
      <c r="T32" s="84">
        <v>16250</v>
      </c>
      <c r="U32" s="85">
        <v>0.05</v>
      </c>
      <c r="V32" s="26">
        <f t="shared" si="3"/>
        <v>15437.5</v>
      </c>
      <c r="W32" s="25">
        <f t="shared" si="0"/>
        <v>15437.5</v>
      </c>
      <c r="AB32" s="1"/>
      <c r="AD32" s="1"/>
    </row>
    <row r="33" spans="1:30" x14ac:dyDescent="0.3">
      <c r="A33" t="s">
        <v>342</v>
      </c>
      <c r="B33" t="s">
        <v>394</v>
      </c>
      <c r="C33" t="s">
        <v>425</v>
      </c>
      <c r="D33" t="s">
        <v>426</v>
      </c>
      <c r="E33" s="82" t="s">
        <v>428</v>
      </c>
      <c r="F33" s="82" t="s">
        <v>29</v>
      </c>
      <c r="G33" s="2193">
        <v>3</v>
      </c>
      <c r="H33" s="2186">
        <f>VLOOKUP(G33,Pesos!A:B,2,0)</f>
        <v>0.7</v>
      </c>
      <c r="I33" s="82" t="s">
        <v>305</v>
      </c>
      <c r="K33" s="79">
        <v>3</v>
      </c>
      <c r="L33" s="83" t="s">
        <v>354</v>
      </c>
      <c r="M33" s="82">
        <v>1</v>
      </c>
      <c r="N33" s="82" t="s">
        <v>24</v>
      </c>
      <c r="O33" s="1">
        <v>1</v>
      </c>
      <c r="P33" s="1"/>
      <c r="Q33" s="1"/>
      <c r="R33" s="1"/>
      <c r="S33" s="82">
        <v>1</v>
      </c>
      <c r="T33" s="84">
        <v>24500</v>
      </c>
      <c r="U33" s="85">
        <v>0.05</v>
      </c>
      <c r="V33" s="26">
        <f t="shared" si="3"/>
        <v>23275</v>
      </c>
      <c r="W33" s="25">
        <f t="shared" si="0"/>
        <v>23275</v>
      </c>
      <c r="AB33" s="1"/>
      <c r="AD33" s="1"/>
    </row>
    <row r="34" spans="1:30" x14ac:dyDescent="0.3">
      <c r="A34" t="s">
        <v>342</v>
      </c>
      <c r="B34" t="s">
        <v>394</v>
      </c>
      <c r="C34" t="s">
        <v>425</v>
      </c>
      <c r="D34" t="s">
        <v>426</v>
      </c>
      <c r="E34" s="82" t="s">
        <v>428</v>
      </c>
      <c r="F34" s="82" t="s">
        <v>26</v>
      </c>
      <c r="G34" s="2193">
        <v>5</v>
      </c>
      <c r="H34" s="2186">
        <f>VLOOKUP(G34,Pesos!A:B,2,0)</f>
        <v>0.5</v>
      </c>
      <c r="I34" s="82" t="s">
        <v>305</v>
      </c>
      <c r="K34" s="79">
        <v>4</v>
      </c>
      <c r="L34" s="83" t="s">
        <v>330</v>
      </c>
      <c r="M34" s="82">
        <v>2</v>
      </c>
      <c r="N34" s="82" t="s">
        <v>24</v>
      </c>
      <c r="O34" s="1">
        <v>2</v>
      </c>
      <c r="P34" s="1"/>
      <c r="Q34" s="1"/>
      <c r="R34" s="1"/>
      <c r="S34" s="82">
        <v>1</v>
      </c>
      <c r="T34" s="84">
        <v>4800</v>
      </c>
      <c r="U34" s="85">
        <v>0.05</v>
      </c>
      <c r="V34" s="26">
        <f t="shared" si="3"/>
        <v>4560</v>
      </c>
      <c r="W34" s="25">
        <f t="shared" si="0"/>
        <v>9120</v>
      </c>
      <c r="AB34" s="1"/>
      <c r="AD34" s="1"/>
    </row>
    <row r="35" spans="1:30" x14ac:dyDescent="0.3">
      <c r="A35" t="s">
        <v>342</v>
      </c>
      <c r="B35" t="s">
        <v>394</v>
      </c>
      <c r="C35" t="s">
        <v>425</v>
      </c>
      <c r="D35" t="s">
        <v>426</v>
      </c>
      <c r="E35" s="82" t="s">
        <v>428</v>
      </c>
      <c r="F35" s="82" t="s">
        <v>429</v>
      </c>
      <c r="G35" s="2193">
        <v>4</v>
      </c>
      <c r="H35" s="2186">
        <f>VLOOKUP(G35,Pesos!A:B,2,0)</f>
        <v>0.6</v>
      </c>
      <c r="I35" s="82" t="s">
        <v>305</v>
      </c>
      <c r="K35" s="79">
        <v>3</v>
      </c>
      <c r="L35" s="83" t="s">
        <v>354</v>
      </c>
      <c r="M35" s="82">
        <v>1</v>
      </c>
      <c r="N35" s="82" t="s">
        <v>24</v>
      </c>
      <c r="O35" s="1">
        <v>1</v>
      </c>
      <c r="P35" s="1"/>
      <c r="Q35" s="1"/>
      <c r="R35" s="1"/>
      <c r="S35" s="82">
        <v>1</v>
      </c>
      <c r="T35" s="84">
        <v>23400</v>
      </c>
      <c r="U35" s="85">
        <v>0.05</v>
      </c>
      <c r="V35" s="26">
        <f t="shared" si="3"/>
        <v>22230</v>
      </c>
      <c r="W35" s="25">
        <f t="shared" si="0"/>
        <v>22230</v>
      </c>
      <c r="AB35" s="1"/>
      <c r="AD35" s="1"/>
    </row>
    <row r="36" spans="1:30" x14ac:dyDescent="0.3">
      <c r="A36" t="s">
        <v>342</v>
      </c>
      <c r="B36" t="s">
        <v>394</v>
      </c>
      <c r="C36" t="s">
        <v>425</v>
      </c>
      <c r="D36" t="s">
        <v>426</v>
      </c>
      <c r="E36" s="82" t="s">
        <v>430</v>
      </c>
      <c r="F36" s="82" t="s">
        <v>26</v>
      </c>
      <c r="G36" s="2193">
        <v>5</v>
      </c>
      <c r="H36" s="2186">
        <f>VLOOKUP(G36,Pesos!A:B,2,0)</f>
        <v>0.5</v>
      </c>
      <c r="I36" s="82" t="s">
        <v>305</v>
      </c>
      <c r="K36" s="79">
        <v>4</v>
      </c>
      <c r="L36" s="83" t="s">
        <v>330</v>
      </c>
      <c r="M36" s="82">
        <v>1</v>
      </c>
      <c r="N36" s="82" t="s">
        <v>24</v>
      </c>
      <c r="O36" s="1">
        <v>1</v>
      </c>
      <c r="P36" s="1"/>
      <c r="Q36" s="1"/>
      <c r="R36" s="1"/>
      <c r="S36" s="82">
        <v>1</v>
      </c>
      <c r="T36" s="84">
        <v>12555</v>
      </c>
      <c r="U36" s="85">
        <v>0.6</v>
      </c>
      <c r="V36" s="26">
        <f t="shared" si="3"/>
        <v>5022</v>
      </c>
      <c r="W36" s="25">
        <f t="shared" si="0"/>
        <v>5022</v>
      </c>
      <c r="AB36" s="1"/>
      <c r="AD36" s="1"/>
    </row>
    <row r="37" spans="1:30" x14ac:dyDescent="0.3">
      <c r="A37" t="s">
        <v>342</v>
      </c>
      <c r="B37" t="s">
        <v>394</v>
      </c>
      <c r="C37" t="s">
        <v>425</v>
      </c>
      <c r="D37" t="s">
        <v>426</v>
      </c>
      <c r="E37" s="82" t="s">
        <v>430</v>
      </c>
      <c r="F37" s="82" t="s">
        <v>166</v>
      </c>
      <c r="G37" s="2193">
        <v>1</v>
      </c>
      <c r="H37" s="2186">
        <f>VLOOKUP(G37,Pesos!A:B,2,0)</f>
        <v>0.9</v>
      </c>
      <c r="I37" s="82" t="s">
        <v>305</v>
      </c>
      <c r="K37" s="79">
        <v>10</v>
      </c>
      <c r="L37" s="83" t="s">
        <v>83</v>
      </c>
      <c r="M37" s="82">
        <v>15</v>
      </c>
      <c r="N37" s="82" t="s">
        <v>24</v>
      </c>
      <c r="O37" s="2"/>
      <c r="P37" s="1"/>
      <c r="Q37" s="1">
        <v>15</v>
      </c>
      <c r="R37" s="1"/>
      <c r="S37" s="82">
        <v>1</v>
      </c>
      <c r="T37" s="84">
        <v>4075</v>
      </c>
      <c r="U37" s="85">
        <v>0.6</v>
      </c>
      <c r="V37" s="26">
        <f t="shared" si="3"/>
        <v>1630</v>
      </c>
      <c r="W37" s="25">
        <f t="shared" si="0"/>
        <v>24450</v>
      </c>
      <c r="AB37" s="1"/>
      <c r="AD37" s="1"/>
    </row>
    <row r="38" spans="1:30" x14ac:dyDescent="0.3">
      <c r="A38" t="s">
        <v>342</v>
      </c>
      <c r="B38" t="s">
        <v>394</v>
      </c>
      <c r="C38" t="s">
        <v>425</v>
      </c>
      <c r="D38" t="s">
        <v>426</v>
      </c>
      <c r="E38" s="82" t="s">
        <v>430</v>
      </c>
      <c r="F38" s="82" t="s">
        <v>21</v>
      </c>
      <c r="G38" s="2193">
        <v>2</v>
      </c>
      <c r="H38" s="2186">
        <f>VLOOKUP(G38,Pesos!A:B,2,0)</f>
        <v>0.8</v>
      </c>
      <c r="I38" s="82"/>
      <c r="J38" s="16" t="s">
        <v>305</v>
      </c>
      <c r="K38" s="79">
        <v>6</v>
      </c>
      <c r="L38" s="83" t="s">
        <v>331</v>
      </c>
      <c r="M38" s="82">
        <v>3</v>
      </c>
      <c r="N38" s="82" t="s">
        <v>24</v>
      </c>
      <c r="O38" s="2" t="s">
        <v>333</v>
      </c>
      <c r="P38" s="1"/>
      <c r="Q38" s="1"/>
      <c r="R38" s="1"/>
      <c r="S38" s="82">
        <v>1</v>
      </c>
      <c r="T38" s="84">
        <v>10005</v>
      </c>
      <c r="U38" s="85">
        <v>0.5</v>
      </c>
      <c r="V38" s="26">
        <f t="shared" si="3"/>
        <v>5002.5</v>
      </c>
      <c r="W38" s="25">
        <f t="shared" si="0"/>
        <v>15007.5</v>
      </c>
      <c r="AB38" s="1"/>
      <c r="AD38" s="1"/>
    </row>
    <row r="39" spans="1:30" x14ac:dyDescent="0.3">
      <c r="A39" t="s">
        <v>342</v>
      </c>
      <c r="B39" t="s">
        <v>394</v>
      </c>
      <c r="C39" t="s">
        <v>425</v>
      </c>
      <c r="D39" t="s">
        <v>426</v>
      </c>
      <c r="E39" s="82" t="s">
        <v>430</v>
      </c>
      <c r="F39" s="82" t="s">
        <v>26</v>
      </c>
      <c r="G39" s="2193">
        <v>5</v>
      </c>
      <c r="H39" s="2186">
        <f>VLOOKUP(G39,Pesos!A:B,2,0)</f>
        <v>0.5</v>
      </c>
      <c r="I39" s="82" t="s">
        <v>305</v>
      </c>
      <c r="K39" s="79">
        <v>4</v>
      </c>
      <c r="L39" s="83" t="s">
        <v>330</v>
      </c>
      <c r="M39" s="82">
        <v>1</v>
      </c>
      <c r="N39" s="82" t="s">
        <v>24</v>
      </c>
      <c r="O39" s="1">
        <v>1</v>
      </c>
      <c r="P39" s="1"/>
      <c r="Q39" s="1"/>
      <c r="R39" s="1"/>
      <c r="S39" s="82">
        <v>1</v>
      </c>
      <c r="T39" s="84">
        <v>12555</v>
      </c>
      <c r="U39" s="85">
        <v>0.6</v>
      </c>
      <c r="V39" s="26">
        <f t="shared" si="3"/>
        <v>5022</v>
      </c>
      <c r="W39" s="25">
        <f t="shared" si="0"/>
        <v>5022</v>
      </c>
      <c r="AB39" s="1"/>
      <c r="AD39" s="1"/>
    </row>
    <row r="40" spans="1:30" x14ac:dyDescent="0.3">
      <c r="A40" t="s">
        <v>342</v>
      </c>
      <c r="B40" t="s">
        <v>394</v>
      </c>
      <c r="C40" t="s">
        <v>425</v>
      </c>
      <c r="D40" t="s">
        <v>426</v>
      </c>
      <c r="E40" s="82" t="s">
        <v>430</v>
      </c>
      <c r="F40" s="82" t="s">
        <v>29</v>
      </c>
      <c r="G40" s="2193">
        <v>3</v>
      </c>
      <c r="H40" s="2186">
        <f>VLOOKUP(G40,Pesos!A:B,2,0)</f>
        <v>0.7</v>
      </c>
      <c r="I40" s="82" t="s">
        <v>305</v>
      </c>
      <c r="K40" s="79">
        <v>3</v>
      </c>
      <c r="L40" s="83" t="s">
        <v>354</v>
      </c>
      <c r="M40" s="82">
        <v>1</v>
      </c>
      <c r="N40" s="82" t="s">
        <v>24</v>
      </c>
      <c r="O40" s="1">
        <v>1</v>
      </c>
      <c r="S40" s="82">
        <v>1</v>
      </c>
      <c r="T40" s="84">
        <v>62555</v>
      </c>
      <c r="U40" s="85">
        <v>0.6</v>
      </c>
      <c r="V40" s="26">
        <f t="shared" si="3"/>
        <v>25022</v>
      </c>
      <c r="W40" s="25">
        <f t="shared" si="0"/>
        <v>25022</v>
      </c>
    </row>
    <row r="41" spans="1:30" x14ac:dyDescent="0.3">
      <c r="E41" s="1"/>
      <c r="F41" s="1"/>
      <c r="G41" s="2186"/>
      <c r="H41" s="2186"/>
      <c r="I41" s="1"/>
      <c r="K41" s="79"/>
      <c r="L41" s="2"/>
      <c r="M41" s="1"/>
      <c r="N41" s="1"/>
      <c r="O41" s="1"/>
      <c r="P41" s="1"/>
      <c r="Q41" s="1"/>
      <c r="R41" s="1"/>
      <c r="S41" s="1"/>
      <c r="T41" s="5"/>
      <c r="U41" s="24"/>
      <c r="V41" s="26"/>
      <c r="W41" s="25"/>
      <c r="AB41" s="1"/>
      <c r="AD41" s="1"/>
    </row>
    <row r="42" spans="1:30" x14ac:dyDescent="0.3">
      <c r="A42" t="s">
        <v>343</v>
      </c>
      <c r="B42" t="s">
        <v>394</v>
      </c>
      <c r="C42" t="s">
        <v>425</v>
      </c>
      <c r="D42" t="s">
        <v>426</v>
      </c>
      <c r="E42" s="82" t="s">
        <v>427</v>
      </c>
      <c r="F42" s="82" t="s">
        <v>166</v>
      </c>
      <c r="G42" s="2193">
        <v>2</v>
      </c>
      <c r="H42" s="2186">
        <f>VLOOKUP(G42,Pesos!A:B,2,0)</f>
        <v>0.8</v>
      </c>
      <c r="I42" s="82" t="s">
        <v>305</v>
      </c>
      <c r="K42" s="79">
        <v>10</v>
      </c>
      <c r="L42" s="83" t="s">
        <v>83</v>
      </c>
      <c r="M42" s="82">
        <v>28</v>
      </c>
      <c r="N42" s="82" t="s">
        <v>63</v>
      </c>
      <c r="O42" s="1">
        <v>28</v>
      </c>
      <c r="P42" s="1"/>
      <c r="Q42" s="1"/>
      <c r="R42" s="1"/>
      <c r="S42" s="82">
        <v>1</v>
      </c>
      <c r="T42" s="84">
        <v>1875</v>
      </c>
      <c r="U42" s="85">
        <v>0.06</v>
      </c>
      <c r="V42" s="26">
        <f t="shared" si="3"/>
        <v>1762.5</v>
      </c>
      <c r="W42" s="25">
        <f t="shared" si="0"/>
        <v>49350</v>
      </c>
      <c r="AB42" s="1"/>
      <c r="AD42" s="1"/>
    </row>
    <row r="43" spans="1:30" x14ac:dyDescent="0.3">
      <c r="A43" t="s">
        <v>343</v>
      </c>
      <c r="B43" t="s">
        <v>394</v>
      </c>
      <c r="C43" t="s">
        <v>425</v>
      </c>
      <c r="D43" t="s">
        <v>426</v>
      </c>
      <c r="E43" s="82" t="s">
        <v>427</v>
      </c>
      <c r="F43" s="82" t="s">
        <v>26</v>
      </c>
      <c r="G43" s="2193">
        <v>4</v>
      </c>
      <c r="H43" s="2186">
        <f>VLOOKUP(G43,Pesos!A:B,2,0)</f>
        <v>0.6</v>
      </c>
      <c r="I43" s="82" t="s">
        <v>305</v>
      </c>
      <c r="K43" s="79">
        <v>4</v>
      </c>
      <c r="L43" s="83" t="s">
        <v>330</v>
      </c>
      <c r="M43" s="82">
        <v>1</v>
      </c>
      <c r="N43" s="82" t="s">
        <v>24</v>
      </c>
      <c r="O43" s="1">
        <v>1</v>
      </c>
      <c r="P43" s="1"/>
      <c r="Q43" s="1"/>
      <c r="R43" s="1"/>
      <c r="S43" s="82">
        <v>1</v>
      </c>
      <c r="T43" s="84">
        <v>6000</v>
      </c>
      <c r="U43" s="85">
        <v>0.04</v>
      </c>
      <c r="V43" s="26">
        <f t="shared" si="3"/>
        <v>5760</v>
      </c>
      <c r="W43" s="25">
        <f t="shared" si="0"/>
        <v>5760</v>
      </c>
      <c r="AB43" s="1"/>
      <c r="AD43" s="1"/>
    </row>
    <row r="44" spans="1:30" x14ac:dyDescent="0.3">
      <c r="A44" t="s">
        <v>343</v>
      </c>
      <c r="B44" t="s">
        <v>394</v>
      </c>
      <c r="C44" t="s">
        <v>425</v>
      </c>
      <c r="D44" t="s">
        <v>426</v>
      </c>
      <c r="E44" s="82" t="s">
        <v>427</v>
      </c>
      <c r="F44" s="82" t="s">
        <v>21</v>
      </c>
      <c r="G44" s="2193">
        <v>1</v>
      </c>
      <c r="H44" s="2186">
        <f>VLOOKUP(G44,Pesos!A:B,2,0)</f>
        <v>0.9</v>
      </c>
      <c r="I44" s="82"/>
      <c r="J44" s="16" t="s">
        <v>305</v>
      </c>
      <c r="K44" s="79">
        <v>6</v>
      </c>
      <c r="L44" s="83" t="s">
        <v>331</v>
      </c>
      <c r="M44" s="82">
        <v>2</v>
      </c>
      <c r="N44" s="82" t="s">
        <v>24</v>
      </c>
      <c r="O44" s="1">
        <v>2</v>
      </c>
      <c r="P44" s="1"/>
      <c r="Q44" s="1"/>
      <c r="R44" s="1"/>
      <c r="S44" s="82">
        <v>1</v>
      </c>
      <c r="T44" s="84">
        <v>2875</v>
      </c>
      <c r="U44" s="85">
        <v>0.05</v>
      </c>
      <c r="V44" s="26">
        <f t="shared" si="3"/>
        <v>2731.25</v>
      </c>
      <c r="W44" s="25">
        <f t="shared" si="0"/>
        <v>5462.5</v>
      </c>
      <c r="AB44" s="1"/>
      <c r="AD44" s="1"/>
    </row>
    <row r="45" spans="1:30" x14ac:dyDescent="0.3">
      <c r="A45" t="s">
        <v>343</v>
      </c>
      <c r="B45" t="s">
        <v>394</v>
      </c>
      <c r="C45" t="s">
        <v>425</v>
      </c>
      <c r="D45" t="s">
        <v>426</v>
      </c>
      <c r="E45" s="82" t="s">
        <v>409</v>
      </c>
      <c r="F45" s="82" t="s">
        <v>21</v>
      </c>
      <c r="G45" s="2193">
        <v>1</v>
      </c>
      <c r="H45" s="2186">
        <f>VLOOKUP(G45,Pesos!A:B,2,0)</f>
        <v>0.9</v>
      </c>
      <c r="I45" s="82"/>
      <c r="J45" s="16" t="s">
        <v>305</v>
      </c>
      <c r="K45" s="79">
        <v>6</v>
      </c>
      <c r="L45" s="83" t="s">
        <v>331</v>
      </c>
      <c r="M45" s="82">
        <v>3</v>
      </c>
      <c r="N45" s="82" t="s">
        <v>24</v>
      </c>
      <c r="O45" s="1">
        <v>3</v>
      </c>
      <c r="P45" s="1"/>
      <c r="Q45" s="1"/>
      <c r="R45" s="1"/>
      <c r="S45" s="82">
        <v>1</v>
      </c>
      <c r="T45" s="84">
        <v>27024.15</v>
      </c>
      <c r="U45" s="85">
        <v>0.7</v>
      </c>
      <c r="V45" s="26">
        <f t="shared" si="3"/>
        <v>8107.2450000000017</v>
      </c>
      <c r="W45" s="25">
        <f t="shared" si="0"/>
        <v>24321.735000000004</v>
      </c>
      <c r="AB45" s="1"/>
      <c r="AD45" s="1"/>
    </row>
    <row r="46" spans="1:30" x14ac:dyDescent="0.3">
      <c r="A46" t="s">
        <v>343</v>
      </c>
      <c r="B46" t="s">
        <v>394</v>
      </c>
      <c r="C46" t="s">
        <v>425</v>
      </c>
      <c r="D46" t="s">
        <v>426</v>
      </c>
      <c r="E46" s="82" t="s">
        <v>428</v>
      </c>
      <c r="F46" s="82" t="s">
        <v>26</v>
      </c>
      <c r="G46" s="2193">
        <v>4</v>
      </c>
      <c r="H46" s="2186">
        <f>VLOOKUP(G46,Pesos!A:B,2,0)</f>
        <v>0.6</v>
      </c>
      <c r="I46" s="82" t="s">
        <v>305</v>
      </c>
      <c r="K46" s="79">
        <v>4</v>
      </c>
      <c r="L46" s="83" t="s">
        <v>330</v>
      </c>
      <c r="M46" s="82">
        <v>2</v>
      </c>
      <c r="N46" s="82" t="s">
        <v>24</v>
      </c>
      <c r="O46" s="1">
        <v>2</v>
      </c>
      <c r="P46" s="1"/>
      <c r="Q46" s="1"/>
      <c r="R46" s="1"/>
      <c r="S46" s="82">
        <v>1</v>
      </c>
      <c r="T46" s="84">
        <v>4800</v>
      </c>
      <c r="U46" s="85">
        <v>0.05</v>
      </c>
      <c r="V46" s="26">
        <f t="shared" si="3"/>
        <v>4560</v>
      </c>
      <c r="W46" s="25">
        <f t="shared" si="0"/>
        <v>9120</v>
      </c>
      <c r="AB46" s="1"/>
      <c r="AD46" s="1"/>
    </row>
    <row r="47" spans="1:30" x14ac:dyDescent="0.3">
      <c r="A47" t="s">
        <v>343</v>
      </c>
      <c r="B47" t="s">
        <v>394</v>
      </c>
      <c r="C47" t="s">
        <v>425</v>
      </c>
      <c r="D47" t="s">
        <v>426</v>
      </c>
      <c r="E47" s="82" t="s">
        <v>430</v>
      </c>
      <c r="F47" s="82" t="s">
        <v>26</v>
      </c>
      <c r="G47" s="2193">
        <v>4</v>
      </c>
      <c r="H47" s="2186">
        <f>VLOOKUP(G47,Pesos!A:B,2,0)</f>
        <v>0.6</v>
      </c>
      <c r="I47" s="82" t="s">
        <v>305</v>
      </c>
      <c r="K47" s="79">
        <v>4</v>
      </c>
      <c r="L47" s="83" t="s">
        <v>330</v>
      </c>
      <c r="M47" s="82">
        <v>1</v>
      </c>
      <c r="N47" s="82" t="s">
        <v>24</v>
      </c>
      <c r="O47" s="1">
        <v>1</v>
      </c>
      <c r="P47" s="1"/>
      <c r="Q47" s="1"/>
      <c r="R47" s="1"/>
      <c r="S47" s="82">
        <v>1</v>
      </c>
      <c r="T47" s="84">
        <v>12555</v>
      </c>
      <c r="U47" s="85">
        <v>0.6</v>
      </c>
      <c r="V47" s="26">
        <f t="shared" si="3"/>
        <v>5022</v>
      </c>
      <c r="W47" s="25">
        <f t="shared" si="0"/>
        <v>5022</v>
      </c>
      <c r="AB47" s="1"/>
      <c r="AD47" s="1"/>
    </row>
    <row r="48" spans="1:30" x14ac:dyDescent="0.3">
      <c r="A48" t="s">
        <v>343</v>
      </c>
      <c r="B48" t="s">
        <v>394</v>
      </c>
      <c r="C48" t="s">
        <v>425</v>
      </c>
      <c r="D48" t="s">
        <v>426</v>
      </c>
      <c r="E48" s="82" t="s">
        <v>430</v>
      </c>
      <c r="F48" s="82" t="s">
        <v>166</v>
      </c>
      <c r="G48" s="2193">
        <v>2</v>
      </c>
      <c r="H48" s="2186">
        <f>VLOOKUP(G48,Pesos!A:B,2,0)</f>
        <v>0.8</v>
      </c>
      <c r="I48" s="82" t="s">
        <v>305</v>
      </c>
      <c r="K48" s="79">
        <v>10</v>
      </c>
      <c r="L48" s="83" t="s">
        <v>83</v>
      </c>
      <c r="M48" s="82">
        <v>23</v>
      </c>
      <c r="N48" s="82" t="s">
        <v>24</v>
      </c>
      <c r="O48" s="1"/>
      <c r="P48" s="1"/>
      <c r="Q48" s="1">
        <v>23</v>
      </c>
      <c r="R48" s="1"/>
      <c r="S48" s="82">
        <v>1</v>
      </c>
      <c r="T48" s="84">
        <v>4075</v>
      </c>
      <c r="U48" s="85">
        <v>0.6</v>
      </c>
      <c r="V48" s="26">
        <f t="shared" si="3"/>
        <v>1630</v>
      </c>
      <c r="W48" s="25">
        <f t="shared" si="0"/>
        <v>37490</v>
      </c>
      <c r="AB48" s="1"/>
      <c r="AD48" s="1"/>
    </row>
    <row r="49" spans="1:30" x14ac:dyDescent="0.3">
      <c r="A49" t="s">
        <v>343</v>
      </c>
      <c r="B49" t="s">
        <v>394</v>
      </c>
      <c r="C49" t="s">
        <v>425</v>
      </c>
      <c r="D49" t="s">
        <v>426</v>
      </c>
      <c r="E49" s="82" t="s">
        <v>430</v>
      </c>
      <c r="F49" s="82" t="s">
        <v>21</v>
      </c>
      <c r="G49" s="2193">
        <v>1</v>
      </c>
      <c r="H49" s="2186">
        <f>VLOOKUP(G49,Pesos!A:B,2,0)</f>
        <v>0.9</v>
      </c>
      <c r="I49" s="82"/>
      <c r="J49" s="16" t="s">
        <v>305</v>
      </c>
      <c r="K49" s="79">
        <v>6</v>
      </c>
      <c r="L49" s="83" t="s">
        <v>331</v>
      </c>
      <c r="M49" s="82">
        <v>4</v>
      </c>
      <c r="N49" s="82" t="s">
        <v>24</v>
      </c>
      <c r="O49" s="1">
        <v>4</v>
      </c>
      <c r="P49" s="1"/>
      <c r="Q49" s="1"/>
      <c r="R49" s="1"/>
      <c r="S49" s="82">
        <v>1</v>
      </c>
      <c r="T49" s="84">
        <v>10005</v>
      </c>
      <c r="U49" s="85">
        <v>0.5</v>
      </c>
      <c r="V49" s="26">
        <f t="shared" si="3"/>
        <v>5002.5</v>
      </c>
      <c r="W49" s="25">
        <f t="shared" si="0"/>
        <v>20010</v>
      </c>
      <c r="AB49" s="1"/>
      <c r="AD49" s="1"/>
    </row>
    <row r="50" spans="1:30" x14ac:dyDescent="0.3">
      <c r="A50" t="s">
        <v>343</v>
      </c>
      <c r="B50" t="s">
        <v>394</v>
      </c>
      <c r="C50" t="s">
        <v>425</v>
      </c>
      <c r="D50" t="s">
        <v>426</v>
      </c>
      <c r="E50" s="82" t="s">
        <v>430</v>
      </c>
      <c r="F50" s="82" t="s">
        <v>26</v>
      </c>
      <c r="G50" s="2193">
        <v>4</v>
      </c>
      <c r="H50" s="2186">
        <f>VLOOKUP(G50,Pesos!A:B,2,0)</f>
        <v>0.6</v>
      </c>
      <c r="I50" s="82" t="s">
        <v>305</v>
      </c>
      <c r="K50" s="79">
        <v>4</v>
      </c>
      <c r="L50" s="83" t="s">
        <v>330</v>
      </c>
      <c r="M50" s="82">
        <v>2</v>
      </c>
      <c r="N50" s="82" t="s">
        <v>24</v>
      </c>
      <c r="O50" s="1">
        <v>2</v>
      </c>
      <c r="S50" s="82">
        <v>1</v>
      </c>
      <c r="T50" s="84">
        <v>12555</v>
      </c>
      <c r="U50" s="85">
        <v>0.6</v>
      </c>
      <c r="V50" s="26">
        <f t="shared" si="3"/>
        <v>5022</v>
      </c>
      <c r="W50" s="25">
        <f t="shared" si="0"/>
        <v>10044</v>
      </c>
    </row>
    <row r="51" spans="1:30" x14ac:dyDescent="0.3">
      <c r="A51" t="s">
        <v>343</v>
      </c>
      <c r="B51" t="s">
        <v>394</v>
      </c>
      <c r="C51" t="s">
        <v>425</v>
      </c>
      <c r="D51" t="s">
        <v>426</v>
      </c>
      <c r="E51" s="82" t="s">
        <v>150</v>
      </c>
      <c r="F51" s="82" t="s">
        <v>50</v>
      </c>
      <c r="G51" s="2193">
        <v>3</v>
      </c>
      <c r="H51" s="2186">
        <f>VLOOKUP(G51,Pesos!A:B,2,0)</f>
        <v>0.7</v>
      </c>
      <c r="I51" s="82" t="s">
        <v>305</v>
      </c>
      <c r="K51" s="79">
        <v>10</v>
      </c>
      <c r="L51" s="83" t="s">
        <v>51</v>
      </c>
      <c r="M51" s="82">
        <v>15</v>
      </c>
      <c r="N51" s="82" t="s">
        <v>24</v>
      </c>
      <c r="O51" s="1">
        <v>15</v>
      </c>
      <c r="S51" s="82">
        <v>1</v>
      </c>
      <c r="T51" s="84">
        <v>4065</v>
      </c>
      <c r="U51" s="85">
        <v>0.4</v>
      </c>
      <c r="V51" s="26">
        <f t="shared" si="3"/>
        <v>2439</v>
      </c>
      <c r="W51" s="25">
        <f t="shared" si="0"/>
        <v>36585</v>
      </c>
    </row>
    <row r="52" spans="1:30" x14ac:dyDescent="0.3">
      <c r="A52" t="s">
        <v>343</v>
      </c>
      <c r="B52" t="s">
        <v>394</v>
      </c>
      <c r="C52" t="s">
        <v>425</v>
      </c>
      <c r="D52" t="s">
        <v>426</v>
      </c>
      <c r="E52" s="82" t="s">
        <v>41</v>
      </c>
      <c r="F52" s="82" t="s">
        <v>168</v>
      </c>
      <c r="G52" s="2193">
        <v>5</v>
      </c>
      <c r="H52" s="2186">
        <f>VLOOKUP(G52,Pesos!A:B,2,0)</f>
        <v>0.5</v>
      </c>
      <c r="I52" s="82" t="s">
        <v>305</v>
      </c>
      <c r="K52" s="79">
        <v>15</v>
      </c>
      <c r="L52" s="83" t="s">
        <v>83</v>
      </c>
      <c r="M52" s="82">
        <v>25</v>
      </c>
      <c r="N52" s="82" t="s">
        <v>24</v>
      </c>
      <c r="O52" s="1">
        <v>25</v>
      </c>
      <c r="S52" s="82">
        <v>1</v>
      </c>
      <c r="T52" s="84">
        <v>1600</v>
      </c>
      <c r="U52" s="85">
        <v>0.7</v>
      </c>
      <c r="V52" s="26">
        <f t="shared" si="3"/>
        <v>480.00000000000006</v>
      </c>
      <c r="W52" s="25">
        <f t="shared" si="0"/>
        <v>12000.000000000002</v>
      </c>
    </row>
    <row r="53" spans="1:30" x14ac:dyDescent="0.3">
      <c r="G53" s="2186"/>
      <c r="H53" s="2186"/>
      <c r="J53" s="2"/>
      <c r="L53" s="2"/>
      <c r="M53" s="1"/>
      <c r="T53" s="5"/>
      <c r="U53" s="24"/>
      <c r="V53" s="26"/>
    </row>
    <row r="54" spans="1:30" x14ac:dyDescent="0.3">
      <c r="A54" t="s">
        <v>326</v>
      </c>
      <c r="B54" t="s">
        <v>394</v>
      </c>
      <c r="C54" t="s">
        <v>425</v>
      </c>
      <c r="D54" t="s">
        <v>426</v>
      </c>
      <c r="E54" s="82" t="s">
        <v>427</v>
      </c>
      <c r="F54" s="82" t="s">
        <v>166</v>
      </c>
      <c r="G54" s="2193">
        <v>2</v>
      </c>
      <c r="H54" s="2186">
        <f>VLOOKUP(G54,Pesos!A:B,2,0)</f>
        <v>0.8</v>
      </c>
      <c r="I54" s="82" t="s">
        <v>305</v>
      </c>
      <c r="K54" s="79">
        <v>8</v>
      </c>
      <c r="L54" s="83" t="s">
        <v>52</v>
      </c>
      <c r="M54" s="82">
        <v>15</v>
      </c>
      <c r="N54" s="82" t="s">
        <v>63</v>
      </c>
      <c r="O54" s="1">
        <v>15</v>
      </c>
      <c r="S54" s="82">
        <v>1</v>
      </c>
      <c r="T54" s="84">
        <v>1875</v>
      </c>
      <c r="U54" s="85">
        <v>0.06</v>
      </c>
      <c r="V54" s="26">
        <f t="shared" si="3"/>
        <v>1762.5</v>
      </c>
      <c r="W54" s="25">
        <f t="shared" si="0"/>
        <v>26437.5</v>
      </c>
    </row>
    <row r="55" spans="1:30" x14ac:dyDescent="0.3">
      <c r="A55" t="s">
        <v>326</v>
      </c>
      <c r="B55" t="s">
        <v>394</v>
      </c>
      <c r="C55" t="s">
        <v>425</v>
      </c>
      <c r="D55" t="s">
        <v>426</v>
      </c>
      <c r="E55" s="82" t="s">
        <v>427</v>
      </c>
      <c r="F55" s="82" t="s">
        <v>26</v>
      </c>
      <c r="G55" s="2193">
        <v>4</v>
      </c>
      <c r="H55" s="2186">
        <f>VLOOKUP(G55,Pesos!A:B,2,0)</f>
        <v>0.6</v>
      </c>
      <c r="I55" s="82" t="s">
        <v>305</v>
      </c>
      <c r="K55" s="79">
        <v>3</v>
      </c>
      <c r="L55" s="83" t="s">
        <v>354</v>
      </c>
      <c r="M55" s="82">
        <v>1</v>
      </c>
      <c r="N55" s="82" t="s">
        <v>24</v>
      </c>
      <c r="O55" s="1">
        <v>1</v>
      </c>
      <c r="S55" s="82">
        <v>1</v>
      </c>
      <c r="T55" s="84">
        <v>6000</v>
      </c>
      <c r="U55" s="85">
        <v>0.04</v>
      </c>
      <c r="V55" s="26">
        <f t="shared" si="3"/>
        <v>5760</v>
      </c>
      <c r="W55" s="25">
        <f t="shared" si="0"/>
        <v>5760</v>
      </c>
    </row>
    <row r="56" spans="1:30" x14ac:dyDescent="0.3">
      <c r="A56" t="s">
        <v>326</v>
      </c>
      <c r="B56" t="s">
        <v>394</v>
      </c>
      <c r="C56" t="s">
        <v>425</v>
      </c>
      <c r="D56" t="s">
        <v>426</v>
      </c>
      <c r="E56" s="82" t="s">
        <v>427</v>
      </c>
      <c r="F56" s="82" t="s">
        <v>21</v>
      </c>
      <c r="G56" s="2193">
        <v>1</v>
      </c>
      <c r="H56" s="2186">
        <f>VLOOKUP(G56,Pesos!A:B,2,0)</f>
        <v>0.9</v>
      </c>
      <c r="I56" s="82"/>
      <c r="J56" s="82" t="s">
        <v>305</v>
      </c>
      <c r="K56" s="79">
        <v>4</v>
      </c>
      <c r="L56" s="83" t="s">
        <v>330</v>
      </c>
      <c r="M56" s="82">
        <v>2</v>
      </c>
      <c r="N56" s="82" t="s">
        <v>24</v>
      </c>
      <c r="O56" s="1">
        <v>2</v>
      </c>
      <c r="S56" s="82">
        <v>1</v>
      </c>
      <c r="T56" s="84">
        <v>2875</v>
      </c>
      <c r="U56" s="85">
        <v>0.05</v>
      </c>
      <c r="V56" s="26">
        <f t="shared" si="3"/>
        <v>2731.25</v>
      </c>
      <c r="W56" s="25">
        <f t="shared" si="0"/>
        <v>5462.5</v>
      </c>
    </row>
    <row r="57" spans="1:30" x14ac:dyDescent="0.3">
      <c r="A57" t="s">
        <v>326</v>
      </c>
      <c r="B57" t="s">
        <v>394</v>
      </c>
      <c r="C57" t="s">
        <v>425</v>
      </c>
      <c r="D57" t="s">
        <v>426</v>
      </c>
      <c r="E57" s="82" t="s">
        <v>409</v>
      </c>
      <c r="F57" s="82" t="s">
        <v>21</v>
      </c>
      <c r="G57" s="2193">
        <v>1</v>
      </c>
      <c r="H57" s="2186">
        <f>VLOOKUP(G57,Pesos!A:B,2,0)</f>
        <v>0.9</v>
      </c>
      <c r="I57" s="82"/>
      <c r="J57" s="82" t="s">
        <v>305</v>
      </c>
      <c r="K57" s="79">
        <v>4</v>
      </c>
      <c r="L57" s="83" t="s">
        <v>330</v>
      </c>
      <c r="M57" s="82">
        <v>1</v>
      </c>
      <c r="N57" s="82" t="s">
        <v>24</v>
      </c>
      <c r="O57" s="1">
        <v>1</v>
      </c>
      <c r="S57" s="82">
        <v>1</v>
      </c>
      <c r="T57" s="84">
        <v>27024.15</v>
      </c>
      <c r="U57" s="85">
        <v>0.7</v>
      </c>
      <c r="V57" s="26">
        <f t="shared" si="3"/>
        <v>8107.2450000000017</v>
      </c>
      <c r="W57" s="25">
        <f t="shared" si="0"/>
        <v>8107.2450000000017</v>
      </c>
    </row>
    <row r="58" spans="1:30" x14ac:dyDescent="0.3">
      <c r="A58" t="s">
        <v>326</v>
      </c>
      <c r="B58" t="s">
        <v>394</v>
      </c>
      <c r="C58" t="s">
        <v>425</v>
      </c>
      <c r="D58" t="s">
        <v>426</v>
      </c>
      <c r="E58" s="82" t="s">
        <v>428</v>
      </c>
      <c r="F58" s="82" t="s">
        <v>26</v>
      </c>
      <c r="G58" s="2193">
        <v>4</v>
      </c>
      <c r="H58" s="2186">
        <f>VLOOKUP(G58,Pesos!A:B,2,0)</f>
        <v>0.6</v>
      </c>
      <c r="I58" s="82" t="s">
        <v>305</v>
      </c>
      <c r="K58" s="79">
        <v>3</v>
      </c>
      <c r="L58" s="83" t="s">
        <v>354</v>
      </c>
      <c r="M58" s="82">
        <v>2</v>
      </c>
      <c r="N58" s="82" t="s">
        <v>24</v>
      </c>
      <c r="O58" s="1">
        <v>2</v>
      </c>
      <c r="S58" s="82">
        <v>1</v>
      </c>
      <c r="T58" s="84">
        <v>4800</v>
      </c>
      <c r="U58" s="85">
        <v>0.05</v>
      </c>
      <c r="V58" s="26">
        <f t="shared" si="3"/>
        <v>4560</v>
      </c>
      <c r="W58" s="25">
        <f t="shared" si="0"/>
        <v>9120</v>
      </c>
    </row>
    <row r="59" spans="1:30" x14ac:dyDescent="0.3">
      <c r="A59" t="s">
        <v>326</v>
      </c>
      <c r="B59" t="s">
        <v>394</v>
      </c>
      <c r="C59" t="s">
        <v>425</v>
      </c>
      <c r="D59" t="s">
        <v>426</v>
      </c>
      <c r="E59" s="82" t="s">
        <v>430</v>
      </c>
      <c r="F59" s="82" t="s">
        <v>26</v>
      </c>
      <c r="G59" s="2193">
        <v>4</v>
      </c>
      <c r="H59" s="2186">
        <f>VLOOKUP(G59,Pesos!A:B,2,0)</f>
        <v>0.6</v>
      </c>
      <c r="I59" s="82" t="s">
        <v>305</v>
      </c>
      <c r="K59" s="79">
        <v>3</v>
      </c>
      <c r="L59" s="83" t="s">
        <v>354</v>
      </c>
      <c r="M59" s="82">
        <v>1</v>
      </c>
      <c r="N59" s="82" t="s">
        <v>24</v>
      </c>
      <c r="O59" s="1">
        <v>1</v>
      </c>
      <c r="S59" s="82">
        <v>1</v>
      </c>
      <c r="T59" s="84">
        <v>12555</v>
      </c>
      <c r="U59" s="85">
        <v>0.6</v>
      </c>
      <c r="V59" s="26">
        <f t="shared" si="3"/>
        <v>5022</v>
      </c>
      <c r="W59" s="25">
        <f t="shared" si="0"/>
        <v>5022</v>
      </c>
    </row>
    <row r="60" spans="1:30" x14ac:dyDescent="0.3">
      <c r="A60" t="s">
        <v>326</v>
      </c>
      <c r="B60" t="s">
        <v>394</v>
      </c>
      <c r="C60" t="s">
        <v>425</v>
      </c>
      <c r="D60" t="s">
        <v>426</v>
      </c>
      <c r="E60" s="82" t="s">
        <v>430</v>
      </c>
      <c r="F60" s="82" t="s">
        <v>166</v>
      </c>
      <c r="G60" s="2193">
        <v>2</v>
      </c>
      <c r="H60" s="2186">
        <f>VLOOKUP(G60,Pesos!A:B,2,0)</f>
        <v>0.8</v>
      </c>
      <c r="I60" s="82" t="s">
        <v>305</v>
      </c>
      <c r="K60" s="79">
        <v>8</v>
      </c>
      <c r="L60" s="83" t="s">
        <v>52</v>
      </c>
      <c r="M60" s="82">
        <v>10</v>
      </c>
      <c r="N60" s="82" t="s">
        <v>24</v>
      </c>
      <c r="Q60" s="1">
        <v>10</v>
      </c>
      <c r="S60" s="82">
        <v>1</v>
      </c>
      <c r="T60" s="84">
        <v>4075</v>
      </c>
      <c r="U60" s="85">
        <v>0.6</v>
      </c>
      <c r="V60" s="26">
        <f t="shared" si="3"/>
        <v>1630</v>
      </c>
      <c r="W60" s="25">
        <f t="shared" si="0"/>
        <v>16300</v>
      </c>
    </row>
    <row r="61" spans="1:30" x14ac:dyDescent="0.3">
      <c r="A61" t="s">
        <v>326</v>
      </c>
      <c r="B61" t="s">
        <v>394</v>
      </c>
      <c r="C61" t="s">
        <v>425</v>
      </c>
      <c r="D61" t="s">
        <v>426</v>
      </c>
      <c r="E61" s="82" t="s">
        <v>430</v>
      </c>
      <c r="F61" s="82" t="s">
        <v>21</v>
      </c>
      <c r="G61" s="2193">
        <v>1</v>
      </c>
      <c r="H61" s="2186">
        <f>VLOOKUP(G61,Pesos!A:B,2,0)</f>
        <v>0.9</v>
      </c>
      <c r="I61" s="82"/>
      <c r="J61" s="1" t="s">
        <v>305</v>
      </c>
      <c r="K61" s="1">
        <v>4</v>
      </c>
      <c r="L61" s="83" t="s">
        <v>330</v>
      </c>
      <c r="M61" s="82">
        <v>2</v>
      </c>
      <c r="N61" s="82" t="s">
        <v>24</v>
      </c>
      <c r="O61" s="1">
        <v>2</v>
      </c>
      <c r="S61" s="82">
        <v>1</v>
      </c>
      <c r="T61" s="84">
        <v>10005</v>
      </c>
      <c r="U61" s="85">
        <v>0.5</v>
      </c>
      <c r="V61" s="26">
        <f t="shared" si="3"/>
        <v>5002.5</v>
      </c>
      <c r="W61" s="25">
        <f t="shared" si="0"/>
        <v>10005</v>
      </c>
    </row>
    <row r="62" spans="1:30" x14ac:dyDescent="0.3">
      <c r="A62" t="s">
        <v>326</v>
      </c>
      <c r="B62" t="s">
        <v>394</v>
      </c>
      <c r="C62" t="s">
        <v>425</v>
      </c>
      <c r="D62" t="s">
        <v>426</v>
      </c>
      <c r="E62" s="82" t="s">
        <v>430</v>
      </c>
      <c r="F62" s="82" t="s">
        <v>26</v>
      </c>
      <c r="G62" s="2193">
        <v>4</v>
      </c>
      <c r="H62" s="2186">
        <f>VLOOKUP(G62,Pesos!A:B,2,0)</f>
        <v>0.6</v>
      </c>
      <c r="I62" s="82" t="s">
        <v>305</v>
      </c>
      <c r="K62" s="1">
        <v>3</v>
      </c>
      <c r="L62" s="83" t="s">
        <v>354</v>
      </c>
      <c r="M62" s="82">
        <v>1</v>
      </c>
      <c r="N62" s="82" t="s">
        <v>24</v>
      </c>
      <c r="O62" s="1">
        <v>1</v>
      </c>
      <c r="S62" s="82">
        <v>1</v>
      </c>
      <c r="T62" s="84">
        <v>12555</v>
      </c>
      <c r="U62" s="85">
        <v>0.6</v>
      </c>
      <c r="V62" s="26">
        <f t="shared" si="3"/>
        <v>5022</v>
      </c>
      <c r="W62" s="25">
        <f t="shared" si="0"/>
        <v>5022</v>
      </c>
    </row>
    <row r="63" spans="1:30" x14ac:dyDescent="0.3">
      <c r="A63" t="s">
        <v>326</v>
      </c>
      <c r="B63" t="s">
        <v>394</v>
      </c>
      <c r="C63" t="s">
        <v>425</v>
      </c>
      <c r="D63" t="s">
        <v>426</v>
      </c>
      <c r="E63" s="82" t="s">
        <v>150</v>
      </c>
      <c r="F63" s="82" t="s">
        <v>50</v>
      </c>
      <c r="G63" s="2193">
        <v>3</v>
      </c>
      <c r="H63" s="2186">
        <f>VLOOKUP(G63,Pesos!A:B,2,0)</f>
        <v>0.7</v>
      </c>
      <c r="I63" s="82" t="s">
        <v>305</v>
      </c>
      <c r="K63" s="1">
        <v>8</v>
      </c>
      <c r="L63" s="83" t="s">
        <v>256</v>
      </c>
      <c r="M63" s="82">
        <v>11</v>
      </c>
      <c r="N63" s="82" t="s">
        <v>24</v>
      </c>
      <c r="O63" s="1">
        <v>11</v>
      </c>
      <c r="S63" s="82">
        <v>1</v>
      </c>
      <c r="T63" s="84">
        <v>4065</v>
      </c>
      <c r="U63" s="85">
        <v>0.4</v>
      </c>
      <c r="V63" s="26">
        <f t="shared" si="3"/>
        <v>2439</v>
      </c>
      <c r="W63" s="25">
        <f t="shared" si="0"/>
        <v>26829</v>
      </c>
    </row>
    <row r="70" spans="1:7" x14ac:dyDescent="0.3">
      <c r="A70" s="47"/>
      <c r="D70" s="43" t="s">
        <v>1158</v>
      </c>
      <c r="E70" s="43" t="s">
        <v>1159</v>
      </c>
      <c r="F70" s="43" t="s">
        <v>1160</v>
      </c>
      <c r="G70" s="43"/>
    </row>
    <row r="71" spans="1:7" x14ac:dyDescent="0.3">
      <c r="A71" s="47" t="s">
        <v>1161</v>
      </c>
      <c r="B71" s="2174"/>
      <c r="C71" s="2174"/>
      <c r="D71" s="2181">
        <f>E71*(1-10%)</f>
        <v>4417.9533571428565</v>
      </c>
      <c r="E71" s="427">
        <f>CUIABA!T59</f>
        <v>4908.837063492063</v>
      </c>
      <c r="F71" s="427">
        <f>E71*(1+15%)</f>
        <v>5645.1626230158718</v>
      </c>
      <c r="G71" s="427"/>
    </row>
    <row r="72" spans="1:7" x14ac:dyDescent="0.3">
      <c r="A72" s="47" t="s">
        <v>1162</v>
      </c>
      <c r="B72" s="2174"/>
      <c r="C72" s="2174"/>
      <c r="D72" s="2181">
        <f>E72*(1-25%)</f>
        <v>1810.4208105468749</v>
      </c>
      <c r="E72" s="427">
        <f>CUIABA!T92</f>
        <v>2413.8944140624999</v>
      </c>
      <c r="F72" s="427">
        <f>E72*(1+5%)</f>
        <v>2534.5891347656252</v>
      </c>
      <c r="G72" s="427"/>
    </row>
    <row r="73" spans="1:7" x14ac:dyDescent="0.3">
      <c r="A73" s="47" t="s">
        <v>550</v>
      </c>
      <c r="B73" s="2174"/>
      <c r="C73" s="2174"/>
      <c r="D73" s="2181">
        <f>E73*(1-15%)</f>
        <v>4059.3351367924524</v>
      </c>
      <c r="E73" s="427">
        <f>CUIABA!T138</f>
        <v>4775.6883962264146</v>
      </c>
      <c r="F73" s="427">
        <f>E73*(1+15%)</f>
        <v>5492.0416556603768</v>
      </c>
      <c r="G73" s="427"/>
    </row>
    <row r="74" spans="1:7" x14ac:dyDescent="0.3">
      <c r="A74" s="47" t="s">
        <v>679</v>
      </c>
      <c r="B74" s="2174"/>
      <c r="C74" s="2174"/>
      <c r="D74" s="2181">
        <f>E74*(1-25%)</f>
        <v>1805.4143985849055</v>
      </c>
      <c r="E74" s="427">
        <f>CUIABA!T171</f>
        <v>2407.2191981132073</v>
      </c>
      <c r="F74" s="427">
        <f>E74*(1+5%)</f>
        <v>2527.5801580188677</v>
      </c>
      <c r="G74" s="427"/>
    </row>
    <row r="75" spans="1:7" x14ac:dyDescent="0.3">
      <c r="A75" s="47" t="s">
        <v>568</v>
      </c>
      <c r="B75" s="2174"/>
      <c r="C75" s="2174"/>
      <c r="D75" s="2181">
        <f>E75*(1-25%)</f>
        <v>2251.063777173913</v>
      </c>
      <c r="E75" s="427">
        <f>CUIABA!T208</f>
        <v>3001.4183695652173</v>
      </c>
      <c r="F75" s="427">
        <f>E75*(1+5%)</f>
        <v>3151.4892880434782</v>
      </c>
      <c r="G75" s="427"/>
    </row>
    <row r="76" spans="1:7" x14ac:dyDescent="0.3">
      <c r="A76" s="47"/>
      <c r="B76" s="47"/>
      <c r="C76" s="47"/>
      <c r="D76" s="48"/>
    </row>
    <row r="77" spans="1:7" x14ac:dyDescent="0.3">
      <c r="A77" s="47"/>
      <c r="B77" s="46"/>
      <c r="C77" s="46"/>
      <c r="D77" s="2314" t="s">
        <v>1163</v>
      </c>
      <c r="E77" s="2315"/>
      <c r="F77" s="2315"/>
      <c r="G77" s="2316"/>
    </row>
    <row r="78" spans="1:7" x14ac:dyDescent="0.3">
      <c r="A78" s="47" t="s">
        <v>1161</v>
      </c>
      <c r="B78" s="2175"/>
      <c r="C78" s="2175"/>
      <c r="D78" s="3">
        <v>0.76190476190476186</v>
      </c>
      <c r="E78" s="3"/>
      <c r="F78" s="3">
        <v>0.23809523809523808</v>
      </c>
      <c r="G78" s="3"/>
    </row>
    <row r="79" spans="1:7" x14ac:dyDescent="0.3">
      <c r="A79" s="47" t="s">
        <v>1162</v>
      </c>
      <c r="B79" s="2175"/>
      <c r="C79" s="2175"/>
      <c r="D79" s="2175">
        <v>0.765625</v>
      </c>
      <c r="E79" s="304"/>
      <c r="F79" s="304">
        <v>0.234375</v>
      </c>
      <c r="G79" s="304"/>
    </row>
    <row r="80" spans="1:7" x14ac:dyDescent="0.3">
      <c r="A80" s="47" t="s">
        <v>550</v>
      </c>
      <c r="B80" s="2175"/>
      <c r="C80" s="2175"/>
      <c r="D80" s="2175">
        <v>0.71698113207547165</v>
      </c>
      <c r="E80" s="304"/>
      <c r="F80" s="304">
        <v>0.28301886792452829</v>
      </c>
      <c r="G80" s="304"/>
    </row>
    <row r="81" spans="1:7" x14ac:dyDescent="0.3">
      <c r="A81" s="47" t="s">
        <v>679</v>
      </c>
      <c r="B81" s="2175"/>
      <c r="C81" s="2175"/>
      <c r="D81" s="2175">
        <v>0.78301886792452835</v>
      </c>
      <c r="E81" s="304"/>
      <c r="F81" s="304">
        <v>0.21698113207547171</v>
      </c>
      <c r="G81" s="304"/>
    </row>
    <row r="82" spans="1:7" x14ac:dyDescent="0.3">
      <c r="A82" s="47" t="s">
        <v>568</v>
      </c>
      <c r="B82" s="47"/>
      <c r="C82" s="47"/>
      <c r="D82" s="2175">
        <v>0.78260869565217395</v>
      </c>
      <c r="E82" s="3"/>
      <c r="F82" s="304">
        <v>0.21739130434782608</v>
      </c>
    </row>
    <row r="83" spans="1:7" x14ac:dyDescent="0.3">
      <c r="A83" s="47"/>
      <c r="B83" s="47"/>
      <c r="C83" s="47"/>
      <c r="D83" s="48"/>
    </row>
    <row r="84" spans="1:7" x14ac:dyDescent="0.3">
      <c r="A84" s="47"/>
      <c r="B84" s="47"/>
      <c r="C84" s="47"/>
      <c r="D84" s="48"/>
    </row>
    <row r="85" spans="1:7" x14ac:dyDescent="0.3">
      <c r="A85" s="47"/>
      <c r="B85" s="47"/>
      <c r="C85" s="47"/>
      <c r="D85" s="48"/>
    </row>
    <row r="86" spans="1:7" x14ac:dyDescent="0.3">
      <c r="A86" s="47"/>
      <c r="B86" s="46"/>
      <c r="C86" s="46"/>
      <c r="D86" s="2314" t="s">
        <v>1164</v>
      </c>
      <c r="E86" s="2315"/>
      <c r="F86" s="2315"/>
      <c r="G86" s="2316"/>
    </row>
    <row r="87" spans="1:7" x14ac:dyDescent="0.3">
      <c r="A87" s="47" t="s">
        <v>1161</v>
      </c>
      <c r="B87" s="2175"/>
      <c r="C87" s="2175"/>
      <c r="D87" s="2175">
        <v>0.26627218934911245</v>
      </c>
      <c r="E87" s="2175">
        <v>0.28402366863905326</v>
      </c>
      <c r="F87" s="2175">
        <v>0.22485207100591717</v>
      </c>
      <c r="G87" s="2175">
        <v>0.22485207100591717</v>
      </c>
    </row>
    <row r="88" spans="1:7" x14ac:dyDescent="0.3">
      <c r="A88" s="47" t="s">
        <v>1162</v>
      </c>
      <c r="B88" s="6"/>
      <c r="C88" s="6"/>
      <c r="D88" s="6">
        <v>0.25654450261780104</v>
      </c>
      <c r="E88" s="2175">
        <v>0.25654450261780104</v>
      </c>
      <c r="F88" s="2175">
        <v>0.24345549738219896</v>
      </c>
      <c r="G88" s="2175">
        <v>0.24345549738219896</v>
      </c>
    </row>
    <row r="89" spans="1:7" x14ac:dyDescent="0.3">
      <c r="A89" s="47" t="s">
        <v>550</v>
      </c>
      <c r="B89" s="2175"/>
      <c r="C89" s="2175"/>
      <c r="D89" s="2175">
        <v>0.330188679245283</v>
      </c>
      <c r="E89" s="2175">
        <v>0.35849056603773582</v>
      </c>
      <c r="F89" s="2175">
        <v>0.31132075471698112</v>
      </c>
      <c r="G89" s="2175"/>
    </row>
    <row r="90" spans="1:7" x14ac:dyDescent="0.3">
      <c r="A90" s="47" t="s">
        <v>679</v>
      </c>
      <c r="B90" s="2175"/>
      <c r="C90" s="2175"/>
      <c r="D90" s="6">
        <v>0.3401639344262295</v>
      </c>
      <c r="E90" s="2175">
        <v>0.3401639344262295</v>
      </c>
      <c r="F90" s="2175">
        <v>0.31967213114754101</v>
      </c>
      <c r="G90" s="2175"/>
    </row>
    <row r="91" spans="1:7" x14ac:dyDescent="0.3">
      <c r="A91" s="47" t="s">
        <v>568</v>
      </c>
      <c r="B91" s="47"/>
      <c r="C91" s="47"/>
      <c r="D91" s="6">
        <v>0.34951456310679613</v>
      </c>
      <c r="E91" s="2175">
        <v>0.34951456310679613</v>
      </c>
      <c r="F91" s="2175">
        <v>0.30097087378640774</v>
      </c>
      <c r="G91" s="2175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D176"/>
  <sheetViews>
    <sheetView workbookViewId="0"/>
  </sheetViews>
  <sheetFormatPr defaultRowHeight="14.4" x14ac:dyDescent="0.3"/>
  <sheetData>
    <row r="1" spans="1:5" ht="21" x14ac:dyDescent="0.4">
      <c r="A1" s="92" t="s">
        <v>929</v>
      </c>
    </row>
    <row r="2" spans="1:5" x14ac:dyDescent="0.3">
      <c r="A2" t="s">
        <v>452</v>
      </c>
    </row>
    <row r="4" spans="1:5" x14ac:dyDescent="0.3">
      <c r="B4" s="95"/>
    </row>
    <row r="5" spans="1:5" x14ac:dyDescent="0.3">
      <c r="B5" s="96"/>
      <c r="C5" s="603"/>
    </row>
    <row r="6" spans="1:5" x14ac:dyDescent="0.3">
      <c r="A6" s="100" t="s">
        <v>930</v>
      </c>
      <c r="B6" s="101">
        <v>1342288.88</v>
      </c>
      <c r="C6" s="661"/>
    </row>
    <row r="7" spans="1:5" x14ac:dyDescent="0.3">
      <c r="A7" s="100" t="s">
        <v>931</v>
      </c>
      <c r="B7" s="101">
        <v>1628157.56</v>
      </c>
    </row>
    <row r="9" spans="1:5" x14ac:dyDescent="0.3">
      <c r="A9" s="103" t="s">
        <v>932</v>
      </c>
      <c r="B9" s="104">
        <v>2273502.875</v>
      </c>
      <c r="C9" s="662"/>
    </row>
    <row r="10" spans="1:5" x14ac:dyDescent="0.3">
      <c r="A10" s="100" t="s">
        <v>933</v>
      </c>
      <c r="B10" s="101">
        <v>3247861.25</v>
      </c>
      <c r="C10" s="3"/>
    </row>
    <row r="13" spans="1:5" x14ac:dyDescent="0.3">
      <c r="A13" s="4" t="s">
        <v>457</v>
      </c>
    </row>
    <row r="14" spans="1:5" x14ac:dyDescent="0.3">
      <c r="A14" s="106" t="s">
        <v>458</v>
      </c>
      <c r="B14" s="106"/>
      <c r="C14" s="106" t="s">
        <v>459</v>
      </c>
      <c r="D14" s="106" t="s">
        <v>460</v>
      </c>
      <c r="E14" s="106" t="s">
        <v>461</v>
      </c>
    </row>
    <row r="15" spans="1:5" x14ac:dyDescent="0.3">
      <c r="A15" s="107" t="s">
        <v>606</v>
      </c>
      <c r="B15" s="108" t="s">
        <v>463</v>
      </c>
      <c r="C15" s="109">
        <v>0.35</v>
      </c>
      <c r="D15" s="110">
        <v>795726.00624999998</v>
      </c>
      <c r="E15" s="110">
        <v>265242.00208333333</v>
      </c>
    </row>
    <row r="16" spans="1:5" x14ac:dyDescent="0.3">
      <c r="A16" s="107" t="s">
        <v>607</v>
      </c>
      <c r="B16" s="108" t="s">
        <v>688</v>
      </c>
      <c r="C16" s="109">
        <v>0.4</v>
      </c>
      <c r="D16" s="110">
        <v>909401.15</v>
      </c>
      <c r="E16" s="110">
        <v>227350.28750000001</v>
      </c>
    </row>
    <row r="17" spans="1:30" x14ac:dyDescent="0.3">
      <c r="A17" s="107" t="s">
        <v>608</v>
      </c>
      <c r="B17" s="108">
        <v>4</v>
      </c>
      <c r="C17" s="109">
        <v>0.25</v>
      </c>
      <c r="D17" s="110">
        <v>568375.71875</v>
      </c>
      <c r="E17" s="110">
        <v>142093.9296875</v>
      </c>
    </row>
    <row r="18" spans="1:30" x14ac:dyDescent="0.3">
      <c r="B18" s="1" t="s">
        <v>467</v>
      </c>
      <c r="C18" s="3">
        <v>1</v>
      </c>
      <c r="D18" s="112">
        <v>2273502.875</v>
      </c>
    </row>
    <row r="21" spans="1:30" x14ac:dyDescent="0.3">
      <c r="Q21" s="115"/>
    </row>
    <row r="22" spans="1:30" x14ac:dyDescent="0.3">
      <c r="A22" s="100" t="s">
        <v>769</v>
      </c>
      <c r="B22" s="769">
        <v>537211</v>
      </c>
      <c r="D22" s="1" t="s">
        <v>470</v>
      </c>
      <c r="E22" s="1"/>
      <c r="F22" s="2" t="s">
        <v>471</v>
      </c>
      <c r="G22" s="1" t="s">
        <v>472</v>
      </c>
      <c r="H22" s="1"/>
      <c r="I22" s="1"/>
      <c r="J22" s="304">
        <v>0.8</v>
      </c>
      <c r="K22" s="304"/>
    </row>
    <row r="23" spans="1:30" x14ac:dyDescent="0.3">
      <c r="A23" s="714" t="s">
        <v>579</v>
      </c>
      <c r="B23" s="770">
        <v>338081</v>
      </c>
      <c r="D23" s="1" t="s">
        <v>473</v>
      </c>
      <c r="E23" s="1"/>
      <c r="F23" s="2" t="s">
        <v>934</v>
      </c>
      <c r="G23" s="1" t="s">
        <v>473</v>
      </c>
      <c r="H23" s="1"/>
      <c r="I23" s="1"/>
      <c r="J23" s="1">
        <v>79</v>
      </c>
      <c r="K23" s="1"/>
    </row>
    <row r="24" spans="1:30" x14ac:dyDescent="0.3">
      <c r="D24" s="1" t="s">
        <v>475</v>
      </c>
      <c r="E24" s="1"/>
      <c r="F24" s="2" t="s">
        <v>935</v>
      </c>
      <c r="G24" s="1" t="s">
        <v>475</v>
      </c>
      <c r="H24" s="1"/>
      <c r="I24" s="1"/>
      <c r="J24" s="95">
        <v>6355</v>
      </c>
      <c r="K24" s="1"/>
      <c r="P24" s="115"/>
    </row>
    <row r="25" spans="1:30" x14ac:dyDescent="0.3">
      <c r="D25" s="1" t="s">
        <v>477</v>
      </c>
      <c r="E25" s="1"/>
      <c r="F25" s="2" t="s">
        <v>936</v>
      </c>
      <c r="G25" s="1" t="s">
        <v>477</v>
      </c>
      <c r="H25" s="1"/>
      <c r="I25" s="1"/>
      <c r="J25" s="95">
        <v>13807777</v>
      </c>
      <c r="K25" s="95"/>
    </row>
    <row r="26" spans="1:30" ht="18" x14ac:dyDescent="0.35">
      <c r="A26" s="1037" t="s">
        <v>479</v>
      </c>
      <c r="P26" s="115"/>
    </row>
    <row r="28" spans="1:30" x14ac:dyDescent="0.3">
      <c r="A28" s="2587" t="s">
        <v>480</v>
      </c>
      <c r="B28" s="2588"/>
      <c r="C28" s="2588"/>
      <c r="D28" s="2588"/>
      <c r="E28" s="2588"/>
      <c r="F28" s="2588"/>
      <c r="G28" s="2588"/>
      <c r="H28" s="2588"/>
      <c r="I28" s="2588"/>
      <c r="J28" s="2588"/>
      <c r="K28" s="2588"/>
      <c r="L28" s="2588"/>
      <c r="M28" s="2588"/>
      <c r="N28" s="2588"/>
      <c r="O28" s="2588"/>
      <c r="P28" s="2588"/>
      <c r="Q28" s="2588"/>
      <c r="R28" s="2589"/>
      <c r="S28" s="2564" t="s">
        <v>584</v>
      </c>
      <c r="T28" s="2564"/>
      <c r="U28" s="2564"/>
      <c r="V28" s="2564"/>
      <c r="W28" s="2564"/>
      <c r="X28" s="2564"/>
      <c r="Y28" s="2564"/>
      <c r="Z28" s="2564"/>
      <c r="AA28" s="2564"/>
      <c r="AB28" s="2564"/>
      <c r="AC28" s="2564"/>
      <c r="AD28" s="2576"/>
    </row>
    <row r="29" spans="1:30" ht="18" x14ac:dyDescent="0.3">
      <c r="A29" s="2722" t="s">
        <v>482</v>
      </c>
      <c r="B29" s="2723" t="s">
        <v>483</v>
      </c>
      <c r="C29" s="2723" t="s">
        <v>484</v>
      </c>
      <c r="D29" s="2723" t="s">
        <v>485</v>
      </c>
      <c r="E29" s="2723" t="s">
        <v>486</v>
      </c>
      <c r="F29" s="2724" t="s">
        <v>487</v>
      </c>
      <c r="G29" s="2723" t="s">
        <v>488</v>
      </c>
      <c r="H29" s="2723" t="s">
        <v>489</v>
      </c>
      <c r="I29" s="1381" t="s">
        <v>490</v>
      </c>
      <c r="J29" s="1381"/>
      <c r="K29" s="1381"/>
      <c r="L29" s="1381"/>
      <c r="M29" s="1382" t="s">
        <v>491</v>
      </c>
      <c r="N29" s="1383" t="s">
        <v>492</v>
      </c>
      <c r="O29" s="1384" t="s">
        <v>493</v>
      </c>
      <c r="P29" s="1383" t="s">
        <v>492</v>
      </c>
      <c r="Q29" s="1383" t="s">
        <v>494</v>
      </c>
      <c r="R29" s="1385" t="s">
        <v>495</v>
      </c>
      <c r="S29" s="1052" t="s">
        <v>496</v>
      </c>
      <c r="T29" s="2580" t="s">
        <v>497</v>
      </c>
      <c r="U29" s="2580"/>
      <c r="V29" s="2580"/>
      <c r="W29" s="2580"/>
      <c r="X29" s="2580"/>
      <c r="Y29" s="2582" t="s">
        <v>498</v>
      </c>
      <c r="Z29" s="2581"/>
      <c r="AA29" s="2582" t="s">
        <v>499</v>
      </c>
      <c r="AB29" s="2581"/>
      <c r="AC29" s="2581"/>
      <c r="AD29" s="2583"/>
    </row>
    <row r="30" spans="1:30" ht="18" x14ac:dyDescent="0.3">
      <c r="A30" s="2722"/>
      <c r="B30" s="2723"/>
      <c r="C30" s="2723"/>
      <c r="D30" s="2723"/>
      <c r="E30" s="2723"/>
      <c r="F30" s="2724"/>
      <c r="G30" s="2723"/>
      <c r="H30" s="2723"/>
      <c r="I30" s="1386" t="s">
        <v>500</v>
      </c>
      <c r="J30" s="1386" t="s">
        <v>501</v>
      </c>
      <c r="K30" s="1386" t="s">
        <v>502</v>
      </c>
      <c r="L30" s="1386" t="s">
        <v>503</v>
      </c>
      <c r="M30" s="1382" t="s">
        <v>504</v>
      </c>
      <c r="N30" s="1383" t="s">
        <v>505</v>
      </c>
      <c r="O30" s="1384" t="s">
        <v>506</v>
      </c>
      <c r="P30" s="1383" t="s">
        <v>507</v>
      </c>
      <c r="Q30" s="1383" t="s">
        <v>507</v>
      </c>
      <c r="R30" s="1385"/>
      <c r="S30" s="1052" t="s">
        <v>508</v>
      </c>
      <c r="T30" s="2581"/>
      <c r="U30" s="2581"/>
      <c r="V30" s="2581"/>
      <c r="W30" s="2581"/>
      <c r="X30" s="2581"/>
      <c r="Y30" s="2582"/>
      <c r="Z30" s="2581"/>
      <c r="AA30" s="2582"/>
      <c r="AB30" s="2581"/>
      <c r="AC30" s="2581"/>
      <c r="AD30" s="2583"/>
    </row>
    <row r="31" spans="1:30" ht="18" x14ac:dyDescent="0.35">
      <c r="A31" s="2262" t="s">
        <v>509</v>
      </c>
      <c r="B31" s="2263"/>
      <c r="C31" s="2263"/>
      <c r="D31" s="2263"/>
      <c r="E31" s="2263"/>
      <c r="F31" s="2263"/>
      <c r="G31" s="2263"/>
      <c r="H31" s="2263"/>
      <c r="I31" s="2263"/>
      <c r="J31" s="2263"/>
      <c r="K31" s="2263"/>
      <c r="L31" s="2263"/>
      <c r="M31" s="2263"/>
      <c r="N31" s="2263"/>
      <c r="O31" s="2263"/>
      <c r="P31" s="2263"/>
      <c r="Q31" s="2263"/>
      <c r="R31" s="2263"/>
      <c r="S31" s="1387"/>
      <c r="T31" s="563" t="s">
        <v>510</v>
      </c>
      <c r="U31" s="561" t="s">
        <v>11</v>
      </c>
      <c r="V31" s="561" t="s">
        <v>511</v>
      </c>
      <c r="W31" s="561" t="s">
        <v>512</v>
      </c>
      <c r="X31" s="561" t="s">
        <v>513</v>
      </c>
      <c r="Y31" s="563" t="s">
        <v>514</v>
      </c>
      <c r="Z31" s="561" t="s">
        <v>515</v>
      </c>
      <c r="AA31" s="563" t="s">
        <v>154</v>
      </c>
      <c r="AB31" s="561" t="s">
        <v>6</v>
      </c>
      <c r="AC31" s="561" t="s">
        <v>181</v>
      </c>
      <c r="AD31" s="562" t="s">
        <v>5</v>
      </c>
    </row>
    <row r="32" spans="1:30" x14ac:dyDescent="0.3">
      <c r="A32" s="172"/>
      <c r="B32" s="157"/>
      <c r="C32" s="157"/>
      <c r="D32" s="157"/>
      <c r="E32" s="157"/>
      <c r="F32" s="158"/>
      <c r="G32" s="157"/>
      <c r="H32" s="157"/>
      <c r="M32" s="157"/>
      <c r="N32" s="166"/>
      <c r="O32" s="173"/>
      <c r="P32" s="166"/>
      <c r="Q32" s="166"/>
      <c r="R32" s="167"/>
      <c r="S32" s="283"/>
      <c r="T32" s="280"/>
      <c r="Y32" s="280"/>
      <c r="AA32" s="280"/>
      <c r="AD32" s="152"/>
    </row>
    <row r="33" spans="1:30" x14ac:dyDescent="0.3">
      <c r="A33" s="157" t="s">
        <v>937</v>
      </c>
      <c r="B33" s="157" t="s">
        <v>182</v>
      </c>
      <c r="C33" s="157" t="s">
        <v>938</v>
      </c>
      <c r="D33" s="157" t="s">
        <v>26</v>
      </c>
      <c r="E33" s="157" t="s">
        <v>520</v>
      </c>
      <c r="F33" s="158" t="s">
        <v>654</v>
      </c>
      <c r="G33" s="157">
        <v>2</v>
      </c>
      <c r="H33" s="157" t="s">
        <v>24</v>
      </c>
      <c r="I33" s="175">
        <v>2</v>
      </c>
      <c r="J33" s="176"/>
      <c r="K33" s="176"/>
      <c r="L33" s="177"/>
      <c r="M33" s="157">
        <v>1</v>
      </c>
      <c r="N33" s="503">
        <v>21600</v>
      </c>
      <c r="O33" s="173">
        <v>0.45</v>
      </c>
      <c r="P33" s="503">
        <f t="shared" ref="P33:P40" si="0">N33*(1-O33)</f>
        <v>11880.000000000002</v>
      </c>
      <c r="Q33" s="503">
        <f>P33*M33*G33</f>
        <v>23760.000000000004</v>
      </c>
      <c r="R33" s="1054">
        <f t="shared" ref="R33:R40" si="1">Q33/$Q$47</f>
        <v>9.0349450455931998E-2</v>
      </c>
      <c r="S33" s="150">
        <f>Q33*2</f>
        <v>47520.000000000007</v>
      </c>
      <c r="T33" s="282">
        <f>S33</f>
        <v>47520.000000000007</v>
      </c>
      <c r="U33" s="169"/>
      <c r="V33" s="169"/>
      <c r="W33" s="169"/>
      <c r="X33" s="169"/>
      <c r="Y33" s="282">
        <f>S33</f>
        <v>47520.000000000007</v>
      </c>
      <c r="Z33" s="169"/>
      <c r="AA33" s="282">
        <f>S33</f>
        <v>47520.000000000007</v>
      </c>
      <c r="AD33" s="152"/>
    </row>
    <row r="34" spans="1:30" x14ac:dyDescent="0.3">
      <c r="A34" s="157" t="s">
        <v>937</v>
      </c>
      <c r="B34" s="157" t="s">
        <v>182</v>
      </c>
      <c r="C34" s="157" t="s">
        <v>938</v>
      </c>
      <c r="D34" s="157" t="s">
        <v>29</v>
      </c>
      <c r="E34" s="157" t="s">
        <v>520</v>
      </c>
      <c r="F34" s="158" t="s">
        <v>645</v>
      </c>
      <c r="G34" s="157">
        <v>1</v>
      </c>
      <c r="H34" s="157" t="s">
        <v>24</v>
      </c>
      <c r="I34" s="175">
        <v>1</v>
      </c>
      <c r="J34" s="176"/>
      <c r="K34" s="176"/>
      <c r="L34" s="177"/>
      <c r="M34" s="157">
        <v>1</v>
      </c>
      <c r="N34" s="503">
        <v>33075</v>
      </c>
      <c r="O34" s="173">
        <v>0.45</v>
      </c>
      <c r="P34" s="503">
        <f t="shared" si="0"/>
        <v>18191.25</v>
      </c>
      <c r="Q34" s="503">
        <f t="shared" ref="Q34:Q40" si="2">P34*M34*G34</f>
        <v>18191.25</v>
      </c>
      <c r="R34" s="1054">
        <f t="shared" si="1"/>
        <v>6.9173798005322931E-2</v>
      </c>
      <c r="S34" s="150">
        <f t="shared" ref="S34:S45" si="3">Q34*2</f>
        <v>36382.5</v>
      </c>
      <c r="T34" s="282">
        <f>S34</f>
        <v>36382.5</v>
      </c>
      <c r="U34" s="169"/>
      <c r="V34" s="169"/>
      <c r="W34" s="169"/>
      <c r="X34" s="169"/>
      <c r="Y34" s="282">
        <f>S34</f>
        <v>36382.5</v>
      </c>
      <c r="Z34" s="169"/>
      <c r="AA34" s="282">
        <f>S34</f>
        <v>36382.5</v>
      </c>
      <c r="AD34" s="152"/>
    </row>
    <row r="35" spans="1:30" x14ac:dyDescent="0.3">
      <c r="A35" s="157" t="s">
        <v>937</v>
      </c>
      <c r="B35" s="157" t="s">
        <v>182</v>
      </c>
      <c r="C35" s="157" t="s">
        <v>938</v>
      </c>
      <c r="D35" s="157" t="s">
        <v>102</v>
      </c>
      <c r="E35" s="157" t="s">
        <v>518</v>
      </c>
      <c r="F35" s="158" t="s">
        <v>939</v>
      </c>
      <c r="G35" s="157">
        <v>3</v>
      </c>
      <c r="H35" s="157" t="s">
        <v>24</v>
      </c>
      <c r="I35" s="175">
        <v>3</v>
      </c>
      <c r="J35" s="176"/>
      <c r="K35" s="176"/>
      <c r="L35" s="177"/>
      <c r="M35" s="157">
        <v>1</v>
      </c>
      <c r="N35" s="503">
        <v>15900</v>
      </c>
      <c r="O35" s="173">
        <v>0.3</v>
      </c>
      <c r="P35" s="503">
        <f t="shared" si="0"/>
        <v>11130</v>
      </c>
      <c r="Q35" s="503">
        <f t="shared" si="2"/>
        <v>33390</v>
      </c>
      <c r="R35" s="167">
        <f t="shared" si="1"/>
        <v>0.12696835651193472</v>
      </c>
      <c r="S35" s="150">
        <f t="shared" si="3"/>
        <v>66780</v>
      </c>
      <c r="T35" s="282">
        <f>S35</f>
        <v>66780</v>
      </c>
      <c r="U35" s="169"/>
      <c r="V35" s="169"/>
      <c r="W35" s="169"/>
      <c r="X35" s="169"/>
      <c r="Y35" s="282"/>
      <c r="Z35" s="169">
        <f>S35</f>
        <v>66780</v>
      </c>
      <c r="AA35" s="282">
        <f>S35</f>
        <v>66780</v>
      </c>
      <c r="AD35" s="152"/>
    </row>
    <row r="36" spans="1:30" x14ac:dyDescent="0.3">
      <c r="A36" s="157" t="s">
        <v>937</v>
      </c>
      <c r="B36" s="157" t="s">
        <v>183</v>
      </c>
      <c r="C36" s="157" t="s">
        <v>940</v>
      </c>
      <c r="D36" s="157" t="s">
        <v>184</v>
      </c>
      <c r="E36" s="157" t="s">
        <v>518</v>
      </c>
      <c r="F36" s="158" t="s">
        <v>185</v>
      </c>
      <c r="G36" s="157">
        <v>1</v>
      </c>
      <c r="H36" s="157" t="s">
        <v>106</v>
      </c>
      <c r="I36" s="175">
        <v>30</v>
      </c>
      <c r="J36" s="688"/>
      <c r="K36" s="179"/>
      <c r="L36" s="180"/>
      <c r="M36" s="157">
        <v>1</v>
      </c>
      <c r="N36" s="503">
        <v>52500</v>
      </c>
      <c r="O36" s="173">
        <v>0.45</v>
      </c>
      <c r="P36" s="503">
        <f t="shared" si="0"/>
        <v>28875.000000000004</v>
      </c>
      <c r="Q36" s="503">
        <f t="shared" si="2"/>
        <v>28875.000000000004</v>
      </c>
      <c r="R36" s="167">
        <f t="shared" si="1"/>
        <v>0.10979967937352847</v>
      </c>
      <c r="S36" s="150">
        <f t="shared" si="3"/>
        <v>57750.000000000007</v>
      </c>
      <c r="T36" s="282"/>
      <c r="U36" s="169">
        <f>S36</f>
        <v>57750.000000000007</v>
      </c>
      <c r="V36" s="169"/>
      <c r="W36" s="169"/>
      <c r="X36" s="169"/>
      <c r="Y36" s="282"/>
      <c r="Z36" s="169">
        <f>S36</f>
        <v>57750.000000000007</v>
      </c>
      <c r="AA36" s="280"/>
      <c r="AB36" s="169">
        <f>S36</f>
        <v>57750.000000000007</v>
      </c>
      <c r="AD36" s="152"/>
    </row>
    <row r="37" spans="1:30" x14ac:dyDescent="0.3">
      <c r="A37" s="157" t="s">
        <v>937</v>
      </c>
      <c r="B37" s="157" t="s">
        <v>183</v>
      </c>
      <c r="C37" s="157" t="s">
        <v>938</v>
      </c>
      <c r="D37" s="157" t="s">
        <v>102</v>
      </c>
      <c r="E37" s="157" t="s">
        <v>518</v>
      </c>
      <c r="F37" s="158" t="s">
        <v>939</v>
      </c>
      <c r="G37" s="157">
        <v>1</v>
      </c>
      <c r="H37" s="157" t="s">
        <v>22</v>
      </c>
      <c r="I37" s="772"/>
      <c r="K37" s="285">
        <v>1</v>
      </c>
      <c r="L37" s="285">
        <v>1</v>
      </c>
      <c r="M37" s="163">
        <v>2</v>
      </c>
      <c r="N37" s="503">
        <v>20800</v>
      </c>
      <c r="O37" s="173">
        <v>0.45</v>
      </c>
      <c r="P37" s="503">
        <f t="shared" si="0"/>
        <v>11440.000000000002</v>
      </c>
      <c r="Q37" s="503">
        <f t="shared" si="2"/>
        <v>22880.000000000004</v>
      </c>
      <c r="R37" s="167">
        <f t="shared" si="1"/>
        <v>8.7003174513119702E-2</v>
      </c>
      <c r="S37" s="150">
        <f t="shared" si="3"/>
        <v>45760.000000000007</v>
      </c>
      <c r="T37" s="282">
        <f>S37</f>
        <v>45760.000000000007</v>
      </c>
      <c r="U37" s="169"/>
      <c r="V37" s="169"/>
      <c r="W37" s="169"/>
      <c r="X37" s="169"/>
      <c r="Y37" s="282"/>
      <c r="Z37" s="169">
        <f>S37</f>
        <v>45760.000000000007</v>
      </c>
      <c r="AA37" s="280"/>
      <c r="AB37" s="169">
        <f>S37</f>
        <v>45760.000000000007</v>
      </c>
      <c r="AD37" s="152"/>
    </row>
    <row r="38" spans="1:30" x14ac:dyDescent="0.3">
      <c r="A38" s="157" t="s">
        <v>937</v>
      </c>
      <c r="B38" s="157" t="s">
        <v>183</v>
      </c>
      <c r="C38" s="157" t="s">
        <v>940</v>
      </c>
      <c r="D38" s="157" t="s">
        <v>184</v>
      </c>
      <c r="E38" s="157" t="s">
        <v>520</v>
      </c>
      <c r="F38" s="158" t="s">
        <v>941</v>
      </c>
      <c r="G38" s="157">
        <v>1</v>
      </c>
      <c r="H38" s="157" t="s">
        <v>106</v>
      </c>
      <c r="I38" s="772"/>
      <c r="K38" s="176">
        <v>30</v>
      </c>
      <c r="L38" s="177"/>
      <c r="M38" s="163">
        <v>1</v>
      </c>
      <c r="N38" s="503">
        <v>69000</v>
      </c>
      <c r="O38" s="173">
        <v>0.45</v>
      </c>
      <c r="P38" s="503">
        <f t="shared" si="0"/>
        <v>37950</v>
      </c>
      <c r="Q38" s="503">
        <f t="shared" si="2"/>
        <v>37950</v>
      </c>
      <c r="R38" s="1054">
        <f t="shared" si="1"/>
        <v>0.14430815003378025</v>
      </c>
      <c r="S38" s="150">
        <f t="shared" si="3"/>
        <v>75900</v>
      </c>
      <c r="T38" s="282"/>
      <c r="U38" s="169">
        <f>S38</f>
        <v>75900</v>
      </c>
      <c r="V38" s="169"/>
      <c r="W38" s="169"/>
      <c r="X38" s="169"/>
      <c r="Y38" s="282">
        <f>S38</f>
        <v>75900</v>
      </c>
      <c r="Z38" s="169"/>
      <c r="AA38" s="280"/>
      <c r="AB38" s="169">
        <f>S38</f>
        <v>75900</v>
      </c>
      <c r="AD38" s="152"/>
    </row>
    <row r="39" spans="1:30" x14ac:dyDescent="0.3">
      <c r="A39" s="157" t="s">
        <v>937</v>
      </c>
      <c r="B39" s="157" t="s">
        <v>186</v>
      </c>
      <c r="C39" s="157" t="s">
        <v>938</v>
      </c>
      <c r="D39" s="157" t="s">
        <v>102</v>
      </c>
      <c r="E39" s="157" t="s">
        <v>518</v>
      </c>
      <c r="F39" s="158" t="s">
        <v>939</v>
      </c>
      <c r="G39" s="157">
        <v>4</v>
      </c>
      <c r="H39" s="157" t="s">
        <v>106</v>
      </c>
      <c r="I39" s="175">
        <v>4</v>
      </c>
      <c r="J39" s="688"/>
      <c r="K39" s="179"/>
      <c r="L39" s="180"/>
      <c r="M39" s="163">
        <v>1</v>
      </c>
      <c r="N39" s="503">
        <v>37201</v>
      </c>
      <c r="O39" s="173">
        <v>0.83499999999999996</v>
      </c>
      <c r="P39" s="503">
        <f>N39*(1-O39)</f>
        <v>6138.1650000000009</v>
      </c>
      <c r="Q39" s="503">
        <f t="shared" si="2"/>
        <v>24552.660000000003</v>
      </c>
      <c r="R39" s="167">
        <f t="shared" si="1"/>
        <v>9.3363608511420171E-2</v>
      </c>
      <c r="S39" s="150">
        <f t="shared" si="3"/>
        <v>49105.320000000007</v>
      </c>
      <c r="T39" s="282">
        <f>S39</f>
        <v>49105.320000000007</v>
      </c>
      <c r="U39" s="169"/>
      <c r="V39" s="169"/>
      <c r="W39" s="169"/>
      <c r="X39" s="169"/>
      <c r="Y39" s="282"/>
      <c r="Z39" s="169">
        <f>S39</f>
        <v>49105.320000000007</v>
      </c>
      <c r="AA39" s="280"/>
      <c r="AC39" s="169">
        <f>S39</f>
        <v>49105.320000000007</v>
      </c>
      <c r="AD39" s="152"/>
    </row>
    <row r="40" spans="1:30" x14ac:dyDescent="0.3">
      <c r="A40" s="157" t="s">
        <v>937</v>
      </c>
      <c r="B40" s="157" t="s">
        <v>108</v>
      </c>
      <c r="C40" s="157" t="s">
        <v>942</v>
      </c>
      <c r="D40" s="157" t="s">
        <v>187</v>
      </c>
      <c r="E40" s="157" t="s">
        <v>520</v>
      </c>
      <c r="F40" s="158" t="s">
        <v>939</v>
      </c>
      <c r="G40" s="157">
        <v>1</v>
      </c>
      <c r="H40" s="157" t="s">
        <v>22</v>
      </c>
      <c r="K40" s="688">
        <v>60</v>
      </c>
      <c r="L40" s="774"/>
      <c r="M40" s="163">
        <v>1</v>
      </c>
      <c r="N40" s="166">
        <v>51600</v>
      </c>
      <c r="O40" s="173">
        <v>0.45</v>
      </c>
      <c r="P40" s="166">
        <f t="shared" si="0"/>
        <v>28380.000000000004</v>
      </c>
      <c r="Q40" s="166">
        <f t="shared" si="2"/>
        <v>28380.000000000004</v>
      </c>
      <c r="R40" s="1054">
        <f t="shared" si="1"/>
        <v>0.10791739915569655</v>
      </c>
      <c r="S40" s="150">
        <f t="shared" si="3"/>
        <v>56760.000000000007</v>
      </c>
      <c r="T40" s="282"/>
      <c r="U40" s="169">
        <f>S40</f>
        <v>56760.000000000007</v>
      </c>
      <c r="V40" s="169"/>
      <c r="W40" s="169"/>
      <c r="X40" s="169"/>
      <c r="Y40" s="282">
        <f>S40</f>
        <v>56760.000000000007</v>
      </c>
      <c r="Z40" s="169"/>
      <c r="AA40" s="280"/>
      <c r="AD40" s="171">
        <f>S40</f>
        <v>56760.000000000007</v>
      </c>
    </row>
    <row r="41" spans="1:30" x14ac:dyDescent="0.3">
      <c r="A41" s="157"/>
      <c r="B41" s="157"/>
      <c r="C41" s="157"/>
      <c r="D41" s="157"/>
      <c r="E41" s="157"/>
      <c r="F41" s="158"/>
      <c r="G41" s="157"/>
      <c r="H41" s="157"/>
      <c r="M41" s="157"/>
      <c r="N41" s="166"/>
      <c r="O41" s="173"/>
      <c r="P41" s="166"/>
      <c r="Q41" s="166"/>
      <c r="R41" s="167"/>
      <c r="S41" s="150"/>
      <c r="T41" s="282"/>
      <c r="U41" s="169"/>
      <c r="Y41" s="280"/>
      <c r="Z41" s="169"/>
      <c r="AA41" s="280"/>
      <c r="AD41" s="152"/>
    </row>
    <row r="42" spans="1:30" x14ac:dyDescent="0.3">
      <c r="A42" s="157"/>
      <c r="B42" s="157"/>
      <c r="C42" s="157"/>
      <c r="D42" s="157"/>
      <c r="E42" s="157"/>
      <c r="F42" s="158"/>
      <c r="G42" s="157"/>
      <c r="H42" s="157"/>
      <c r="M42" s="157"/>
      <c r="N42" s="166"/>
      <c r="O42" s="173"/>
      <c r="P42" s="166"/>
      <c r="Q42" s="166"/>
      <c r="R42" s="167"/>
      <c r="S42" s="150"/>
      <c r="T42" s="282"/>
      <c r="Y42" s="282"/>
      <c r="AA42" s="280"/>
      <c r="AD42" s="152"/>
    </row>
    <row r="43" spans="1:30" x14ac:dyDescent="0.3">
      <c r="A43" s="172"/>
      <c r="B43" s="157"/>
      <c r="C43" s="157"/>
      <c r="D43" s="157"/>
      <c r="E43" s="157"/>
      <c r="F43" s="158"/>
      <c r="G43" s="157"/>
      <c r="H43" s="157"/>
      <c r="M43" s="157"/>
      <c r="N43" s="166"/>
      <c r="O43" s="173"/>
      <c r="P43" s="166"/>
      <c r="Q43" s="166"/>
      <c r="R43" s="393"/>
      <c r="S43" s="150"/>
      <c r="T43" s="280"/>
      <c r="Y43" s="280"/>
      <c r="AA43" s="280"/>
      <c r="AD43" s="152"/>
    </row>
    <row r="44" spans="1:30" x14ac:dyDescent="0.3">
      <c r="A44" s="108" t="s">
        <v>937</v>
      </c>
      <c r="B44" s="108" t="s">
        <v>528</v>
      </c>
      <c r="C44" s="289"/>
      <c r="D44" s="252"/>
      <c r="E44" s="252"/>
      <c r="F44" s="253"/>
      <c r="G44" s="252"/>
      <c r="H44" s="252"/>
      <c r="I44" s="254"/>
      <c r="J44" s="254"/>
      <c r="K44" s="254"/>
      <c r="L44" s="254"/>
      <c r="M44" s="252"/>
      <c r="N44" s="255"/>
      <c r="O44" s="256"/>
      <c r="P44" s="290"/>
      <c r="Q44" s="257"/>
      <c r="R44" s="291"/>
      <c r="S44" s="150"/>
      <c r="T44" s="280"/>
      <c r="W44" s="169"/>
      <c r="Y44" s="280"/>
      <c r="AA44" s="280"/>
      <c r="AD44" s="152"/>
    </row>
    <row r="45" spans="1:30" x14ac:dyDescent="0.3">
      <c r="A45" s="108" t="s">
        <v>937</v>
      </c>
      <c r="B45" s="108" t="s">
        <v>529</v>
      </c>
      <c r="C45" s="289"/>
      <c r="D45" s="252"/>
      <c r="E45" s="252"/>
      <c r="F45" s="253"/>
      <c r="G45" s="252"/>
      <c r="H45" s="252"/>
      <c r="I45" s="254"/>
      <c r="J45" s="254"/>
      <c r="K45" s="254"/>
      <c r="L45" s="254"/>
      <c r="M45" s="252"/>
      <c r="N45" s="255"/>
      <c r="O45" s="256"/>
      <c r="P45" s="290"/>
      <c r="Q45" s="257">
        <v>45000</v>
      </c>
      <c r="R45" s="291">
        <f>Q45/Q47</f>
        <v>0.17111638343926514</v>
      </c>
      <c r="S45" s="150">
        <f t="shared" si="3"/>
        <v>90000</v>
      </c>
      <c r="T45" s="280"/>
      <c r="X45" s="169">
        <f>S45</f>
        <v>90000</v>
      </c>
      <c r="Y45" s="280"/>
      <c r="AA45" s="280"/>
      <c r="AD45" s="152"/>
    </row>
    <row r="46" spans="1:30" x14ac:dyDescent="0.3">
      <c r="I46" s="115">
        <f>I47/M47</f>
        <v>0.30303030303030304</v>
      </c>
      <c r="J46" s="115"/>
      <c r="K46" s="115">
        <f>K47/M47</f>
        <v>0.68939393939393945</v>
      </c>
      <c r="L46" s="115">
        <f>L47/M47</f>
        <v>7.575757575757576E-3</v>
      </c>
      <c r="S46" s="283"/>
      <c r="T46" s="280"/>
      <c r="Y46" s="280"/>
      <c r="AA46" s="566"/>
      <c r="AB46" s="245"/>
      <c r="AC46" s="245"/>
      <c r="AD46" s="567"/>
    </row>
    <row r="47" spans="1:30" x14ac:dyDescent="0.3">
      <c r="A47" s="212" t="s">
        <v>531</v>
      </c>
      <c r="B47" s="213"/>
      <c r="C47" s="213"/>
      <c r="D47" s="213"/>
      <c r="E47" s="213"/>
      <c r="F47" s="214"/>
      <c r="G47" s="213"/>
      <c r="H47" s="213"/>
      <c r="I47" s="690">
        <f>I39+I36+I35+I34+I33</f>
        <v>40</v>
      </c>
      <c r="J47" s="690"/>
      <c r="K47" s="690">
        <f>K40+K38+K37</f>
        <v>91</v>
      </c>
      <c r="L47" s="690">
        <f>L37</f>
        <v>1</v>
      </c>
      <c r="M47" s="213">
        <f>SUM(I47:L47)</f>
        <v>132</v>
      </c>
      <c r="N47" s="215"/>
      <c r="O47" s="216"/>
      <c r="P47" s="215"/>
      <c r="Q47" s="481">
        <f>SUM(Q33:Q46)</f>
        <v>262978.91000000003</v>
      </c>
      <c r="R47" s="218">
        <f>SUM(R33:R45)</f>
        <v>0.99999999999999989</v>
      </c>
      <c r="S47" s="1047">
        <f>SUM(S33:S46)</f>
        <v>525957.82000000007</v>
      </c>
      <c r="T47" s="569">
        <f t="shared" ref="T47:Z47" si="4">SUM(T33:T45)</f>
        <v>245547.82</v>
      </c>
      <c r="U47" s="570">
        <f t="shared" si="4"/>
        <v>190410</v>
      </c>
      <c r="V47" s="570">
        <f t="shared" si="4"/>
        <v>0</v>
      </c>
      <c r="W47" s="570">
        <f t="shared" si="4"/>
        <v>0</v>
      </c>
      <c r="X47" s="570">
        <f t="shared" si="4"/>
        <v>90000</v>
      </c>
      <c r="Y47" s="572">
        <f t="shared" si="4"/>
        <v>216562.5</v>
      </c>
      <c r="Z47" s="570">
        <f t="shared" si="4"/>
        <v>219395.32</v>
      </c>
      <c r="AA47" s="220">
        <f>SUM(AA32:AA46)</f>
        <v>150682.5</v>
      </c>
      <c r="AB47" s="221">
        <f>SUM(AB32:AB46)</f>
        <v>179410</v>
      </c>
      <c r="AC47" s="221">
        <f>SUM(AC32:AC46)</f>
        <v>49105.320000000007</v>
      </c>
      <c r="AD47" s="223">
        <f>SUM(AD32:AD46)</f>
        <v>56760.000000000007</v>
      </c>
    </row>
    <row r="48" spans="1:30" x14ac:dyDescent="0.3">
      <c r="A48" s="228" t="s">
        <v>532</v>
      </c>
      <c r="B48" s="229"/>
      <c r="C48" s="229"/>
      <c r="D48" s="229"/>
      <c r="E48" s="229"/>
      <c r="F48" s="230"/>
      <c r="G48" s="229"/>
      <c r="H48" s="229"/>
      <c r="I48" s="691">
        <f>I39+I36+I35+I34+I33</f>
        <v>40</v>
      </c>
      <c r="J48" s="691">
        <f>I39+I36+I35+I34+I33</f>
        <v>40</v>
      </c>
      <c r="K48" s="691">
        <f>K40+K38+K37+I35+I34+I33</f>
        <v>97</v>
      </c>
      <c r="L48" s="691">
        <f>K38+I35+I34+I33+L37</f>
        <v>37</v>
      </c>
      <c r="M48" s="229">
        <f>SUM(I48:L48)</f>
        <v>214</v>
      </c>
      <c r="N48" s="231"/>
      <c r="O48" s="232"/>
      <c r="P48" s="231"/>
      <c r="Q48" s="231"/>
      <c r="R48" s="233"/>
      <c r="S48" s="958">
        <f>Q47/M47</f>
        <v>1992.2644696969699</v>
      </c>
      <c r="T48" s="235">
        <f>T47/S47</f>
        <v>0.4668583879977295</v>
      </c>
      <c r="U48" s="236">
        <f>U47/S47</f>
        <v>0.36202522856300523</v>
      </c>
      <c r="V48" s="487"/>
      <c r="W48" s="236">
        <f>W47/S47</f>
        <v>0</v>
      </c>
      <c r="X48" s="236">
        <f>X47/S47</f>
        <v>0.17111638343926514</v>
      </c>
      <c r="Y48" s="298">
        <f>Y47/S47</f>
        <v>0.41174879765073169</v>
      </c>
      <c r="Z48" s="236">
        <f>Z47/S47</f>
        <v>0.41713481891000304</v>
      </c>
      <c r="AA48" s="743"/>
      <c r="AB48" s="487"/>
      <c r="AC48" s="487"/>
      <c r="AD48" s="242"/>
    </row>
    <row r="49" spans="1:30" x14ac:dyDescent="0.3">
      <c r="A49" s="243" t="s">
        <v>533</v>
      </c>
      <c r="B49" s="193"/>
      <c r="C49" s="193"/>
      <c r="D49" s="193"/>
      <c r="E49" s="193"/>
      <c r="F49" s="244"/>
      <c r="G49" s="193"/>
      <c r="H49" s="193"/>
      <c r="I49" s="2182">
        <f>I48/M48</f>
        <v>0.18691588785046728</v>
      </c>
      <c r="J49" s="2182">
        <f>J48/M48</f>
        <v>0.18691588785046728</v>
      </c>
      <c r="K49" s="2182">
        <f>K48/M48</f>
        <v>0.45327102803738317</v>
      </c>
      <c r="L49" s="2182">
        <f>L48/M48</f>
        <v>0.17289719626168223</v>
      </c>
      <c r="M49" s="196"/>
      <c r="N49" s="246"/>
      <c r="O49" s="196"/>
      <c r="P49" s="246"/>
      <c r="Q49" s="194">
        <f>T47/2</f>
        <v>122773.91</v>
      </c>
      <c r="R49" s="247">
        <f>Q49/Q53</f>
        <v>0.4668583879977295</v>
      </c>
      <c r="X49" s="248"/>
      <c r="Y49" s="357">
        <f>I33+I34+K38+K40</f>
        <v>93</v>
      </c>
      <c r="Z49" s="358">
        <f>I35+I36+K37+I39+L37</f>
        <v>39</v>
      </c>
    </row>
    <row r="50" spans="1:30" x14ac:dyDescent="0.3">
      <c r="A50" s="251" t="s">
        <v>11</v>
      </c>
      <c r="B50" s="252"/>
      <c r="C50" s="252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55"/>
      <c r="Q50" s="257">
        <f>U47/2</f>
        <v>95205</v>
      </c>
      <c r="R50" s="262">
        <f>Q50/Q53</f>
        <v>0.36202522856300523</v>
      </c>
      <c r="S50" s="1050">
        <f>Q47/M47</f>
        <v>1992.2644696969699</v>
      </c>
      <c r="T50" s="1051" t="s">
        <v>535</v>
      </c>
      <c r="Y50" s="195">
        <f>Y49/M47</f>
        <v>0.70454545454545459</v>
      </c>
      <c r="Z50" s="247">
        <f>Z49/M47</f>
        <v>0.29545454545454547</v>
      </c>
    </row>
    <row r="51" spans="1:30" x14ac:dyDescent="0.3">
      <c r="A51" s="251" t="s">
        <v>528</v>
      </c>
      <c r="B51" s="252"/>
      <c r="C51" s="252"/>
      <c r="D51" s="252"/>
      <c r="E51" s="252"/>
      <c r="F51" s="253"/>
      <c r="G51" s="252"/>
      <c r="H51" s="252"/>
      <c r="I51" s="254"/>
      <c r="J51" s="254"/>
      <c r="K51" s="254"/>
      <c r="L51" s="254"/>
      <c r="M51" s="252"/>
      <c r="N51" s="255"/>
      <c r="O51" s="256"/>
      <c r="P51" s="255"/>
      <c r="Q51" s="257">
        <f>Q44</f>
        <v>0</v>
      </c>
      <c r="R51" s="262">
        <f>Q51/Q47</f>
        <v>0</v>
      </c>
      <c r="W51" s="99"/>
      <c r="Y51" s="2551" t="s">
        <v>537</v>
      </c>
      <c r="Z51" s="2551"/>
    </row>
    <row r="52" spans="1:30" x14ac:dyDescent="0.3">
      <c r="A52" s="251" t="s">
        <v>529</v>
      </c>
      <c r="B52" s="252"/>
      <c r="C52" s="252"/>
      <c r="D52" s="252"/>
      <c r="E52" s="252"/>
      <c r="F52" s="253"/>
      <c r="G52" s="252"/>
      <c r="H52" s="252"/>
      <c r="I52" s="254"/>
      <c r="J52" s="254"/>
      <c r="K52" s="254"/>
      <c r="L52" s="254"/>
      <c r="M52" s="252"/>
      <c r="N52" s="255"/>
      <c r="O52" s="256"/>
      <c r="P52" s="255"/>
      <c r="Q52" s="257">
        <f>Q45</f>
        <v>45000</v>
      </c>
      <c r="R52" s="262">
        <f>Q52/Q53</f>
        <v>0.17111638343926514</v>
      </c>
    </row>
    <row r="53" spans="1:30" x14ac:dyDescent="0.3">
      <c r="A53" s="243"/>
      <c r="B53" s="193"/>
      <c r="C53" s="193"/>
      <c r="D53" s="193"/>
      <c r="E53" s="193"/>
      <c r="F53" s="244"/>
      <c r="G53" s="193"/>
      <c r="H53" s="193"/>
      <c r="I53" s="245"/>
      <c r="J53" s="245"/>
      <c r="K53" s="245"/>
      <c r="L53" s="245"/>
      <c r="M53" s="193"/>
      <c r="N53" s="246"/>
      <c r="O53" s="196"/>
      <c r="P53" s="246"/>
      <c r="Q53" s="194">
        <f>SUM(Q49:Q52)</f>
        <v>262978.91000000003</v>
      </c>
      <c r="R53" s="247">
        <f>SUM(R49:R52)</f>
        <v>0.99999999999999989</v>
      </c>
      <c r="S53" s="600"/>
    </row>
    <row r="55" spans="1:30" ht="18" x14ac:dyDescent="0.35">
      <c r="A55" s="1037" t="s">
        <v>538</v>
      </c>
    </row>
    <row r="57" spans="1:30" x14ac:dyDescent="0.3">
      <c r="A57" s="2560" t="s">
        <v>480</v>
      </c>
      <c r="B57" s="2561"/>
      <c r="C57" s="2561"/>
      <c r="D57" s="2561"/>
      <c r="E57" s="2561"/>
      <c r="F57" s="2561"/>
      <c r="G57" s="2561"/>
      <c r="H57" s="2561"/>
      <c r="I57" s="2561"/>
      <c r="J57" s="2561"/>
      <c r="K57" s="2561"/>
      <c r="L57" s="2561"/>
      <c r="M57" s="2561"/>
      <c r="N57" s="2561"/>
      <c r="O57" s="2561"/>
      <c r="P57" s="2561"/>
      <c r="Q57" s="2561"/>
      <c r="R57" s="2562"/>
      <c r="S57" s="2564" t="s">
        <v>584</v>
      </c>
      <c r="T57" s="2564"/>
      <c r="U57" s="2564"/>
      <c r="V57" s="2564"/>
      <c r="W57" s="2564"/>
      <c r="X57" s="2564"/>
      <c r="Y57" s="2564"/>
      <c r="Z57" s="2564"/>
      <c r="AA57" s="2564"/>
      <c r="AB57" s="2564"/>
      <c r="AC57" s="2564"/>
      <c r="AD57" s="2576"/>
    </row>
    <row r="58" spans="1:30" ht="18" x14ac:dyDescent="0.3">
      <c r="A58" s="2284" t="s">
        <v>482</v>
      </c>
      <c r="B58" s="2286" t="s">
        <v>483</v>
      </c>
      <c r="C58" s="2286" t="s">
        <v>484</v>
      </c>
      <c r="D58" s="2286" t="s">
        <v>485</v>
      </c>
      <c r="E58" s="2286" t="s">
        <v>486</v>
      </c>
      <c r="F58" s="2288" t="s">
        <v>487</v>
      </c>
      <c r="G58" s="2286" t="s">
        <v>488</v>
      </c>
      <c r="H58" s="2286" t="s">
        <v>489</v>
      </c>
      <c r="I58" s="2266" t="s">
        <v>490</v>
      </c>
      <c r="J58" s="2266"/>
      <c r="K58" s="2266"/>
      <c r="L58" s="2266"/>
      <c r="M58" s="265" t="s">
        <v>491</v>
      </c>
      <c r="N58" s="266" t="s">
        <v>492</v>
      </c>
      <c r="O58" s="267" t="s">
        <v>493</v>
      </c>
      <c r="P58" s="266" t="s">
        <v>492</v>
      </c>
      <c r="Q58" s="266" t="s">
        <v>494</v>
      </c>
      <c r="R58" s="2267" t="s">
        <v>495</v>
      </c>
      <c r="S58" s="1388" t="s">
        <v>496</v>
      </c>
      <c r="T58" s="2580" t="s">
        <v>497</v>
      </c>
      <c r="U58" s="2580"/>
      <c r="V58" s="2580"/>
      <c r="W58" s="2580"/>
      <c r="X58" s="2580"/>
      <c r="Y58" s="2582" t="s">
        <v>498</v>
      </c>
      <c r="Z58" s="2583"/>
      <c r="AA58" s="2608" t="s">
        <v>499</v>
      </c>
      <c r="AB58" s="2607"/>
      <c r="AC58" s="2607"/>
      <c r="AD58" s="2609"/>
    </row>
    <row r="59" spans="1:30" ht="18" x14ac:dyDescent="0.3">
      <c r="A59" s="2722"/>
      <c r="B59" s="2723"/>
      <c r="C59" s="2723"/>
      <c r="D59" s="2723"/>
      <c r="E59" s="2723"/>
      <c r="F59" s="2724"/>
      <c r="G59" s="2723"/>
      <c r="H59" s="2723"/>
      <c r="I59" s="1386" t="s">
        <v>500</v>
      </c>
      <c r="J59" s="1386" t="s">
        <v>501</v>
      </c>
      <c r="K59" s="1386" t="s">
        <v>502</v>
      </c>
      <c r="L59" s="1386" t="s">
        <v>503</v>
      </c>
      <c r="M59" s="1382" t="s">
        <v>504</v>
      </c>
      <c r="N59" s="1383" t="s">
        <v>505</v>
      </c>
      <c r="O59" s="1384" t="s">
        <v>506</v>
      </c>
      <c r="P59" s="1383" t="s">
        <v>507</v>
      </c>
      <c r="Q59" s="1383" t="s">
        <v>507</v>
      </c>
      <c r="R59" s="2721"/>
      <c r="S59" s="1038" t="s">
        <v>508</v>
      </c>
      <c r="T59" s="2581"/>
      <c r="U59" s="2581"/>
      <c r="V59" s="2581"/>
      <c r="W59" s="2581"/>
      <c r="X59" s="2581"/>
      <c r="Y59" s="2582"/>
      <c r="Z59" s="2583"/>
      <c r="AA59" s="2582"/>
      <c r="AB59" s="2581"/>
      <c r="AC59" s="2581"/>
      <c r="AD59" s="2583"/>
    </row>
    <row r="60" spans="1:30" ht="18" x14ac:dyDescent="0.35">
      <c r="A60" s="2262" t="s">
        <v>540</v>
      </c>
      <c r="B60" s="2263"/>
      <c r="C60" s="2263"/>
      <c r="D60" s="2263"/>
      <c r="E60" s="2263"/>
      <c r="F60" s="2263"/>
      <c r="G60" s="2263"/>
      <c r="H60" s="2263"/>
      <c r="I60" s="2263"/>
      <c r="J60" s="2263"/>
      <c r="K60" s="2263"/>
      <c r="L60" s="2263"/>
      <c r="M60" s="2263"/>
      <c r="N60" s="2263"/>
      <c r="O60" s="2263"/>
      <c r="P60" s="2263"/>
      <c r="Q60" s="2263"/>
      <c r="R60" s="2263"/>
      <c r="S60" s="1387"/>
      <c r="T60" s="563" t="s">
        <v>510</v>
      </c>
      <c r="U60" s="561" t="s">
        <v>11</v>
      </c>
      <c r="V60" s="561" t="s">
        <v>511</v>
      </c>
      <c r="W60" s="1389" t="s">
        <v>512</v>
      </c>
      <c r="X60" s="561" t="s">
        <v>513</v>
      </c>
      <c r="Y60" s="563" t="s">
        <v>514</v>
      </c>
      <c r="Z60" s="561" t="s">
        <v>515</v>
      </c>
      <c r="AA60" s="563" t="s">
        <v>154</v>
      </c>
      <c r="AB60" s="561" t="s">
        <v>6</v>
      </c>
      <c r="AC60" s="561" t="s">
        <v>181</v>
      </c>
      <c r="AD60" s="562" t="s">
        <v>5</v>
      </c>
    </row>
    <row r="61" spans="1:30" x14ac:dyDescent="0.3">
      <c r="A61" s="153"/>
      <c r="B61" s="462"/>
      <c r="C61" s="462"/>
      <c r="D61" s="462"/>
      <c r="E61" s="462"/>
      <c r="F61" s="463"/>
      <c r="G61" s="462"/>
      <c r="H61" s="462"/>
      <c r="I61" s="465"/>
      <c r="J61" s="465"/>
      <c r="K61" s="465"/>
      <c r="L61" s="465"/>
      <c r="M61" s="462"/>
      <c r="N61" s="468"/>
      <c r="O61" s="469"/>
      <c r="P61" s="468"/>
      <c r="Q61" s="468"/>
      <c r="R61" s="501"/>
      <c r="S61" s="283"/>
      <c r="T61" s="280"/>
      <c r="W61" s="465"/>
      <c r="Y61" s="280"/>
      <c r="AA61" s="280"/>
      <c r="AD61" s="152"/>
    </row>
    <row r="62" spans="1:30" x14ac:dyDescent="0.3">
      <c r="A62" s="156"/>
      <c r="B62" s="157"/>
      <c r="C62" s="157"/>
      <c r="D62" s="157"/>
      <c r="E62" s="157"/>
      <c r="F62" s="158"/>
      <c r="G62" s="157"/>
      <c r="H62" s="157"/>
      <c r="I62" s="592"/>
      <c r="J62" s="179"/>
      <c r="K62" s="179"/>
      <c r="L62" s="180"/>
      <c r="M62" s="157"/>
      <c r="N62" s="164"/>
      <c r="O62" s="165"/>
      <c r="P62" s="164"/>
      <c r="Q62" s="164"/>
      <c r="R62" s="1046"/>
      <c r="S62" s="565"/>
      <c r="T62" s="282"/>
      <c r="U62" s="169"/>
      <c r="V62" s="169"/>
      <c r="W62" s="169"/>
      <c r="Y62" s="282"/>
      <c r="Z62" s="169"/>
      <c r="AA62" s="280"/>
      <c r="AD62" s="152"/>
    </row>
    <row r="63" spans="1:30" x14ac:dyDescent="0.3">
      <c r="A63" s="156" t="s">
        <v>937</v>
      </c>
      <c r="B63" s="157" t="s">
        <v>182</v>
      </c>
      <c r="C63" s="157" t="s">
        <v>938</v>
      </c>
      <c r="D63" s="157" t="s">
        <v>26</v>
      </c>
      <c r="E63" s="157" t="s">
        <v>520</v>
      </c>
      <c r="F63" s="158" t="s">
        <v>654</v>
      </c>
      <c r="G63" s="157">
        <v>2</v>
      </c>
      <c r="H63" s="157" t="s">
        <v>24</v>
      </c>
      <c r="I63" s="175">
        <v>2</v>
      </c>
      <c r="J63" s="176"/>
      <c r="K63" s="176"/>
      <c r="L63" s="177"/>
      <c r="M63" s="163">
        <v>1</v>
      </c>
      <c r="N63" s="503">
        <v>21600</v>
      </c>
      <c r="O63" s="173">
        <v>0.45</v>
      </c>
      <c r="P63" s="503">
        <f t="shared" ref="P63:P67" si="5">N63*(1-O63)</f>
        <v>11880.000000000002</v>
      </c>
      <c r="Q63" s="503">
        <f>P63*M63*G63</f>
        <v>23760.000000000004</v>
      </c>
      <c r="R63" s="1390">
        <f t="shared" ref="R63:R70" si="6">Q63/$Q$76</f>
        <v>8.9199403257493898E-2</v>
      </c>
      <c r="S63" s="150">
        <f>Q63</f>
        <v>23760.000000000004</v>
      </c>
      <c r="T63" s="282">
        <f>S63</f>
        <v>23760.000000000004</v>
      </c>
      <c r="U63" s="169"/>
      <c r="V63" s="169"/>
      <c r="W63" s="169"/>
      <c r="Y63" s="282">
        <f>S63</f>
        <v>23760.000000000004</v>
      </c>
      <c r="Z63" s="169"/>
      <c r="AA63" s="282">
        <f>S63</f>
        <v>23760.000000000004</v>
      </c>
      <c r="AD63" s="152"/>
    </row>
    <row r="64" spans="1:30" x14ac:dyDescent="0.3">
      <c r="A64" s="156" t="s">
        <v>937</v>
      </c>
      <c r="B64" s="157" t="s">
        <v>182</v>
      </c>
      <c r="C64" s="157" t="s">
        <v>938</v>
      </c>
      <c r="D64" s="157" t="s">
        <v>102</v>
      </c>
      <c r="E64" s="157" t="s">
        <v>518</v>
      </c>
      <c r="F64" s="158" t="s">
        <v>939</v>
      </c>
      <c r="G64" s="157">
        <v>3</v>
      </c>
      <c r="H64" s="157" t="s">
        <v>24</v>
      </c>
      <c r="I64" s="175">
        <v>3</v>
      </c>
      <c r="J64" s="176"/>
      <c r="K64" s="176"/>
      <c r="L64" s="177"/>
      <c r="M64" s="163">
        <v>1</v>
      </c>
      <c r="N64" s="503">
        <v>15900</v>
      </c>
      <c r="O64" s="173">
        <v>0.3</v>
      </c>
      <c r="P64" s="503">
        <f t="shared" si="5"/>
        <v>11130</v>
      </c>
      <c r="Q64" s="503">
        <f t="shared" ref="Q64:Q69" si="7">P64*M64*G64</f>
        <v>33390</v>
      </c>
      <c r="R64" s="167">
        <f t="shared" si="6"/>
        <v>0.12535219169897815</v>
      </c>
      <c r="S64" s="150">
        <f t="shared" ref="S64:S70" si="8">Q64</f>
        <v>33390</v>
      </c>
      <c r="T64" s="282">
        <f>S64</f>
        <v>33390</v>
      </c>
      <c r="U64" s="169"/>
      <c r="V64" s="169"/>
      <c r="W64" s="169"/>
      <c r="Y64" s="282"/>
      <c r="Z64" s="169">
        <f>S64</f>
        <v>33390</v>
      </c>
      <c r="AA64" s="282">
        <f>S64</f>
        <v>33390</v>
      </c>
      <c r="AD64" s="152"/>
    </row>
    <row r="65" spans="1:30" x14ac:dyDescent="0.3">
      <c r="A65" s="156" t="s">
        <v>937</v>
      </c>
      <c r="B65" s="157" t="s">
        <v>183</v>
      </c>
      <c r="C65" s="157" t="s">
        <v>940</v>
      </c>
      <c r="D65" s="157" t="s">
        <v>184</v>
      </c>
      <c r="E65" s="157" t="s">
        <v>518</v>
      </c>
      <c r="F65" s="158" t="s">
        <v>185</v>
      </c>
      <c r="G65" s="157">
        <v>1</v>
      </c>
      <c r="H65" s="157" t="s">
        <v>106</v>
      </c>
      <c r="I65" s="175">
        <v>30</v>
      </c>
      <c r="J65" s="688"/>
      <c r="K65" s="179"/>
      <c r="L65" s="180"/>
      <c r="M65" s="163">
        <v>1</v>
      </c>
      <c r="N65" s="503">
        <v>52500</v>
      </c>
      <c r="O65" s="173">
        <v>0.45</v>
      </c>
      <c r="P65" s="503">
        <f t="shared" si="5"/>
        <v>28875.000000000004</v>
      </c>
      <c r="Q65" s="503">
        <f t="shared" si="7"/>
        <v>28875.000000000004</v>
      </c>
      <c r="R65" s="167">
        <f t="shared" si="6"/>
        <v>0.10840205256987105</v>
      </c>
      <c r="S65" s="150">
        <f t="shared" si="8"/>
        <v>28875.000000000004</v>
      </c>
      <c r="T65" s="282"/>
      <c r="U65" s="169">
        <f>S65</f>
        <v>28875.000000000004</v>
      </c>
      <c r="V65" s="169"/>
      <c r="W65" s="169"/>
      <c r="Y65" s="282"/>
      <c r="Z65" s="169">
        <f>S65</f>
        <v>28875.000000000004</v>
      </c>
      <c r="AA65" s="280"/>
      <c r="AB65" s="169">
        <f>S65</f>
        <v>28875.000000000004</v>
      </c>
      <c r="AD65" s="152"/>
    </row>
    <row r="66" spans="1:30" x14ac:dyDescent="0.3">
      <c r="A66" s="156" t="s">
        <v>937</v>
      </c>
      <c r="B66" s="157" t="s">
        <v>183</v>
      </c>
      <c r="C66" s="157" t="s">
        <v>938</v>
      </c>
      <c r="D66" s="157" t="s">
        <v>102</v>
      </c>
      <c r="E66" s="157" t="s">
        <v>518</v>
      </c>
      <c r="F66" s="158" t="s">
        <v>939</v>
      </c>
      <c r="G66" s="157">
        <v>1</v>
      </c>
      <c r="H66" s="157" t="s">
        <v>22</v>
      </c>
      <c r="I66" s="1391"/>
      <c r="K66" s="285">
        <v>1</v>
      </c>
      <c r="L66" s="1392">
        <v>1</v>
      </c>
      <c r="M66" s="163">
        <v>2</v>
      </c>
      <c r="N66" s="503">
        <v>20800</v>
      </c>
      <c r="O66" s="173">
        <v>0.45</v>
      </c>
      <c r="P66" s="503">
        <f t="shared" si="5"/>
        <v>11440.000000000002</v>
      </c>
      <c r="Q66" s="503">
        <f t="shared" si="7"/>
        <v>22880.000000000004</v>
      </c>
      <c r="R66" s="167">
        <f t="shared" si="6"/>
        <v>8.5895721655364493E-2</v>
      </c>
      <c r="S66" s="150">
        <f t="shared" si="8"/>
        <v>22880.000000000004</v>
      </c>
      <c r="T66" s="282">
        <f>S66</f>
        <v>22880.000000000004</v>
      </c>
      <c r="U66" s="169"/>
      <c r="V66" s="169"/>
      <c r="W66" s="169"/>
      <c r="Y66" s="282"/>
      <c r="Z66" s="169">
        <f>S66</f>
        <v>22880.000000000004</v>
      </c>
      <c r="AA66" s="280"/>
      <c r="AB66" s="169">
        <f>S66</f>
        <v>22880.000000000004</v>
      </c>
      <c r="AD66" s="152"/>
    </row>
    <row r="67" spans="1:30" x14ac:dyDescent="0.3">
      <c r="A67" s="156" t="s">
        <v>937</v>
      </c>
      <c r="B67" s="157" t="s">
        <v>183</v>
      </c>
      <c r="C67" s="157" t="s">
        <v>940</v>
      </c>
      <c r="D67" s="157" t="s">
        <v>184</v>
      </c>
      <c r="E67" s="157" t="s">
        <v>520</v>
      </c>
      <c r="F67" s="158" t="s">
        <v>941</v>
      </c>
      <c r="G67" s="157">
        <v>1</v>
      </c>
      <c r="H67" s="157" t="s">
        <v>106</v>
      </c>
      <c r="I67" s="1391"/>
      <c r="K67" s="176">
        <v>30</v>
      </c>
      <c r="L67" s="177"/>
      <c r="M67" s="163">
        <v>1</v>
      </c>
      <c r="N67" s="503">
        <v>69000</v>
      </c>
      <c r="O67" s="173">
        <v>0.45</v>
      </c>
      <c r="P67" s="503">
        <f t="shared" si="5"/>
        <v>37950</v>
      </c>
      <c r="Q67" s="503">
        <f t="shared" si="7"/>
        <v>37950</v>
      </c>
      <c r="R67" s="1390">
        <f t="shared" si="6"/>
        <v>0.1424712690918305</v>
      </c>
      <c r="S67" s="150">
        <f t="shared" si="8"/>
        <v>37950</v>
      </c>
      <c r="T67" s="282"/>
      <c r="U67" s="169">
        <f>S67</f>
        <v>37950</v>
      </c>
      <c r="V67" s="169"/>
      <c r="W67" s="169"/>
      <c r="Y67" s="282">
        <f>S67</f>
        <v>37950</v>
      </c>
      <c r="Z67" s="169"/>
      <c r="AA67" s="280"/>
      <c r="AB67" s="169">
        <f>S67</f>
        <v>37950</v>
      </c>
      <c r="AD67" s="152"/>
    </row>
    <row r="68" spans="1:30" x14ac:dyDescent="0.3">
      <c r="A68" s="156" t="s">
        <v>937</v>
      </c>
      <c r="B68" s="157" t="s">
        <v>186</v>
      </c>
      <c r="C68" s="157" t="s">
        <v>938</v>
      </c>
      <c r="D68" s="157" t="s">
        <v>102</v>
      </c>
      <c r="E68" s="157" t="s">
        <v>518</v>
      </c>
      <c r="F68" s="158" t="s">
        <v>939</v>
      </c>
      <c r="G68" s="157">
        <v>3</v>
      </c>
      <c r="H68" s="157" t="s">
        <v>106</v>
      </c>
      <c r="I68" s="175">
        <v>3</v>
      </c>
      <c r="J68" s="688"/>
      <c r="K68" s="179"/>
      <c r="L68" s="180"/>
      <c r="M68" s="163">
        <v>1</v>
      </c>
      <c r="N68" s="503">
        <v>37201</v>
      </c>
      <c r="O68" s="173">
        <v>0.83499999999999996</v>
      </c>
      <c r="P68" s="503">
        <f>N68*(1-O68)</f>
        <v>6138.1650000000009</v>
      </c>
      <c r="Q68" s="503">
        <f t="shared" si="7"/>
        <v>18414.495000000003</v>
      </c>
      <c r="R68" s="167">
        <f t="shared" si="6"/>
        <v>6.9131395845458965E-2</v>
      </c>
      <c r="S68" s="150">
        <f t="shared" si="8"/>
        <v>18414.495000000003</v>
      </c>
      <c r="T68" s="282">
        <f>S68</f>
        <v>18414.495000000003</v>
      </c>
      <c r="U68" s="169"/>
      <c r="V68" s="169"/>
      <c r="W68" s="169"/>
      <c r="Y68" s="282"/>
      <c r="Z68" s="169">
        <f>S68</f>
        <v>18414.495000000003</v>
      </c>
      <c r="AA68" s="280"/>
      <c r="AC68" s="169">
        <f>S68</f>
        <v>18414.495000000003</v>
      </c>
      <c r="AD68" s="152"/>
    </row>
    <row r="69" spans="1:30" x14ac:dyDescent="0.3">
      <c r="A69" s="156" t="s">
        <v>937</v>
      </c>
      <c r="B69" s="157" t="s">
        <v>108</v>
      </c>
      <c r="C69" s="157" t="s">
        <v>942</v>
      </c>
      <c r="D69" s="157" t="s">
        <v>187</v>
      </c>
      <c r="E69" s="157" t="s">
        <v>520</v>
      </c>
      <c r="F69" s="158" t="s">
        <v>939</v>
      </c>
      <c r="G69" s="157">
        <v>1</v>
      </c>
      <c r="H69" s="157" t="s">
        <v>22</v>
      </c>
      <c r="I69" s="185"/>
      <c r="J69" s="160"/>
      <c r="K69" s="688">
        <v>60</v>
      </c>
      <c r="L69" s="774"/>
      <c r="M69" s="163">
        <v>1</v>
      </c>
      <c r="N69" s="166">
        <v>51600</v>
      </c>
      <c r="O69" s="173">
        <v>0.45</v>
      </c>
      <c r="P69" s="166">
        <f t="shared" ref="P69:P70" si="9">N69*(1-O69)</f>
        <v>28380.000000000004</v>
      </c>
      <c r="Q69" s="166">
        <f t="shared" si="7"/>
        <v>28380.000000000004</v>
      </c>
      <c r="R69" s="1390">
        <f t="shared" si="6"/>
        <v>0.10654373166867326</v>
      </c>
      <c r="S69" s="150">
        <f t="shared" si="8"/>
        <v>28380.000000000004</v>
      </c>
      <c r="T69" s="282"/>
      <c r="U69" s="169">
        <f>S69</f>
        <v>28380.000000000004</v>
      </c>
      <c r="V69" s="169"/>
      <c r="W69" s="169"/>
      <c r="Y69" s="282">
        <f>S69</f>
        <v>28380.000000000004</v>
      </c>
      <c r="Z69" s="169"/>
      <c r="AA69" s="280"/>
      <c r="AD69" s="171">
        <f>S69</f>
        <v>28380.000000000004</v>
      </c>
    </row>
    <row r="70" spans="1:30" x14ac:dyDescent="0.3">
      <c r="A70" s="156" t="s">
        <v>937</v>
      </c>
      <c r="B70" s="157" t="s">
        <v>108</v>
      </c>
      <c r="C70" s="157" t="s">
        <v>943</v>
      </c>
      <c r="D70" s="157" t="s">
        <v>188</v>
      </c>
      <c r="E70" s="157" t="s">
        <v>520</v>
      </c>
      <c r="F70" s="158" t="s">
        <v>944</v>
      </c>
      <c r="G70" s="157">
        <v>1</v>
      </c>
      <c r="H70" s="157" t="s">
        <v>22</v>
      </c>
      <c r="I70" s="285">
        <v>70</v>
      </c>
      <c r="J70" s="285">
        <v>70</v>
      </c>
      <c r="M70" s="157">
        <v>2</v>
      </c>
      <c r="N70" s="166">
        <v>25200</v>
      </c>
      <c r="O70" s="173">
        <v>0.45</v>
      </c>
      <c r="P70" s="166">
        <f t="shared" si="9"/>
        <v>13860.000000000002</v>
      </c>
      <c r="Q70" s="166">
        <f>P70*M70*G70</f>
        <v>27720.000000000004</v>
      </c>
      <c r="R70" s="1390">
        <f t="shared" si="6"/>
        <v>0.1040659704670762</v>
      </c>
      <c r="S70" s="150">
        <f t="shared" si="8"/>
        <v>27720.000000000004</v>
      </c>
      <c r="T70" s="282"/>
      <c r="U70" s="169">
        <f>S70</f>
        <v>27720.000000000004</v>
      </c>
      <c r="Y70" s="282">
        <f>S70</f>
        <v>27720.000000000004</v>
      </c>
      <c r="Z70" s="169"/>
      <c r="AA70" s="280"/>
      <c r="AD70" s="171">
        <f>S70</f>
        <v>27720.000000000004</v>
      </c>
    </row>
    <row r="71" spans="1:30" x14ac:dyDescent="0.3">
      <c r="A71" s="156"/>
      <c r="B71" s="157"/>
      <c r="C71" s="157"/>
      <c r="D71" s="157"/>
      <c r="E71" s="157"/>
      <c r="F71" s="158"/>
      <c r="G71" s="157"/>
      <c r="H71" s="157"/>
      <c r="M71" s="157"/>
      <c r="N71" s="166"/>
      <c r="O71" s="173"/>
      <c r="P71" s="166"/>
      <c r="Q71" s="166"/>
      <c r="R71" s="167"/>
      <c r="S71" s="150"/>
      <c r="T71" s="280"/>
      <c r="Y71" s="282"/>
      <c r="AA71" s="280"/>
      <c r="AD71" s="152"/>
    </row>
    <row r="72" spans="1:30" x14ac:dyDescent="0.3">
      <c r="A72" s="151"/>
      <c r="B72" s="157"/>
      <c r="C72" s="157"/>
      <c r="D72" s="157"/>
      <c r="E72" s="157"/>
      <c r="F72" s="158"/>
      <c r="G72" s="157"/>
      <c r="H72" s="157"/>
      <c r="M72" s="157"/>
      <c r="N72" s="166"/>
      <c r="O72" s="173"/>
      <c r="P72" s="166"/>
      <c r="Q72" s="166"/>
      <c r="R72" s="393"/>
      <c r="S72" s="150"/>
      <c r="T72" s="280"/>
      <c r="Y72" s="280"/>
      <c r="AA72" s="280"/>
      <c r="AD72" s="152"/>
    </row>
    <row r="73" spans="1:30" x14ac:dyDescent="0.3">
      <c r="A73" s="365" t="s">
        <v>937</v>
      </c>
      <c r="B73" s="108" t="s">
        <v>528</v>
      </c>
      <c r="C73" s="289"/>
      <c r="D73" s="252"/>
      <c r="E73" s="252"/>
      <c r="F73" s="253"/>
      <c r="G73" s="252"/>
      <c r="H73" s="252"/>
      <c r="I73" s="254"/>
      <c r="J73" s="254"/>
      <c r="K73" s="254"/>
      <c r="L73" s="254"/>
      <c r="M73" s="252"/>
      <c r="N73" s="255"/>
      <c r="O73" s="256"/>
      <c r="P73" s="290"/>
      <c r="Q73" s="257"/>
      <c r="R73" s="291"/>
      <c r="S73" s="150"/>
      <c r="T73" s="280"/>
      <c r="V73" s="169"/>
      <c r="Y73" s="280"/>
      <c r="AA73" s="280"/>
      <c r="AD73" s="152"/>
    </row>
    <row r="74" spans="1:30" x14ac:dyDescent="0.3">
      <c r="A74" s="365" t="s">
        <v>937</v>
      </c>
      <c r="B74" s="108" t="s">
        <v>529</v>
      </c>
      <c r="C74" s="289"/>
      <c r="D74" s="252"/>
      <c r="E74" s="252"/>
      <c r="F74" s="253"/>
      <c r="G74" s="252"/>
      <c r="H74" s="252"/>
      <c r="I74" s="254"/>
      <c r="J74" s="254"/>
      <c r="K74" s="254"/>
      <c r="L74" s="254"/>
      <c r="M74" s="252"/>
      <c r="N74" s="255"/>
      <c r="O74" s="256"/>
      <c r="P74" s="290"/>
      <c r="Q74" s="257">
        <v>45000</v>
      </c>
      <c r="R74" s="291">
        <f>Q74/Q76</f>
        <v>0.16893826374525356</v>
      </c>
      <c r="S74" s="150">
        <v>45000</v>
      </c>
      <c r="T74" s="280"/>
      <c r="W74" s="169"/>
      <c r="X74" s="169">
        <f>S74</f>
        <v>45000</v>
      </c>
      <c r="Y74" s="280"/>
      <c r="AA74" s="280"/>
      <c r="AD74" s="152"/>
    </row>
    <row r="75" spans="1:30" x14ac:dyDescent="0.3">
      <c r="A75" s="280"/>
      <c r="H75" s="3"/>
      <c r="I75" s="115">
        <f>I76/$M$76</f>
        <v>0.4</v>
      </c>
      <c r="J75" s="115">
        <f t="shared" ref="J75:L75" si="10">J76/$M$76</f>
        <v>0.25925925925925924</v>
      </c>
      <c r="K75" s="115">
        <f t="shared" si="10"/>
        <v>0.33703703703703702</v>
      </c>
      <c r="L75" s="115">
        <f t="shared" si="10"/>
        <v>3.7037037037037038E-3</v>
      </c>
      <c r="N75" s="5"/>
      <c r="O75" s="6"/>
      <c r="P75" s="5"/>
      <c r="Q75" s="5"/>
      <c r="R75" s="6"/>
      <c r="S75" s="1075"/>
      <c r="T75" s="566"/>
      <c r="U75" s="245"/>
      <c r="V75" s="245"/>
      <c r="W75" s="245"/>
      <c r="X75" s="245"/>
      <c r="Y75" s="566"/>
      <c r="Z75" s="245"/>
      <c r="AA75" s="566"/>
      <c r="AB75" s="245"/>
      <c r="AC75" s="245"/>
      <c r="AD75" s="567"/>
    </row>
    <row r="76" spans="1:30" x14ac:dyDescent="0.3">
      <c r="A76" s="212" t="s">
        <v>531</v>
      </c>
      <c r="B76" s="213"/>
      <c r="C76" s="213"/>
      <c r="D76" s="213"/>
      <c r="E76" s="213"/>
      <c r="F76" s="214"/>
      <c r="G76" s="213"/>
      <c r="H76" s="213"/>
      <c r="I76" s="690">
        <f>I70+I68+I65+I64+I63</f>
        <v>108</v>
      </c>
      <c r="J76" s="690">
        <f>J70</f>
        <v>70</v>
      </c>
      <c r="K76" s="690">
        <f>K69+K67+K66</f>
        <v>91</v>
      </c>
      <c r="L76" s="690">
        <f>L66</f>
        <v>1</v>
      </c>
      <c r="M76" s="213">
        <f>SUM(I76:L76)</f>
        <v>270</v>
      </c>
      <c r="N76" s="215"/>
      <c r="O76" s="216"/>
      <c r="P76" s="215"/>
      <c r="Q76" s="481">
        <f>SUM(Q62:Q75)</f>
        <v>266369.495</v>
      </c>
      <c r="R76" s="216">
        <f>SUM(R62:R74)</f>
        <v>1</v>
      </c>
      <c r="S76" s="1393">
        <f>SUM(S62:S75)</f>
        <v>266369.495</v>
      </c>
      <c r="T76" s="220">
        <f>SUM(T62:T74)</f>
        <v>98444.494999999995</v>
      </c>
      <c r="U76" s="221">
        <f>SUM(U62:U74)</f>
        <v>122925</v>
      </c>
      <c r="V76" s="221">
        <f>SUM(V62:V74)</f>
        <v>0</v>
      </c>
      <c r="W76" s="221">
        <f>SUM(W62:W74)</f>
        <v>0</v>
      </c>
      <c r="X76" s="641">
        <f>X74</f>
        <v>45000</v>
      </c>
      <c r="Y76" s="222">
        <f>SUM(Y62:Y74)</f>
        <v>117810</v>
      </c>
      <c r="Z76" s="221">
        <f>SUM(Z62:Z74)</f>
        <v>103559.495</v>
      </c>
      <c r="AA76" s="220">
        <f>SUM(AA61:AA75)</f>
        <v>57150</v>
      </c>
      <c r="AB76" s="221">
        <f>SUM(AB61:AB75)</f>
        <v>89705</v>
      </c>
      <c r="AC76" s="221">
        <f>SUM(AC61:AC75)</f>
        <v>18414.495000000003</v>
      </c>
      <c r="AD76" s="223">
        <f>SUM(AD61:AD75)</f>
        <v>56100.000000000007</v>
      </c>
    </row>
    <row r="77" spans="1:30" x14ac:dyDescent="0.3">
      <c r="A77" s="228" t="s">
        <v>532</v>
      </c>
      <c r="B77" s="229"/>
      <c r="C77" s="229"/>
      <c r="D77" s="229"/>
      <c r="E77" s="229"/>
      <c r="F77" s="230"/>
      <c r="G77" s="229"/>
      <c r="H77" s="229"/>
      <c r="I77" s="691">
        <f>I70+I68+I65+I64+I63</f>
        <v>108</v>
      </c>
      <c r="J77" s="691">
        <f>I68+I65+I64+I63+J70</f>
        <v>108</v>
      </c>
      <c r="K77" s="691">
        <f>K69+K67+K66+I64+I63</f>
        <v>96</v>
      </c>
      <c r="L77" s="691">
        <f>K67+I64+I63+L66</f>
        <v>36</v>
      </c>
      <c r="M77" s="229">
        <f>SUM(I77:L77)</f>
        <v>348</v>
      </c>
      <c r="N77" s="231"/>
      <c r="O77" s="232"/>
      <c r="P77" s="231"/>
      <c r="Q77" s="231"/>
      <c r="R77" s="232"/>
      <c r="S77" s="970">
        <f>Q76/M76</f>
        <v>986.55368518518515</v>
      </c>
      <c r="T77" s="235">
        <f>T76/S76</f>
        <v>0.36957871245729546</v>
      </c>
      <c r="U77" s="236">
        <f>U76/S76</f>
        <v>0.46148302379745099</v>
      </c>
      <c r="V77" s="236">
        <f>V76/S76</f>
        <v>0</v>
      </c>
      <c r="W77" s="236">
        <f>W76/S76</f>
        <v>0</v>
      </c>
      <c r="X77" s="236">
        <f>X76/S76</f>
        <v>0.16893826374525356</v>
      </c>
      <c r="Y77" s="298">
        <f>Y76/S76</f>
        <v>0.44228037448507385</v>
      </c>
      <c r="Z77" s="236">
        <f>Z76/S76</f>
        <v>0.3887813617696726</v>
      </c>
      <c r="AA77" s="743"/>
      <c r="AB77" s="487"/>
      <c r="AC77" s="487"/>
      <c r="AD77" s="242"/>
    </row>
    <row r="78" spans="1:30" x14ac:dyDescent="0.3">
      <c r="A78" s="243" t="s">
        <v>533</v>
      </c>
      <c r="B78" s="193"/>
      <c r="C78" s="193"/>
      <c r="D78" s="193"/>
      <c r="E78" s="193"/>
      <c r="F78" s="244"/>
      <c r="G78" s="193"/>
      <c r="H78" s="193"/>
      <c r="I78" s="2182">
        <f>I77/$M$77</f>
        <v>0.31034482758620691</v>
      </c>
      <c r="J78" s="2182">
        <f t="shared" ref="J78:L78" si="11">J77/$M$77</f>
        <v>0.31034482758620691</v>
      </c>
      <c r="K78" s="2182">
        <f t="shared" si="11"/>
        <v>0.27586206896551724</v>
      </c>
      <c r="L78" s="2182">
        <f t="shared" si="11"/>
        <v>0.10344827586206896</v>
      </c>
      <c r="M78" s="193"/>
      <c r="N78" s="246"/>
      <c r="O78" s="196"/>
      <c r="P78" s="246"/>
      <c r="Q78" s="194">
        <f>T76</f>
        <v>98444.494999999995</v>
      </c>
      <c r="R78" s="247">
        <f>Q78/Q82</f>
        <v>0.36957871245729546</v>
      </c>
      <c r="W78" s="248"/>
      <c r="Y78" s="357">
        <f>I63+K67+K69+I70+J70</f>
        <v>232</v>
      </c>
      <c r="Z78" s="358">
        <f>I64+I65+K66+I68+L66</f>
        <v>38</v>
      </c>
    </row>
    <row r="79" spans="1:30" x14ac:dyDescent="0.3">
      <c r="A79" s="251" t="s">
        <v>11</v>
      </c>
      <c r="B79" s="252"/>
      <c r="C79" s="252"/>
      <c r="D79" s="252"/>
      <c r="E79" s="252"/>
      <c r="F79" s="253"/>
      <c r="G79" s="252"/>
      <c r="H79" s="252"/>
      <c r="I79" s="254"/>
      <c r="J79" s="254"/>
      <c r="K79" s="254"/>
      <c r="L79" s="254"/>
      <c r="M79" s="252"/>
      <c r="N79" s="255"/>
      <c r="O79" s="256"/>
      <c r="P79" s="255"/>
      <c r="Q79" s="257">
        <f>U76</f>
        <v>122925</v>
      </c>
      <c r="R79" s="262">
        <f>Q79/Q82</f>
        <v>0.46148302379745099</v>
      </c>
      <c r="S79" s="1050">
        <f>Q76/M76</f>
        <v>986.55368518518515</v>
      </c>
      <c r="T79" s="1051" t="s">
        <v>535</v>
      </c>
      <c r="X79" s="99"/>
      <c r="Y79" s="195">
        <f>Y78/M76</f>
        <v>0.85925925925925928</v>
      </c>
      <c r="Z79" s="247">
        <f>Z78/M76</f>
        <v>0.14074074074074075</v>
      </c>
    </row>
    <row r="80" spans="1:30" x14ac:dyDescent="0.3">
      <c r="A80" s="251" t="s">
        <v>528</v>
      </c>
      <c r="B80" s="252"/>
      <c r="C80" s="252"/>
      <c r="D80" s="252"/>
      <c r="E80" s="252"/>
      <c r="F80" s="253"/>
      <c r="G80" s="252"/>
      <c r="H80" s="252"/>
      <c r="I80" s="254"/>
      <c r="J80" s="254"/>
      <c r="K80" s="254"/>
      <c r="L80" s="254"/>
      <c r="M80" s="252"/>
      <c r="N80" s="255"/>
      <c r="O80" s="256"/>
      <c r="P80" s="255"/>
      <c r="Q80" s="257">
        <f>Q73</f>
        <v>0</v>
      </c>
      <c r="R80" s="262">
        <f>Q80/Q76</f>
        <v>0</v>
      </c>
      <c r="V80" s="99"/>
      <c r="Y80" s="2551" t="s">
        <v>537</v>
      </c>
      <c r="Z80" s="2551"/>
    </row>
    <row r="81" spans="1:30" x14ac:dyDescent="0.3">
      <c r="A81" s="251" t="s">
        <v>529</v>
      </c>
      <c r="B81" s="252"/>
      <c r="C81" s="252"/>
      <c r="D81" s="252"/>
      <c r="E81" s="252"/>
      <c r="F81" s="253"/>
      <c r="G81" s="252"/>
      <c r="H81" s="252"/>
      <c r="I81" s="254"/>
      <c r="J81" s="254"/>
      <c r="K81" s="254"/>
      <c r="L81" s="254"/>
      <c r="M81" s="252"/>
      <c r="N81" s="255"/>
      <c r="O81" s="256"/>
      <c r="P81" s="255"/>
      <c r="Q81" s="257">
        <f>Q74</f>
        <v>45000</v>
      </c>
      <c r="R81" s="262">
        <f>Q81/Q82</f>
        <v>0.16893826374525356</v>
      </c>
    </row>
    <row r="82" spans="1:30" x14ac:dyDescent="0.3">
      <c r="A82" s="243"/>
      <c r="B82" s="193"/>
      <c r="C82" s="193"/>
      <c r="D82" s="193"/>
      <c r="E82" s="193"/>
      <c r="F82" s="244"/>
      <c r="G82" s="193"/>
      <c r="H82" s="193"/>
      <c r="I82" s="245"/>
      <c r="J82" s="245"/>
      <c r="K82" s="245"/>
      <c r="L82" s="245"/>
      <c r="M82" s="193"/>
      <c r="N82" s="246"/>
      <c r="O82" s="196"/>
      <c r="P82" s="246"/>
      <c r="Q82" s="194">
        <f>SUM(Q78:Q81)</f>
        <v>266369.495</v>
      </c>
      <c r="R82" s="247">
        <f>SUM(R78:R81)</f>
        <v>1</v>
      </c>
      <c r="S82" s="600"/>
    </row>
    <row r="85" spans="1:30" x14ac:dyDescent="0.3">
      <c r="D85" s="1" t="s">
        <v>945</v>
      </c>
      <c r="E85" s="1"/>
      <c r="F85" s="2" t="s">
        <v>711</v>
      </c>
      <c r="G85" s="1" t="s">
        <v>545</v>
      </c>
      <c r="H85" s="1"/>
      <c r="I85" s="304">
        <v>0.71</v>
      </c>
      <c r="J85" s="1"/>
    </row>
    <row r="86" spans="1:30" x14ac:dyDescent="0.3">
      <c r="D86" s="1" t="s">
        <v>473</v>
      </c>
      <c r="E86" s="1"/>
      <c r="F86" s="2" t="s">
        <v>946</v>
      </c>
      <c r="G86" s="1" t="s">
        <v>473</v>
      </c>
      <c r="H86" s="1"/>
      <c r="I86" s="1">
        <v>66</v>
      </c>
      <c r="J86" s="1"/>
    </row>
    <row r="87" spans="1:30" x14ac:dyDescent="0.3">
      <c r="B87" s="2"/>
      <c r="D87" s="1" t="s">
        <v>475</v>
      </c>
      <c r="E87" s="1"/>
      <c r="F87" s="2" t="s">
        <v>947</v>
      </c>
      <c r="G87" s="1" t="s">
        <v>475</v>
      </c>
      <c r="H87" s="1"/>
      <c r="I87" s="95">
        <v>4692</v>
      </c>
      <c r="J87" s="1"/>
    </row>
    <row r="88" spans="1:30" x14ac:dyDescent="0.3">
      <c r="D88" s="1" t="s">
        <v>477</v>
      </c>
      <c r="E88" s="1"/>
      <c r="F88" s="2" t="s">
        <v>948</v>
      </c>
      <c r="G88" s="1" t="s">
        <v>477</v>
      </c>
      <c r="H88" s="1"/>
      <c r="I88" s="95">
        <v>10196192</v>
      </c>
      <c r="J88" s="1"/>
    </row>
    <row r="89" spans="1:30" ht="18" x14ac:dyDescent="0.35">
      <c r="A89" s="1037" t="s">
        <v>479</v>
      </c>
    </row>
    <row r="91" spans="1:30" x14ac:dyDescent="0.3">
      <c r="A91" s="2587" t="s">
        <v>480</v>
      </c>
      <c r="B91" s="2588"/>
      <c r="C91" s="2588"/>
      <c r="D91" s="2588"/>
      <c r="E91" s="2588"/>
      <c r="F91" s="2588"/>
      <c r="G91" s="2588"/>
      <c r="H91" s="2588"/>
      <c r="I91" s="2588"/>
      <c r="J91" s="2588"/>
      <c r="K91" s="2588"/>
      <c r="L91" s="2588"/>
      <c r="M91" s="2588"/>
      <c r="N91" s="2588"/>
      <c r="O91" s="2588"/>
      <c r="P91" s="2588"/>
      <c r="Q91" s="2588"/>
      <c r="R91" s="2589"/>
      <c r="S91" s="2564" t="s">
        <v>584</v>
      </c>
      <c r="T91" s="2564"/>
      <c r="U91" s="2564"/>
      <c r="V91" s="2564"/>
      <c r="W91" s="2564"/>
      <c r="X91" s="2564"/>
      <c r="Y91" s="2564"/>
      <c r="Z91" s="2564"/>
      <c r="AA91" s="2564"/>
      <c r="AB91" s="2564"/>
      <c r="AC91" s="2564"/>
      <c r="AD91" s="2576"/>
    </row>
    <row r="92" spans="1:30" ht="18" x14ac:dyDescent="0.3">
      <c r="A92" s="2256" t="s">
        <v>482</v>
      </c>
      <c r="B92" s="2258" t="s">
        <v>483</v>
      </c>
      <c r="C92" s="2258" t="s">
        <v>484</v>
      </c>
      <c r="D92" s="2258" t="s">
        <v>485</v>
      </c>
      <c r="E92" s="2258" t="s">
        <v>486</v>
      </c>
      <c r="F92" s="2260" t="s">
        <v>487</v>
      </c>
      <c r="G92" s="2258" t="s">
        <v>488</v>
      </c>
      <c r="H92" s="2258" t="s">
        <v>489</v>
      </c>
      <c r="I92" s="2240" t="s">
        <v>490</v>
      </c>
      <c r="J92" s="2240"/>
      <c r="K92" s="2240"/>
      <c r="L92" s="2240"/>
      <c r="M92" s="305" t="s">
        <v>491</v>
      </c>
      <c r="N92" s="306" t="s">
        <v>492</v>
      </c>
      <c r="O92" s="307" t="s">
        <v>493</v>
      </c>
      <c r="P92" s="306" t="s">
        <v>492</v>
      </c>
      <c r="Q92" s="306" t="s">
        <v>494</v>
      </c>
      <c r="R92" s="2343" t="s">
        <v>495</v>
      </c>
      <c r="S92" s="1059" t="s">
        <v>496</v>
      </c>
      <c r="T92" s="2720" t="s">
        <v>497</v>
      </c>
      <c r="U92" s="2720"/>
      <c r="V92" s="2720"/>
      <c r="W92" s="2720"/>
      <c r="X92" s="2720"/>
      <c r="Y92" s="2572" t="s">
        <v>498</v>
      </c>
      <c r="Z92" s="2573"/>
      <c r="AA92" s="2567" t="s">
        <v>499</v>
      </c>
      <c r="AB92" s="2568"/>
      <c r="AC92" s="2568"/>
      <c r="AD92" s="2571"/>
    </row>
    <row r="93" spans="1:30" ht="18" x14ac:dyDescent="0.3">
      <c r="A93" s="2257"/>
      <c r="B93" s="2259"/>
      <c r="C93" s="2259"/>
      <c r="D93" s="2259"/>
      <c r="E93" s="2259"/>
      <c r="F93" s="2261"/>
      <c r="G93" s="2259"/>
      <c r="H93" s="2259"/>
      <c r="I93" s="310" t="s">
        <v>500</v>
      </c>
      <c r="J93" s="310" t="s">
        <v>501</v>
      </c>
      <c r="K93" s="310" t="s">
        <v>502</v>
      </c>
      <c r="L93" s="310" t="s">
        <v>503</v>
      </c>
      <c r="M93" s="311" t="s">
        <v>504</v>
      </c>
      <c r="N93" s="312" t="s">
        <v>505</v>
      </c>
      <c r="O93" s="313" t="s">
        <v>506</v>
      </c>
      <c r="P93" s="312" t="s">
        <v>507</v>
      </c>
      <c r="Q93" s="312" t="s">
        <v>507</v>
      </c>
      <c r="R93" s="2344"/>
      <c r="S93" s="1394" t="s">
        <v>508</v>
      </c>
      <c r="T93" s="2574"/>
      <c r="U93" s="2574"/>
      <c r="V93" s="2574"/>
      <c r="W93" s="2574"/>
      <c r="X93" s="2574"/>
      <c r="Y93" s="2572"/>
      <c r="Z93" s="2573"/>
      <c r="AA93" s="2572"/>
      <c r="AB93" s="2574"/>
      <c r="AC93" s="2574"/>
      <c r="AD93" s="2573"/>
    </row>
    <row r="94" spans="1:30" ht="18" x14ac:dyDescent="0.35">
      <c r="A94" s="2605" t="s">
        <v>639</v>
      </c>
      <c r="B94" s="2606"/>
      <c r="C94" s="2606"/>
      <c r="D94" s="2606"/>
      <c r="E94" s="2606"/>
      <c r="F94" s="2606"/>
      <c r="G94" s="2606"/>
      <c r="H94" s="2606"/>
      <c r="I94" s="2606"/>
      <c r="J94" s="2606"/>
      <c r="K94" s="2606"/>
      <c r="L94" s="2606"/>
      <c r="M94" s="2606"/>
      <c r="N94" s="2606"/>
      <c r="O94" s="2606"/>
      <c r="P94" s="2606"/>
      <c r="Q94" s="2606"/>
      <c r="R94" s="2606"/>
      <c r="S94" s="559"/>
      <c r="T94" s="561" t="s">
        <v>510</v>
      </c>
      <c r="U94" s="561" t="s">
        <v>11</v>
      </c>
      <c r="V94" s="561" t="s">
        <v>511</v>
      </c>
      <c r="W94" s="561" t="s">
        <v>512</v>
      </c>
      <c r="X94" s="561" t="s">
        <v>513</v>
      </c>
      <c r="Y94" s="563" t="s">
        <v>514</v>
      </c>
      <c r="Z94" s="562" t="s">
        <v>515</v>
      </c>
      <c r="AA94" s="561" t="s">
        <v>154</v>
      </c>
      <c r="AB94" s="561" t="s">
        <v>6</v>
      </c>
      <c r="AC94" s="561" t="s">
        <v>181</v>
      </c>
      <c r="AD94" s="562" t="s">
        <v>5</v>
      </c>
    </row>
    <row r="95" spans="1:30" x14ac:dyDescent="0.3">
      <c r="A95" s="154"/>
      <c r="B95" s="462"/>
      <c r="C95" s="462"/>
      <c r="D95" s="462"/>
      <c r="E95" s="462"/>
      <c r="F95" s="463"/>
      <c r="G95" s="462"/>
      <c r="H95" s="462"/>
      <c r="I95" s="465"/>
      <c r="J95" s="465"/>
      <c r="K95" s="465"/>
      <c r="L95" s="465"/>
      <c r="M95" s="462"/>
      <c r="N95" s="468"/>
      <c r="O95" s="469"/>
      <c r="P95" s="468"/>
      <c r="Q95" s="468"/>
      <c r="R95" s="532"/>
      <c r="S95" s="149"/>
      <c r="Y95" s="280"/>
      <c r="Z95" s="152"/>
      <c r="AD95" s="152"/>
    </row>
    <row r="96" spans="1:30" x14ac:dyDescent="0.3">
      <c r="A96" s="157" t="s">
        <v>937</v>
      </c>
      <c r="B96" s="157" t="s">
        <v>182</v>
      </c>
      <c r="C96" s="157" t="s">
        <v>938</v>
      </c>
      <c r="D96" s="157" t="s">
        <v>26</v>
      </c>
      <c r="E96" s="157" t="s">
        <v>520</v>
      </c>
      <c r="F96" s="158" t="s">
        <v>654</v>
      </c>
      <c r="G96" s="157">
        <v>3</v>
      </c>
      <c r="H96" s="157" t="s">
        <v>24</v>
      </c>
      <c r="I96" s="175">
        <v>3</v>
      </c>
      <c r="J96" s="176"/>
      <c r="K96" s="176"/>
      <c r="L96" s="177"/>
      <c r="M96" s="157">
        <v>1</v>
      </c>
      <c r="N96" s="503">
        <v>21600</v>
      </c>
      <c r="O96" s="173">
        <v>0.45</v>
      </c>
      <c r="P96" s="503">
        <f t="shared" ref="P96:P100" si="12">N96*(1-O96)</f>
        <v>11880.000000000002</v>
      </c>
      <c r="Q96" s="503">
        <f>P96*M96*G96</f>
        <v>35640.000000000007</v>
      </c>
      <c r="R96" s="178">
        <f>Q96/$Q$107</f>
        <v>0.15744426085518876</v>
      </c>
      <c r="S96" s="168">
        <f>Q96*3</f>
        <v>106920.00000000003</v>
      </c>
      <c r="T96" s="169">
        <f>S96</f>
        <v>106920.00000000003</v>
      </c>
      <c r="U96" s="169"/>
      <c r="V96" s="169"/>
      <c r="W96" s="169"/>
      <c r="X96" s="169"/>
      <c r="Y96" s="282">
        <f>S96</f>
        <v>106920.00000000003</v>
      </c>
      <c r="Z96" s="171"/>
      <c r="AA96" s="169">
        <f>S96</f>
        <v>106920.00000000003</v>
      </c>
      <c r="AD96" s="152"/>
    </row>
    <row r="97" spans="1:30" x14ac:dyDescent="0.3">
      <c r="A97" s="157" t="s">
        <v>937</v>
      </c>
      <c r="B97" s="157" t="s">
        <v>182</v>
      </c>
      <c r="C97" s="157" t="s">
        <v>938</v>
      </c>
      <c r="D97" s="157" t="s">
        <v>102</v>
      </c>
      <c r="E97" s="157" t="s">
        <v>518</v>
      </c>
      <c r="F97" s="158" t="s">
        <v>939</v>
      </c>
      <c r="G97" s="157">
        <v>3</v>
      </c>
      <c r="H97" s="157" t="s">
        <v>24</v>
      </c>
      <c r="I97" s="175">
        <v>3</v>
      </c>
      <c r="J97" s="176"/>
      <c r="K97" s="176"/>
      <c r="L97" s="177"/>
      <c r="M97" s="157">
        <v>1</v>
      </c>
      <c r="N97" s="503">
        <v>15900</v>
      </c>
      <c r="O97" s="173">
        <v>0.3</v>
      </c>
      <c r="P97" s="503">
        <f t="shared" si="12"/>
        <v>11130</v>
      </c>
      <c r="Q97" s="503">
        <f t="shared" ref="Q97:Q102" si="13">P97*M97*G97</f>
        <v>33390</v>
      </c>
      <c r="R97" s="167">
        <f t="shared" ref="R97:R102" si="14">Q97/$Q$107</f>
        <v>0.14750459792241163</v>
      </c>
      <c r="S97" s="168">
        <f t="shared" ref="S97:S102" si="15">Q97*3</f>
        <v>100170</v>
      </c>
      <c r="T97" s="169">
        <f>S97</f>
        <v>100170</v>
      </c>
      <c r="U97" s="169"/>
      <c r="V97" s="169"/>
      <c r="W97" s="169"/>
      <c r="X97" s="169"/>
      <c r="Y97" s="282"/>
      <c r="Z97" s="171">
        <f>S97</f>
        <v>100170</v>
      </c>
      <c r="AA97" s="169">
        <f>S97</f>
        <v>100170</v>
      </c>
      <c r="AD97" s="152"/>
    </row>
    <row r="98" spans="1:30" x14ac:dyDescent="0.3">
      <c r="A98" s="157" t="s">
        <v>937</v>
      </c>
      <c r="B98" s="157" t="s">
        <v>183</v>
      </c>
      <c r="C98" s="157" t="s">
        <v>940</v>
      </c>
      <c r="D98" s="157" t="s">
        <v>184</v>
      </c>
      <c r="E98" s="157" t="s">
        <v>518</v>
      </c>
      <c r="F98" s="158" t="s">
        <v>185</v>
      </c>
      <c r="G98" s="157">
        <v>1</v>
      </c>
      <c r="H98" s="157" t="s">
        <v>106</v>
      </c>
      <c r="I98" s="175">
        <v>30</v>
      </c>
      <c r="J98" s="688"/>
      <c r="K98" s="179"/>
      <c r="L98" s="180"/>
      <c r="M98" s="157">
        <v>1</v>
      </c>
      <c r="N98" s="503">
        <v>52500</v>
      </c>
      <c r="O98" s="173">
        <v>0.45</v>
      </c>
      <c r="P98" s="503">
        <f t="shared" si="12"/>
        <v>28875.000000000004</v>
      </c>
      <c r="Q98" s="503">
        <f t="shared" si="13"/>
        <v>28875.000000000004</v>
      </c>
      <c r="R98" s="167">
        <f t="shared" si="14"/>
        <v>0.12755900763730568</v>
      </c>
      <c r="S98" s="168">
        <f t="shared" si="15"/>
        <v>86625.000000000015</v>
      </c>
      <c r="U98" s="169">
        <f>S98</f>
        <v>86625.000000000015</v>
      </c>
      <c r="V98" s="169"/>
      <c r="W98" s="169"/>
      <c r="X98" s="169"/>
      <c r="Y98" s="282"/>
      <c r="Z98" s="171">
        <f>S98</f>
        <v>86625.000000000015</v>
      </c>
      <c r="AA98" s="169"/>
      <c r="AB98" s="169">
        <f>S98</f>
        <v>86625.000000000015</v>
      </c>
      <c r="AD98" s="152"/>
    </row>
    <row r="99" spans="1:30" x14ac:dyDescent="0.3">
      <c r="A99" s="157" t="s">
        <v>937</v>
      </c>
      <c r="B99" s="157" t="s">
        <v>183</v>
      </c>
      <c r="C99" s="157" t="s">
        <v>938</v>
      </c>
      <c r="D99" s="157" t="s">
        <v>102</v>
      </c>
      <c r="E99" s="157" t="s">
        <v>518</v>
      </c>
      <c r="F99" s="158" t="s">
        <v>939</v>
      </c>
      <c r="G99" s="157">
        <v>1</v>
      </c>
      <c r="H99" s="157" t="s">
        <v>22</v>
      </c>
      <c r="I99" s="772"/>
      <c r="K99" s="285">
        <v>1</v>
      </c>
      <c r="L99" s="180"/>
      <c r="M99" s="163">
        <v>1</v>
      </c>
      <c r="N99" s="503">
        <v>20800</v>
      </c>
      <c r="O99" s="173">
        <v>0.45</v>
      </c>
      <c r="P99" s="503">
        <f t="shared" si="12"/>
        <v>11440.000000000002</v>
      </c>
      <c r="Q99" s="503">
        <f t="shared" si="13"/>
        <v>11440.000000000002</v>
      </c>
      <c r="R99" s="167">
        <f t="shared" si="14"/>
        <v>5.0537663978208733E-2</v>
      </c>
      <c r="S99" s="168">
        <f t="shared" si="15"/>
        <v>34320.000000000007</v>
      </c>
      <c r="T99" s="169">
        <f>S99</f>
        <v>34320.000000000007</v>
      </c>
      <c r="U99" s="169"/>
      <c r="V99" s="169"/>
      <c r="W99" s="169"/>
      <c r="X99" s="169"/>
      <c r="Y99" s="282"/>
      <c r="Z99" s="171">
        <f>S99</f>
        <v>34320.000000000007</v>
      </c>
      <c r="AB99" s="169">
        <f>S99</f>
        <v>34320.000000000007</v>
      </c>
      <c r="AD99" s="152"/>
    </row>
    <row r="100" spans="1:30" x14ac:dyDescent="0.3">
      <c r="A100" s="157" t="s">
        <v>937</v>
      </c>
      <c r="B100" s="157" t="s">
        <v>183</v>
      </c>
      <c r="C100" s="157" t="s">
        <v>940</v>
      </c>
      <c r="D100" s="157" t="s">
        <v>184</v>
      </c>
      <c r="E100" s="157" t="s">
        <v>520</v>
      </c>
      <c r="F100" s="158" t="s">
        <v>941</v>
      </c>
      <c r="G100" s="157">
        <v>1</v>
      </c>
      <c r="H100" s="157" t="s">
        <v>106</v>
      </c>
      <c r="I100" s="772"/>
      <c r="K100" s="176">
        <v>30</v>
      </c>
      <c r="L100" s="177"/>
      <c r="M100" s="163">
        <v>1</v>
      </c>
      <c r="N100" s="503">
        <v>69000</v>
      </c>
      <c r="O100" s="173">
        <v>0.45</v>
      </c>
      <c r="P100" s="503">
        <f t="shared" si="12"/>
        <v>37950</v>
      </c>
      <c r="Q100" s="503">
        <f t="shared" si="13"/>
        <v>37950</v>
      </c>
      <c r="R100" s="178">
        <f t="shared" si="14"/>
        <v>0.16764898146617316</v>
      </c>
      <c r="S100" s="168">
        <f t="shared" si="15"/>
        <v>113850</v>
      </c>
      <c r="U100" s="169">
        <f>S100</f>
        <v>113850</v>
      </c>
      <c r="V100" s="169"/>
      <c r="W100" s="169"/>
      <c r="X100" s="169"/>
      <c r="Y100" s="282">
        <f>S100</f>
        <v>113850</v>
      </c>
      <c r="Z100" s="171"/>
      <c r="AB100" s="169">
        <f>S100</f>
        <v>113850</v>
      </c>
      <c r="AD100" s="152"/>
    </row>
    <row r="101" spans="1:30" x14ac:dyDescent="0.3">
      <c r="A101" s="157" t="s">
        <v>937</v>
      </c>
      <c r="B101" s="157" t="s">
        <v>186</v>
      </c>
      <c r="C101" s="157" t="s">
        <v>938</v>
      </c>
      <c r="D101" s="157" t="s">
        <v>102</v>
      </c>
      <c r="E101" s="157" t="s">
        <v>518</v>
      </c>
      <c r="F101" s="158" t="s">
        <v>939</v>
      </c>
      <c r="G101" s="157">
        <v>5</v>
      </c>
      <c r="H101" s="157" t="s">
        <v>106</v>
      </c>
      <c r="I101" s="175">
        <v>5</v>
      </c>
      <c r="J101" s="688"/>
      <c r="K101" s="179"/>
      <c r="L101" s="180"/>
      <c r="M101" s="163">
        <v>1</v>
      </c>
      <c r="N101" s="503">
        <v>37201</v>
      </c>
      <c r="O101" s="173">
        <v>0.83499999999999996</v>
      </c>
      <c r="P101" s="503">
        <f>N101*(1-O101)</f>
        <v>6138.1650000000009</v>
      </c>
      <c r="Q101" s="503">
        <f t="shared" si="13"/>
        <v>30690.825000000004</v>
      </c>
      <c r="R101" s="167">
        <f t="shared" si="14"/>
        <v>0.13558064694615454</v>
      </c>
      <c r="S101" s="168">
        <f t="shared" si="15"/>
        <v>92072.475000000006</v>
      </c>
      <c r="T101" s="169">
        <f>S101</f>
        <v>92072.475000000006</v>
      </c>
      <c r="U101" s="169"/>
      <c r="V101" s="169"/>
      <c r="W101" s="169"/>
      <c r="X101" s="169"/>
      <c r="Y101" s="282"/>
      <c r="Z101" s="171">
        <f>S101</f>
        <v>92072.475000000006</v>
      </c>
      <c r="AB101" s="169"/>
      <c r="AC101" s="169">
        <f>S101</f>
        <v>92072.475000000006</v>
      </c>
      <c r="AD101" s="152"/>
    </row>
    <row r="102" spans="1:30" x14ac:dyDescent="0.3">
      <c r="A102" s="157" t="s">
        <v>937</v>
      </c>
      <c r="B102" s="157" t="s">
        <v>108</v>
      </c>
      <c r="C102" s="157" t="s">
        <v>942</v>
      </c>
      <c r="D102" s="157" t="s">
        <v>187</v>
      </c>
      <c r="E102" s="157" t="s">
        <v>520</v>
      </c>
      <c r="F102" s="158" t="s">
        <v>939</v>
      </c>
      <c r="G102" s="157">
        <v>1</v>
      </c>
      <c r="H102" s="157" t="s">
        <v>22</v>
      </c>
      <c r="K102" s="688">
        <v>60</v>
      </c>
      <c r="L102" s="774"/>
      <c r="M102" s="163">
        <v>1</v>
      </c>
      <c r="N102" s="166">
        <v>51600</v>
      </c>
      <c r="O102" s="173">
        <v>0.45</v>
      </c>
      <c r="P102" s="166">
        <f t="shared" ref="P102" si="16">N102*(1-O102)</f>
        <v>28380.000000000004</v>
      </c>
      <c r="Q102" s="166">
        <f t="shared" si="13"/>
        <v>28380.000000000004</v>
      </c>
      <c r="R102" s="178">
        <f t="shared" si="14"/>
        <v>0.12537228179209473</v>
      </c>
      <c r="S102" s="168">
        <f t="shared" si="15"/>
        <v>85140.000000000015</v>
      </c>
      <c r="U102" s="169">
        <f>S102</f>
        <v>85140.000000000015</v>
      </c>
      <c r="V102" s="169"/>
      <c r="W102" s="169"/>
      <c r="X102" s="169"/>
      <c r="Y102" s="282">
        <f>S102</f>
        <v>85140.000000000015</v>
      </c>
      <c r="Z102" s="171"/>
      <c r="AC102" s="169"/>
      <c r="AD102" s="171">
        <f>S102</f>
        <v>85140.000000000015</v>
      </c>
    </row>
    <row r="103" spans="1:30" x14ac:dyDescent="0.3">
      <c r="A103" s="172"/>
      <c r="B103" s="157"/>
      <c r="C103" s="157"/>
      <c r="D103" s="157"/>
      <c r="E103" s="157"/>
      <c r="F103" s="158"/>
      <c r="G103" s="157"/>
      <c r="H103" s="157"/>
      <c r="M103" s="157"/>
      <c r="N103" s="166"/>
      <c r="O103" s="173"/>
      <c r="P103" s="166"/>
      <c r="Q103" s="166"/>
      <c r="R103" s="393"/>
      <c r="S103" s="149"/>
      <c r="Y103" s="280"/>
      <c r="Z103" s="152"/>
      <c r="AD103" s="171"/>
    </row>
    <row r="104" spans="1:30" x14ac:dyDescent="0.3">
      <c r="A104" s="108" t="s">
        <v>937</v>
      </c>
      <c r="B104" s="108" t="s">
        <v>528</v>
      </c>
      <c r="C104" s="289"/>
      <c r="D104" s="252"/>
      <c r="E104" s="252"/>
      <c r="F104" s="253"/>
      <c r="G104" s="252"/>
      <c r="H104" s="252"/>
      <c r="I104" s="254"/>
      <c r="J104" s="254"/>
      <c r="K104" s="254"/>
      <c r="L104" s="254"/>
      <c r="M104" s="252"/>
      <c r="N104" s="255"/>
      <c r="O104" s="256"/>
      <c r="P104" s="290"/>
      <c r="Q104" s="257"/>
      <c r="R104" s="291"/>
      <c r="S104" s="168"/>
      <c r="W104" s="169">
        <f>S104</f>
        <v>0</v>
      </c>
      <c r="Y104" s="280"/>
      <c r="Z104" s="152"/>
      <c r="AD104" s="171"/>
    </row>
    <row r="105" spans="1:30" x14ac:dyDescent="0.3">
      <c r="A105" s="108" t="s">
        <v>937</v>
      </c>
      <c r="B105" s="108" t="s">
        <v>529</v>
      </c>
      <c r="C105" s="289"/>
      <c r="D105" s="252"/>
      <c r="E105" s="252"/>
      <c r="F105" s="253"/>
      <c r="G105" s="252"/>
      <c r="H105" s="252"/>
      <c r="I105" s="254"/>
      <c r="J105" s="254"/>
      <c r="K105" s="254"/>
      <c r="L105" s="254"/>
      <c r="M105" s="252"/>
      <c r="N105" s="255"/>
      <c r="O105" s="256"/>
      <c r="P105" s="290"/>
      <c r="Q105" s="257">
        <v>20000</v>
      </c>
      <c r="R105" s="291">
        <f>Q105/Q107</f>
        <v>8.8352559402462796E-2</v>
      </c>
      <c r="S105" s="168">
        <f>Q105*3</f>
        <v>60000</v>
      </c>
      <c r="X105" s="169">
        <f>S105</f>
        <v>60000</v>
      </c>
      <c r="Y105" s="280"/>
      <c r="Z105" s="152"/>
      <c r="AD105" s="152"/>
    </row>
    <row r="106" spans="1:30" x14ac:dyDescent="0.3">
      <c r="I106" s="115">
        <f>I107/$M$107</f>
        <v>0.31060606060606061</v>
      </c>
      <c r="J106" s="115">
        <f t="shared" ref="J106:K106" si="17">J107/$M$107</f>
        <v>0</v>
      </c>
      <c r="K106" s="115">
        <f t="shared" si="17"/>
        <v>0.68939393939393945</v>
      </c>
      <c r="S106" s="149"/>
      <c r="T106" s="245"/>
      <c r="U106" s="245"/>
      <c r="V106" s="245"/>
      <c r="W106" s="245"/>
      <c r="X106" s="245"/>
      <c r="Y106" s="566"/>
      <c r="Z106" s="567"/>
      <c r="AA106" s="245"/>
      <c r="AB106" s="245"/>
      <c r="AC106" s="245"/>
      <c r="AD106" s="567"/>
    </row>
    <row r="107" spans="1:30" x14ac:dyDescent="0.3">
      <c r="A107" s="326" t="s">
        <v>531</v>
      </c>
      <c r="B107" s="327"/>
      <c r="C107" s="327"/>
      <c r="D107" s="327"/>
      <c r="E107" s="327"/>
      <c r="F107" s="328"/>
      <c r="G107" s="327"/>
      <c r="H107" s="327"/>
      <c r="I107" s="697">
        <f>I101+I98+I97+I96</f>
        <v>41</v>
      </c>
      <c r="J107" s="697">
        <f>J97</f>
        <v>0</v>
      </c>
      <c r="K107" s="697">
        <f>K102+K100+K99</f>
        <v>91</v>
      </c>
      <c r="L107" s="697"/>
      <c r="M107" s="327">
        <f>SUM(I107:L107)</f>
        <v>132</v>
      </c>
      <c r="N107" s="329"/>
      <c r="O107" s="330"/>
      <c r="P107" s="329"/>
      <c r="Q107" s="331">
        <f>SUM(Q95:Q106)</f>
        <v>226365.82500000001</v>
      </c>
      <c r="R107" s="332">
        <f>SUM(R96:R105)</f>
        <v>1</v>
      </c>
      <c r="S107" s="1066">
        <f>SUM(S95:S106)</f>
        <v>679097.47500000009</v>
      </c>
      <c r="T107" s="589">
        <f>SUM(T95:T106)</f>
        <v>333482.47500000003</v>
      </c>
      <c r="U107" s="589">
        <f>SUM(U95:U106)</f>
        <v>285615</v>
      </c>
      <c r="V107" s="589">
        <f t="shared" ref="V107:Z107" si="18">SUM(V95:V105)</f>
        <v>0</v>
      </c>
      <c r="W107" s="589">
        <f t="shared" si="18"/>
        <v>0</v>
      </c>
      <c r="X107" s="589">
        <f t="shared" si="18"/>
        <v>60000</v>
      </c>
      <c r="Y107" s="648">
        <f t="shared" si="18"/>
        <v>305910.00000000006</v>
      </c>
      <c r="Z107" s="647">
        <f t="shared" si="18"/>
        <v>313187.47499999998</v>
      </c>
      <c r="AA107" s="1067">
        <f>SUM(AA95:AA106)</f>
        <v>207090.00000000003</v>
      </c>
      <c r="AB107" s="1067">
        <f>SUM(AB95:AB106)</f>
        <v>234795.00000000003</v>
      </c>
      <c r="AC107" s="1067">
        <f>SUM(AC95:AC106)</f>
        <v>92072.475000000006</v>
      </c>
      <c r="AD107" s="647">
        <f>SUM(AD95:AD106)</f>
        <v>85140.000000000015</v>
      </c>
    </row>
    <row r="108" spans="1:30" x14ac:dyDescent="0.3">
      <c r="A108" s="342" t="s">
        <v>532</v>
      </c>
      <c r="B108" s="343"/>
      <c r="C108" s="343"/>
      <c r="D108" s="343"/>
      <c r="E108" s="343"/>
      <c r="F108" s="344"/>
      <c r="G108" s="343"/>
      <c r="H108" s="343"/>
      <c r="I108" s="700">
        <f>I101+I98+I97+I96</f>
        <v>41</v>
      </c>
      <c r="J108" s="700">
        <f>I101+I98+I97+I96</f>
        <v>41</v>
      </c>
      <c r="K108" s="700">
        <f>K102+K100+K99+I97+I96</f>
        <v>97</v>
      </c>
      <c r="L108" s="700"/>
      <c r="M108" s="343">
        <f>SUM(I108:L108)</f>
        <v>179</v>
      </c>
      <c r="N108" s="345"/>
      <c r="O108" s="346"/>
      <c r="P108" s="345"/>
      <c r="Q108" s="345"/>
      <c r="R108" s="347"/>
      <c r="S108" s="1005"/>
      <c r="T108" s="350">
        <f>T107/S107</f>
        <v>0.49106716970196362</v>
      </c>
      <c r="U108" s="350">
        <f>U107/S107</f>
        <v>0.42058027089557354</v>
      </c>
      <c r="V108" s="524"/>
      <c r="W108" s="350">
        <f>W107/S107</f>
        <v>0</v>
      </c>
      <c r="X108" s="350">
        <f>X107/S107</f>
        <v>8.8352559402462796E-2</v>
      </c>
      <c r="Y108" s="351">
        <f>Y107/S107</f>
        <v>0.45046552411345664</v>
      </c>
      <c r="Z108" s="352">
        <f>Z107/S107</f>
        <v>0.46118191648408047</v>
      </c>
      <c r="AA108" s="1395"/>
      <c r="AB108" s="524"/>
      <c r="AC108" s="524"/>
      <c r="AD108" s="356"/>
    </row>
    <row r="109" spans="1:30" x14ac:dyDescent="0.3">
      <c r="A109" s="243" t="s">
        <v>533</v>
      </c>
      <c r="B109" s="193"/>
      <c r="C109" s="193"/>
      <c r="D109" s="193"/>
      <c r="E109" s="193"/>
      <c r="F109" s="244"/>
      <c r="G109" s="193"/>
      <c r="H109" s="193"/>
      <c r="I109" s="2182">
        <f>I108/$M$108</f>
        <v>0.22905027932960895</v>
      </c>
      <c r="J109" s="2182">
        <f t="shared" ref="J109:K109" si="19">J108/$M$108</f>
        <v>0.22905027932960895</v>
      </c>
      <c r="K109" s="2182">
        <f t="shared" si="19"/>
        <v>0.54189944134078216</v>
      </c>
      <c r="L109" s="245"/>
      <c r="M109" s="193"/>
      <c r="N109" s="246"/>
      <c r="O109" s="196"/>
      <c r="P109" s="246"/>
      <c r="Q109" s="194">
        <f>T107/3</f>
        <v>111160.82500000001</v>
      </c>
      <c r="R109" s="247">
        <f>Q109/Q107</f>
        <v>0.49106716970196362</v>
      </c>
      <c r="X109" s="248">
        <f>SUM(U95:X106)</f>
        <v>345615</v>
      </c>
      <c r="Y109" s="1048">
        <f>I96+K100+K102</f>
        <v>93</v>
      </c>
      <c r="Z109" s="1049">
        <f>I97+I98+K99+I101</f>
        <v>39</v>
      </c>
      <c r="AA109" s="4"/>
    </row>
    <row r="110" spans="1:30" x14ac:dyDescent="0.3">
      <c r="A110" s="251" t="s">
        <v>11</v>
      </c>
      <c r="B110" s="252"/>
      <c r="C110" s="252"/>
      <c r="D110" s="252"/>
      <c r="E110" s="252"/>
      <c r="F110" s="253"/>
      <c r="G110" s="252"/>
      <c r="H110" s="252"/>
      <c r="I110" s="254"/>
      <c r="J110" s="254"/>
      <c r="K110" s="254"/>
      <c r="L110" s="254"/>
      <c r="M110" s="252"/>
      <c r="N110" s="255"/>
      <c r="O110" s="256"/>
      <c r="P110" s="255"/>
      <c r="Q110" s="257">
        <f>U107/3</f>
        <v>95205</v>
      </c>
      <c r="R110" s="262">
        <f>Q110/Q107</f>
        <v>0.42058027089557354</v>
      </c>
      <c r="S110" s="1068">
        <f>Q107/M107</f>
        <v>1714.8926136363636</v>
      </c>
      <c r="T110" s="1069" t="s">
        <v>535</v>
      </c>
      <c r="Y110" s="964">
        <f>Y109/M108</f>
        <v>0.51955307262569828</v>
      </c>
      <c r="Z110" s="323">
        <f>Z109/M107</f>
        <v>0.29545454545454547</v>
      </c>
    </row>
    <row r="111" spans="1:30" x14ac:dyDescent="0.3">
      <c r="A111" s="251" t="s">
        <v>528</v>
      </c>
      <c r="B111" s="252"/>
      <c r="C111" s="252"/>
      <c r="D111" s="252"/>
      <c r="E111" s="252"/>
      <c r="F111" s="253"/>
      <c r="G111" s="252"/>
      <c r="H111" s="252"/>
      <c r="I111" s="254"/>
      <c r="J111" s="254"/>
      <c r="K111" s="254"/>
      <c r="L111" s="254"/>
      <c r="M111" s="252"/>
      <c r="N111" s="255"/>
      <c r="O111" s="256"/>
      <c r="P111" s="255"/>
      <c r="Q111" s="257">
        <f>Q104</f>
        <v>0</v>
      </c>
      <c r="R111" s="262">
        <f>Q111/Q107</f>
        <v>0</v>
      </c>
      <c r="Y111" s="2714" t="s">
        <v>537</v>
      </c>
      <c r="Z111" s="2714"/>
    </row>
    <row r="112" spans="1:30" x14ac:dyDescent="0.3">
      <c r="A112" s="251" t="s">
        <v>529</v>
      </c>
      <c r="B112" s="252"/>
      <c r="C112" s="252"/>
      <c r="D112" s="252"/>
      <c r="E112" s="252"/>
      <c r="F112" s="253"/>
      <c r="G112" s="252"/>
      <c r="H112" s="252"/>
      <c r="I112" s="254"/>
      <c r="J112" s="254"/>
      <c r="K112" s="254"/>
      <c r="L112" s="254"/>
      <c r="M112" s="252"/>
      <c r="N112" s="255"/>
      <c r="O112" s="256"/>
      <c r="P112" s="255"/>
      <c r="Q112" s="257">
        <f>X107/3</f>
        <v>20000</v>
      </c>
      <c r="R112" s="262">
        <f>Q112/Q107</f>
        <v>8.8352559402462796E-2</v>
      </c>
    </row>
    <row r="113" spans="1:30" x14ac:dyDescent="0.3">
      <c r="A113" s="243"/>
      <c r="B113" s="193"/>
      <c r="C113" s="193"/>
      <c r="D113" s="193"/>
      <c r="E113" s="193"/>
      <c r="F113" s="244"/>
      <c r="G113" s="193"/>
      <c r="H113" s="193"/>
      <c r="I113" s="245"/>
      <c r="J113" s="245"/>
      <c r="K113" s="245"/>
      <c r="L113" s="245"/>
      <c r="M113" s="193"/>
      <c r="N113" s="246"/>
      <c r="O113" s="196"/>
      <c r="P113" s="246"/>
      <c r="Q113" s="194">
        <f>SUM(Q109:Q112)</f>
        <v>226365.82500000001</v>
      </c>
      <c r="R113" s="247">
        <f>SUM(R109:R112)</f>
        <v>1</v>
      </c>
      <c r="S113" s="600"/>
    </row>
    <row r="114" spans="1:30" x14ac:dyDescent="0.3">
      <c r="A114" s="188"/>
      <c r="N114" s="5"/>
      <c r="O114" s="6"/>
      <c r="P114" s="5"/>
      <c r="Q114" s="5"/>
      <c r="R114" s="6"/>
      <c r="S114" s="701"/>
    </row>
    <row r="115" spans="1:30" x14ac:dyDescent="0.3">
      <c r="A115" s="188"/>
      <c r="N115" s="5"/>
      <c r="O115" s="6"/>
      <c r="P115" s="5"/>
      <c r="Q115" s="5"/>
      <c r="R115" s="6"/>
      <c r="S115" s="701"/>
    </row>
    <row r="116" spans="1:30" ht="18" x14ac:dyDescent="0.35">
      <c r="A116" s="1037" t="s">
        <v>538</v>
      </c>
      <c r="N116" s="5"/>
      <c r="O116" s="6"/>
      <c r="P116" s="246"/>
      <c r="Q116" s="246"/>
      <c r="R116" s="196"/>
      <c r="S116" s="702"/>
    </row>
    <row r="117" spans="1:30" x14ac:dyDescent="0.3">
      <c r="A117" s="2587" t="s">
        <v>480</v>
      </c>
      <c r="B117" s="2588"/>
      <c r="C117" s="2588"/>
      <c r="D117" s="2588"/>
      <c r="E117" s="2588"/>
      <c r="F117" s="2588"/>
      <c r="G117" s="2588"/>
      <c r="H117" s="2588"/>
      <c r="I117" s="2588"/>
      <c r="J117" s="2588"/>
      <c r="K117" s="2588"/>
      <c r="L117" s="2588"/>
      <c r="M117" s="2588"/>
      <c r="N117" s="2588"/>
      <c r="O117" s="2588"/>
      <c r="P117" s="2717"/>
      <c r="Q117" s="2717"/>
      <c r="R117" s="2718"/>
      <c r="S117" s="2719" t="s">
        <v>584</v>
      </c>
      <c r="T117" s="2564"/>
      <c r="U117" s="2564"/>
      <c r="V117" s="2564"/>
      <c r="W117" s="2564"/>
      <c r="X117" s="2564"/>
      <c r="Y117" s="2564"/>
      <c r="Z117" s="2564"/>
      <c r="AA117" s="2564"/>
      <c r="AB117" s="2564"/>
      <c r="AC117" s="2564"/>
      <c r="AD117" s="2576"/>
    </row>
    <row r="118" spans="1:30" ht="18" x14ac:dyDescent="0.3">
      <c r="A118" s="2256" t="s">
        <v>482</v>
      </c>
      <c r="B118" s="2258" t="s">
        <v>483</v>
      </c>
      <c r="C118" s="2258" t="s">
        <v>484</v>
      </c>
      <c r="D118" s="2258" t="s">
        <v>555</v>
      </c>
      <c r="E118" s="2258" t="s">
        <v>556</v>
      </c>
      <c r="F118" s="2260" t="s">
        <v>487</v>
      </c>
      <c r="G118" s="2258" t="s">
        <v>557</v>
      </c>
      <c r="H118" s="2258" t="s">
        <v>489</v>
      </c>
      <c r="I118" s="2240" t="s">
        <v>490</v>
      </c>
      <c r="J118" s="2240"/>
      <c r="K118" s="2240"/>
      <c r="L118" s="2240"/>
      <c r="M118" s="305" t="s">
        <v>491</v>
      </c>
      <c r="N118" s="306" t="s">
        <v>558</v>
      </c>
      <c r="O118" s="307" t="s">
        <v>493</v>
      </c>
      <c r="P118" s="306" t="s">
        <v>558</v>
      </c>
      <c r="Q118" s="306" t="s">
        <v>559</v>
      </c>
      <c r="R118" s="2343" t="s">
        <v>495</v>
      </c>
      <c r="S118" s="1070" t="s">
        <v>496</v>
      </c>
      <c r="T118" s="2567" t="s">
        <v>497</v>
      </c>
      <c r="U118" s="2568"/>
      <c r="V118" s="2568"/>
      <c r="W118" s="2568"/>
      <c r="X118" s="2568"/>
      <c r="Y118" s="2567" t="s">
        <v>498</v>
      </c>
      <c r="Z118" s="2571"/>
      <c r="AA118" s="2568" t="s">
        <v>499</v>
      </c>
      <c r="AB118" s="2568"/>
      <c r="AC118" s="2568"/>
      <c r="AD118" s="2571"/>
    </row>
    <row r="119" spans="1:30" ht="18" x14ac:dyDescent="0.3">
      <c r="A119" s="2257"/>
      <c r="B119" s="2259"/>
      <c r="C119" s="2259"/>
      <c r="D119" s="2259"/>
      <c r="E119" s="2259"/>
      <c r="F119" s="2261"/>
      <c r="G119" s="2259"/>
      <c r="H119" s="2259"/>
      <c r="I119" s="310" t="s">
        <v>500</v>
      </c>
      <c r="J119" s="310" t="s">
        <v>501</v>
      </c>
      <c r="K119" s="310" t="s">
        <v>502</v>
      </c>
      <c r="L119" s="310" t="s">
        <v>503</v>
      </c>
      <c r="M119" s="311" t="s">
        <v>504</v>
      </c>
      <c r="N119" s="312" t="s">
        <v>505</v>
      </c>
      <c r="O119" s="313" t="s">
        <v>506</v>
      </c>
      <c r="P119" s="312" t="s">
        <v>507</v>
      </c>
      <c r="Q119" s="312" t="s">
        <v>560</v>
      </c>
      <c r="R119" s="2344"/>
      <c r="S119" s="1396" t="s">
        <v>508</v>
      </c>
      <c r="T119" s="2572"/>
      <c r="U119" s="2574"/>
      <c r="V119" s="2574"/>
      <c r="W119" s="2574"/>
      <c r="X119" s="2574"/>
      <c r="Y119" s="2572"/>
      <c r="Z119" s="2573"/>
      <c r="AA119" s="2574"/>
      <c r="AB119" s="2574"/>
      <c r="AC119" s="2574"/>
      <c r="AD119" s="2573"/>
    </row>
    <row r="120" spans="1:30" ht="18" x14ac:dyDescent="0.35">
      <c r="A120" s="2715" t="s">
        <v>561</v>
      </c>
      <c r="B120" s="2716"/>
      <c r="C120" s="2716"/>
      <c r="D120" s="2716"/>
      <c r="E120" s="2716"/>
      <c r="F120" s="2716"/>
      <c r="G120" s="2716"/>
      <c r="H120" s="2716"/>
      <c r="I120" s="2716"/>
      <c r="J120" s="2716"/>
      <c r="K120" s="2716"/>
      <c r="L120" s="2716"/>
      <c r="M120" s="2716"/>
      <c r="N120" s="2716"/>
      <c r="O120" s="2716"/>
      <c r="P120" s="2716"/>
      <c r="Q120" s="2716"/>
      <c r="R120" s="2716"/>
      <c r="S120" s="1397"/>
      <c r="T120" s="563" t="s">
        <v>510</v>
      </c>
      <c r="U120" s="717" t="s">
        <v>11</v>
      </c>
      <c r="V120" s="717" t="s">
        <v>511</v>
      </c>
      <c r="W120" s="1398" t="s">
        <v>512</v>
      </c>
      <c r="X120" s="717" t="s">
        <v>513</v>
      </c>
      <c r="Y120" s="719" t="s">
        <v>514</v>
      </c>
      <c r="Z120" s="718" t="s">
        <v>515</v>
      </c>
      <c r="AA120" s="561" t="s">
        <v>154</v>
      </c>
      <c r="AB120" s="561" t="s">
        <v>6</v>
      </c>
      <c r="AC120" s="561" t="s">
        <v>181</v>
      </c>
      <c r="AD120" s="562" t="s">
        <v>5</v>
      </c>
    </row>
    <row r="121" spans="1:30" x14ac:dyDescent="0.3">
      <c r="A121" s="154"/>
      <c r="B121" s="462"/>
      <c r="C121" s="462"/>
      <c r="D121" s="462"/>
      <c r="E121" s="462"/>
      <c r="F121" s="463"/>
      <c r="G121" s="462"/>
      <c r="H121" s="462"/>
      <c r="I121" s="465"/>
      <c r="J121" s="465"/>
      <c r="K121" s="465"/>
      <c r="L121" s="465"/>
      <c r="M121" s="462"/>
      <c r="N121" s="468"/>
      <c r="O121" s="469"/>
      <c r="P121" s="468"/>
      <c r="Q121" s="468"/>
      <c r="R121" s="532"/>
      <c r="S121" s="283"/>
      <c r="T121" s="280"/>
      <c r="W121" s="465"/>
      <c r="Y121" s="280"/>
      <c r="Z121" s="152"/>
      <c r="AD121" s="152"/>
    </row>
    <row r="122" spans="1:30" x14ac:dyDescent="0.3">
      <c r="A122" s="157" t="s">
        <v>937</v>
      </c>
      <c r="B122" s="157" t="s">
        <v>182</v>
      </c>
      <c r="C122" s="157" t="s">
        <v>938</v>
      </c>
      <c r="D122" s="157" t="s">
        <v>26</v>
      </c>
      <c r="E122" s="157" t="s">
        <v>520</v>
      </c>
      <c r="F122" s="158" t="s">
        <v>654</v>
      </c>
      <c r="G122" s="157">
        <v>2</v>
      </c>
      <c r="H122" s="157" t="s">
        <v>24</v>
      </c>
      <c r="I122" s="175">
        <v>2</v>
      </c>
      <c r="J122" s="176"/>
      <c r="K122" s="176"/>
      <c r="L122" s="177"/>
      <c r="M122" s="157">
        <v>1</v>
      </c>
      <c r="N122" s="503">
        <v>21600</v>
      </c>
      <c r="O122" s="173">
        <v>0.45</v>
      </c>
      <c r="P122" s="503">
        <f t="shared" ref="P122:P126" si="20">N122*(1-O122)</f>
        <v>11880.000000000002</v>
      </c>
      <c r="Q122" s="503">
        <f>P122*M122*G122</f>
        <v>23760.000000000004</v>
      </c>
      <c r="R122" s="178">
        <f>Q122/$Q$134</f>
        <v>0.1056292663487297</v>
      </c>
      <c r="S122" s="150">
        <f>Q122</f>
        <v>23760.000000000004</v>
      </c>
      <c r="T122" s="282">
        <f>S122</f>
        <v>23760.000000000004</v>
      </c>
      <c r="U122" s="169"/>
      <c r="V122" s="169"/>
      <c r="W122" s="169"/>
      <c r="Y122" s="282">
        <f>S122</f>
        <v>23760.000000000004</v>
      </c>
      <c r="Z122" s="171"/>
      <c r="AA122" s="169">
        <f>S122</f>
        <v>23760.000000000004</v>
      </c>
      <c r="AD122" s="152"/>
    </row>
    <row r="123" spans="1:30" x14ac:dyDescent="0.3">
      <c r="A123" s="157" t="s">
        <v>937</v>
      </c>
      <c r="B123" s="157" t="s">
        <v>182</v>
      </c>
      <c r="C123" s="157" t="s">
        <v>938</v>
      </c>
      <c r="D123" s="157" t="s">
        <v>102</v>
      </c>
      <c r="E123" s="157" t="s">
        <v>518</v>
      </c>
      <c r="F123" s="158" t="s">
        <v>939</v>
      </c>
      <c r="G123" s="157">
        <v>2</v>
      </c>
      <c r="H123" s="157" t="s">
        <v>24</v>
      </c>
      <c r="I123" s="175">
        <v>2</v>
      </c>
      <c r="J123" s="176"/>
      <c r="K123" s="176"/>
      <c r="L123" s="177"/>
      <c r="M123" s="157">
        <v>1</v>
      </c>
      <c r="N123" s="503">
        <v>15900</v>
      </c>
      <c r="O123" s="173">
        <v>0.3</v>
      </c>
      <c r="P123" s="503">
        <f t="shared" si="20"/>
        <v>11130</v>
      </c>
      <c r="Q123" s="503">
        <f t="shared" ref="Q123:Q128" si="21">P123*M123*G123</f>
        <v>22260</v>
      </c>
      <c r="R123" s="167">
        <f t="shared" ref="R123:R129" si="22">Q123/$Q$134</f>
        <v>9.8960752059037149E-2</v>
      </c>
      <c r="S123" s="150">
        <f t="shared" ref="S123:S129" si="23">Q123</f>
        <v>22260</v>
      </c>
      <c r="T123" s="282">
        <f>S123</f>
        <v>22260</v>
      </c>
      <c r="U123" s="169"/>
      <c r="V123" s="169"/>
      <c r="W123" s="169"/>
      <c r="Y123" s="282"/>
      <c r="Z123" s="171">
        <f>S123</f>
        <v>22260</v>
      </c>
      <c r="AA123" s="169">
        <f>S123</f>
        <v>22260</v>
      </c>
      <c r="AD123" s="152"/>
    </row>
    <row r="124" spans="1:30" x14ac:dyDescent="0.3">
      <c r="A124" s="157" t="s">
        <v>937</v>
      </c>
      <c r="B124" s="157" t="s">
        <v>183</v>
      </c>
      <c r="C124" s="157" t="s">
        <v>940</v>
      </c>
      <c r="D124" s="157" t="s">
        <v>184</v>
      </c>
      <c r="E124" s="157" t="s">
        <v>518</v>
      </c>
      <c r="F124" s="158" t="s">
        <v>185</v>
      </c>
      <c r="G124" s="157">
        <v>1</v>
      </c>
      <c r="H124" s="157" t="s">
        <v>106</v>
      </c>
      <c r="I124" s="175">
        <v>30</v>
      </c>
      <c r="J124" s="688"/>
      <c r="K124" s="179"/>
      <c r="L124" s="180"/>
      <c r="M124" s="157">
        <v>1</v>
      </c>
      <c r="N124" s="503">
        <v>52500</v>
      </c>
      <c r="O124" s="173">
        <v>0.45</v>
      </c>
      <c r="P124" s="503">
        <f t="shared" si="20"/>
        <v>28875.000000000004</v>
      </c>
      <c r="Q124" s="503">
        <f t="shared" si="21"/>
        <v>28875.000000000004</v>
      </c>
      <c r="R124" s="167">
        <f>Q124/$Q$134</f>
        <v>0.12836890007658122</v>
      </c>
      <c r="S124" s="150">
        <f t="shared" si="23"/>
        <v>28875.000000000004</v>
      </c>
      <c r="T124" s="282"/>
      <c r="U124" s="169">
        <f>S124</f>
        <v>28875.000000000004</v>
      </c>
      <c r="V124" s="169"/>
      <c r="W124" s="169"/>
      <c r="Y124" s="282"/>
      <c r="Z124" s="171">
        <f>S124</f>
        <v>28875.000000000004</v>
      </c>
      <c r="AB124" s="169">
        <f>S124</f>
        <v>28875.000000000004</v>
      </c>
      <c r="AD124" s="152"/>
    </row>
    <row r="125" spans="1:30" x14ac:dyDescent="0.3">
      <c r="A125" s="157" t="s">
        <v>937</v>
      </c>
      <c r="B125" s="157" t="s">
        <v>183</v>
      </c>
      <c r="C125" s="157" t="s">
        <v>938</v>
      </c>
      <c r="D125" s="157" t="s">
        <v>102</v>
      </c>
      <c r="E125" s="157" t="s">
        <v>518</v>
      </c>
      <c r="F125" s="158" t="s">
        <v>939</v>
      </c>
      <c r="G125" s="157">
        <v>1</v>
      </c>
      <c r="H125" s="157" t="s">
        <v>22</v>
      </c>
      <c r="I125" s="772"/>
      <c r="K125" s="285">
        <v>1</v>
      </c>
      <c r="L125" s="180"/>
      <c r="M125" s="163">
        <v>1</v>
      </c>
      <c r="N125" s="503">
        <v>20800</v>
      </c>
      <c r="O125" s="173">
        <v>0.45</v>
      </c>
      <c r="P125" s="503">
        <f t="shared" si="20"/>
        <v>11440.000000000002</v>
      </c>
      <c r="Q125" s="503">
        <f t="shared" si="21"/>
        <v>11440.000000000002</v>
      </c>
      <c r="R125" s="167">
        <f t="shared" si="22"/>
        <v>5.0858535649388373E-2</v>
      </c>
      <c r="S125" s="150">
        <f t="shared" si="23"/>
        <v>11440.000000000002</v>
      </c>
      <c r="T125" s="282">
        <f>S125</f>
        <v>11440.000000000002</v>
      </c>
      <c r="U125" s="169"/>
      <c r="V125" s="169"/>
      <c r="W125" s="169"/>
      <c r="Y125" s="282"/>
      <c r="Z125" s="171">
        <f>S125</f>
        <v>11440.000000000002</v>
      </c>
      <c r="AB125" s="169">
        <f>S125</f>
        <v>11440.000000000002</v>
      </c>
      <c r="AD125" s="152"/>
    </row>
    <row r="126" spans="1:30" x14ac:dyDescent="0.3">
      <c r="A126" s="157" t="s">
        <v>937</v>
      </c>
      <c r="B126" s="157" t="s">
        <v>183</v>
      </c>
      <c r="C126" s="157" t="s">
        <v>940</v>
      </c>
      <c r="D126" s="157" t="s">
        <v>184</v>
      </c>
      <c r="E126" s="157" t="s">
        <v>520</v>
      </c>
      <c r="F126" s="158" t="s">
        <v>941</v>
      </c>
      <c r="G126" s="157">
        <v>1</v>
      </c>
      <c r="H126" s="157" t="s">
        <v>106</v>
      </c>
      <c r="I126" s="772"/>
      <c r="K126" s="176">
        <v>30</v>
      </c>
      <c r="L126" s="177"/>
      <c r="M126" s="163">
        <v>1</v>
      </c>
      <c r="N126" s="503">
        <v>69000</v>
      </c>
      <c r="O126" s="173">
        <v>0.45</v>
      </c>
      <c r="P126" s="503">
        <f t="shared" si="20"/>
        <v>37950</v>
      </c>
      <c r="Q126" s="503">
        <f t="shared" si="21"/>
        <v>37950</v>
      </c>
      <c r="R126" s="178">
        <f t="shared" si="22"/>
        <v>0.16871341152922104</v>
      </c>
      <c r="S126" s="150">
        <f t="shared" si="23"/>
        <v>37950</v>
      </c>
      <c r="T126" s="282"/>
      <c r="U126" s="169">
        <f>S126</f>
        <v>37950</v>
      </c>
      <c r="V126" s="169"/>
      <c r="W126" s="169"/>
      <c r="Y126" s="282">
        <f>S126</f>
        <v>37950</v>
      </c>
      <c r="Z126" s="171"/>
      <c r="AB126" s="169">
        <f>S126</f>
        <v>37950</v>
      </c>
      <c r="AD126" s="152"/>
    </row>
    <row r="127" spans="1:30" x14ac:dyDescent="0.3">
      <c r="A127" s="157" t="s">
        <v>937</v>
      </c>
      <c r="B127" s="157" t="s">
        <v>186</v>
      </c>
      <c r="C127" s="157" t="s">
        <v>938</v>
      </c>
      <c r="D127" s="157" t="s">
        <v>102</v>
      </c>
      <c r="E127" s="157" t="s">
        <v>518</v>
      </c>
      <c r="F127" s="158" t="s">
        <v>939</v>
      </c>
      <c r="G127" s="157">
        <v>4</v>
      </c>
      <c r="H127" s="157" t="s">
        <v>106</v>
      </c>
      <c r="I127" s="175">
        <v>4</v>
      </c>
      <c r="J127" s="688"/>
      <c r="K127" s="179"/>
      <c r="L127" s="180"/>
      <c r="M127" s="163">
        <v>1</v>
      </c>
      <c r="N127" s="503">
        <v>37201</v>
      </c>
      <c r="O127" s="173">
        <v>0.83499999999999996</v>
      </c>
      <c r="P127" s="503">
        <f>N127*(1-O127)</f>
        <v>6138.1650000000009</v>
      </c>
      <c r="Q127" s="503">
        <f t="shared" si="21"/>
        <v>24552.660000000003</v>
      </c>
      <c r="R127" s="167">
        <f t="shared" si="22"/>
        <v>0.10915317603997482</v>
      </c>
      <c r="S127" s="150">
        <f t="shared" si="23"/>
        <v>24552.660000000003</v>
      </c>
      <c r="T127" s="282">
        <f>S127</f>
        <v>24552.660000000003</v>
      </c>
      <c r="U127" s="169"/>
      <c r="V127" s="169"/>
      <c r="W127" s="169"/>
      <c r="Y127" s="282"/>
      <c r="Z127" s="171">
        <f>S127</f>
        <v>24552.660000000003</v>
      </c>
      <c r="AC127" s="169">
        <f>S127</f>
        <v>24552.660000000003</v>
      </c>
      <c r="AD127" s="152"/>
    </row>
    <row r="128" spans="1:30" x14ac:dyDescent="0.3">
      <c r="A128" s="157" t="s">
        <v>937</v>
      </c>
      <c r="B128" s="157" t="s">
        <v>108</v>
      </c>
      <c r="C128" s="157" t="s">
        <v>942</v>
      </c>
      <c r="D128" s="157" t="s">
        <v>187</v>
      </c>
      <c r="E128" s="157" t="s">
        <v>520</v>
      </c>
      <c r="F128" s="158" t="s">
        <v>939</v>
      </c>
      <c r="G128" s="157">
        <v>1</v>
      </c>
      <c r="H128" s="157" t="s">
        <v>22</v>
      </c>
      <c r="K128" s="688">
        <v>60</v>
      </c>
      <c r="L128" s="774"/>
      <c r="M128" s="163">
        <v>1</v>
      </c>
      <c r="N128" s="166">
        <v>51600</v>
      </c>
      <c r="O128" s="173">
        <v>0.45</v>
      </c>
      <c r="P128" s="166">
        <f t="shared" ref="P128:P129" si="24">N128*(1-O128)</f>
        <v>28380.000000000004</v>
      </c>
      <c r="Q128" s="166">
        <f t="shared" si="21"/>
        <v>28380.000000000004</v>
      </c>
      <c r="R128" s="178">
        <f t="shared" si="22"/>
        <v>0.1261682903609827</v>
      </c>
      <c r="S128" s="150">
        <f t="shared" si="23"/>
        <v>28380.000000000004</v>
      </c>
      <c r="T128" s="282"/>
      <c r="U128" s="169">
        <f>S128</f>
        <v>28380.000000000004</v>
      </c>
      <c r="V128" s="169"/>
      <c r="W128" s="169"/>
      <c r="Y128" s="282">
        <f>S128</f>
        <v>28380.000000000004</v>
      </c>
      <c r="Z128" s="171"/>
      <c r="AD128" s="171">
        <f>S128</f>
        <v>28380.000000000004</v>
      </c>
    </row>
    <row r="129" spans="1:30" x14ac:dyDescent="0.3">
      <c r="A129" s="157" t="s">
        <v>937</v>
      </c>
      <c r="B129" s="157" t="s">
        <v>108</v>
      </c>
      <c r="C129" s="157" t="s">
        <v>943</v>
      </c>
      <c r="D129" s="157" t="s">
        <v>188</v>
      </c>
      <c r="E129" s="157" t="s">
        <v>520</v>
      </c>
      <c r="F129" s="158" t="s">
        <v>944</v>
      </c>
      <c r="G129" s="157">
        <v>1</v>
      </c>
      <c r="H129" s="157" t="s">
        <v>22</v>
      </c>
      <c r="I129" s="285">
        <v>70</v>
      </c>
      <c r="J129" s="285">
        <v>70</v>
      </c>
      <c r="M129" s="157">
        <v>2</v>
      </c>
      <c r="N129" s="166">
        <v>25200</v>
      </c>
      <c r="O129" s="173">
        <v>0.45</v>
      </c>
      <c r="P129" s="166">
        <f t="shared" si="24"/>
        <v>13860.000000000002</v>
      </c>
      <c r="Q129" s="166">
        <f>P129*M129*G129</f>
        <v>27720.000000000004</v>
      </c>
      <c r="R129" s="178">
        <f t="shared" si="22"/>
        <v>0.12323414407351799</v>
      </c>
      <c r="S129" s="150">
        <f t="shared" si="23"/>
        <v>27720.000000000004</v>
      </c>
      <c r="T129" s="282"/>
      <c r="U129" s="169">
        <f>S129</f>
        <v>27720.000000000004</v>
      </c>
      <c r="Y129" s="282">
        <f>S129</f>
        <v>27720.000000000004</v>
      </c>
      <c r="Z129" s="171"/>
      <c r="AD129" s="171">
        <f>S129</f>
        <v>27720.000000000004</v>
      </c>
    </row>
    <row r="130" spans="1:30" x14ac:dyDescent="0.3">
      <c r="A130" s="172"/>
      <c r="B130" s="157"/>
      <c r="C130" s="474"/>
      <c r="N130" s="5"/>
      <c r="O130" s="6"/>
      <c r="P130" s="186"/>
      <c r="Q130" s="166"/>
      <c r="R130" s="393"/>
      <c r="S130" s="283"/>
      <c r="T130" s="280"/>
      <c r="Y130" s="280"/>
      <c r="Z130" s="152"/>
      <c r="AD130" s="152"/>
    </row>
    <row r="131" spans="1:30" x14ac:dyDescent="0.3">
      <c r="A131" s="108" t="s">
        <v>937</v>
      </c>
      <c r="B131" s="108" t="s">
        <v>528</v>
      </c>
      <c r="C131" s="289"/>
      <c r="D131" s="252"/>
      <c r="E131" s="252"/>
      <c r="F131" s="253"/>
      <c r="G131" s="252"/>
      <c r="H131" s="252"/>
      <c r="I131" s="254"/>
      <c r="J131" s="254"/>
      <c r="K131" s="254"/>
      <c r="L131" s="254"/>
      <c r="M131" s="252"/>
      <c r="N131" s="255"/>
      <c r="O131" s="256"/>
      <c r="P131" s="290"/>
      <c r="Q131" s="257"/>
      <c r="R131" s="291"/>
      <c r="S131" s="150"/>
      <c r="T131" s="280"/>
      <c r="V131" s="169">
        <f>S131</f>
        <v>0</v>
      </c>
      <c r="Y131" s="280"/>
      <c r="Z131" s="152"/>
      <c r="AD131" s="152"/>
    </row>
    <row r="132" spans="1:30" x14ac:dyDescent="0.3">
      <c r="A132" s="108" t="s">
        <v>937</v>
      </c>
      <c r="B132" s="108" t="s">
        <v>529</v>
      </c>
      <c r="C132" s="289"/>
      <c r="D132" s="252"/>
      <c r="E132" s="252"/>
      <c r="F132" s="253"/>
      <c r="G132" s="252"/>
      <c r="H132" s="252"/>
      <c r="I132" s="254"/>
      <c r="J132" s="254"/>
      <c r="K132" s="254"/>
      <c r="L132" s="254"/>
      <c r="M132" s="252"/>
      <c r="N132" s="255"/>
      <c r="O132" s="256"/>
      <c r="P132" s="290"/>
      <c r="Q132" s="257">
        <v>20000</v>
      </c>
      <c r="R132" s="291">
        <f>Q132/Q134</f>
        <v>8.8913523862567082E-2</v>
      </c>
      <c r="S132" s="150">
        <f>Q132</f>
        <v>20000</v>
      </c>
      <c r="T132" s="280"/>
      <c r="W132" s="169">
        <f>S132</f>
        <v>20000</v>
      </c>
      <c r="Y132" s="280"/>
      <c r="Z132" s="152"/>
      <c r="AD132" s="152"/>
    </row>
    <row r="133" spans="1:30" x14ac:dyDescent="0.3">
      <c r="I133" s="115">
        <f>I134/$M$134</f>
        <v>0.40148698884758366</v>
      </c>
      <c r="J133" s="115">
        <f t="shared" ref="J133:K133" si="25">J134/$M$134</f>
        <v>0.26022304832713755</v>
      </c>
      <c r="K133" s="115">
        <f t="shared" si="25"/>
        <v>0.33828996282527879</v>
      </c>
      <c r="S133" s="283"/>
      <c r="T133" s="566"/>
      <c r="U133" s="245"/>
      <c r="V133" s="245"/>
      <c r="W133" s="245"/>
      <c r="X133" s="245"/>
      <c r="Y133" s="566"/>
      <c r="Z133" s="567"/>
      <c r="AA133" s="245"/>
      <c r="AB133" s="245"/>
      <c r="AC133" s="245"/>
      <c r="AD133" s="567"/>
    </row>
    <row r="134" spans="1:30" x14ac:dyDescent="0.3">
      <c r="A134" s="326" t="s">
        <v>531</v>
      </c>
      <c r="B134" s="327"/>
      <c r="C134" s="327"/>
      <c r="D134" s="327"/>
      <c r="E134" s="327"/>
      <c r="F134" s="328"/>
      <c r="G134" s="327"/>
      <c r="H134" s="327"/>
      <c r="I134" s="697">
        <f>I127+I124+I123+I122+I129</f>
        <v>108</v>
      </c>
      <c r="J134" s="697">
        <f>J129</f>
        <v>70</v>
      </c>
      <c r="K134" s="697">
        <f>K128+K126+K125</f>
        <v>91</v>
      </c>
      <c r="L134" s="697"/>
      <c r="M134" s="327">
        <f>SUM(I134:L134)</f>
        <v>269</v>
      </c>
      <c r="N134" s="329"/>
      <c r="O134" s="330"/>
      <c r="P134" s="329"/>
      <c r="Q134" s="331">
        <f>SUM(Q121:Q133)</f>
        <v>224937.66</v>
      </c>
      <c r="R134" s="332">
        <f>SUM(R122:R132)</f>
        <v>1</v>
      </c>
      <c r="S134" s="1072">
        <f>SUM(S121:S133)</f>
        <v>224937.66</v>
      </c>
      <c r="T134" s="588">
        <f t="shared" ref="T134:W134" si="26">SUM(T121:T132)</f>
        <v>82012.66</v>
      </c>
      <c r="U134" s="589">
        <f t="shared" si="26"/>
        <v>122925</v>
      </c>
      <c r="V134" s="589">
        <f t="shared" si="26"/>
        <v>0</v>
      </c>
      <c r="W134" s="589">
        <f t="shared" si="26"/>
        <v>20000</v>
      </c>
      <c r="X134" s="649"/>
      <c r="Y134" s="648">
        <f>SUM(Y121:Y132)</f>
        <v>117810</v>
      </c>
      <c r="Z134" s="647">
        <f>SUM(Z121:Z132)</f>
        <v>87127.66</v>
      </c>
      <c r="AA134" s="589">
        <f>SUM(AA121:AA133)</f>
        <v>46020</v>
      </c>
      <c r="AB134" s="589">
        <f>SUM(AB121:AB133)</f>
        <v>78265</v>
      </c>
      <c r="AC134" s="589">
        <f>SUM(AC121:AC133)</f>
        <v>24552.660000000003</v>
      </c>
      <c r="AD134" s="647">
        <f>SUM(AD121:AD133)</f>
        <v>56100.000000000007</v>
      </c>
    </row>
    <row r="135" spans="1:30" x14ac:dyDescent="0.3">
      <c r="A135" s="342" t="s">
        <v>532</v>
      </c>
      <c r="B135" s="343"/>
      <c r="C135" s="343"/>
      <c r="D135" s="343"/>
      <c r="E135" s="343"/>
      <c r="F135" s="344"/>
      <c r="G135" s="343"/>
      <c r="H135" s="343"/>
      <c r="I135" s="700">
        <f>I127+I124+I123+I122+I129</f>
        <v>108</v>
      </c>
      <c r="J135" s="700">
        <f>J129+I127+I124+I123+I122</f>
        <v>108</v>
      </c>
      <c r="K135" s="700">
        <f>K128+K126+K125+I123+I122</f>
        <v>95</v>
      </c>
      <c r="L135" s="700"/>
      <c r="M135" s="343">
        <f>SUM(I135:L135)</f>
        <v>311</v>
      </c>
      <c r="N135" s="345"/>
      <c r="O135" s="346"/>
      <c r="P135" s="345"/>
      <c r="Q135" s="345"/>
      <c r="R135" s="347"/>
      <c r="S135" s="1004">
        <f>Q134/M134</f>
        <v>836.1994795539033</v>
      </c>
      <c r="T135" s="349">
        <f>T134/S134</f>
        <v>0.36460173009713004</v>
      </c>
      <c r="U135" s="524"/>
      <c r="V135" s="350">
        <f>V134/S134</f>
        <v>0</v>
      </c>
      <c r="W135" s="350">
        <f>W134/S134</f>
        <v>8.8913523862567082E-2</v>
      </c>
      <c r="X135" s="524"/>
      <c r="Y135" s="351"/>
      <c r="Z135" s="352"/>
      <c r="AA135" s="1395"/>
      <c r="AB135" s="524"/>
      <c r="AC135" s="524"/>
      <c r="AD135" s="356"/>
    </row>
    <row r="136" spans="1:30" x14ac:dyDescent="0.3">
      <c r="A136" s="243" t="s">
        <v>533</v>
      </c>
      <c r="B136" s="193"/>
      <c r="C136" s="193"/>
      <c r="D136" s="193"/>
      <c r="E136" s="193"/>
      <c r="F136" s="244"/>
      <c r="G136" s="193"/>
      <c r="H136" s="193"/>
      <c r="I136" s="2182">
        <f>I135/$M$135</f>
        <v>0.34726688102893893</v>
      </c>
      <c r="J136" s="2182">
        <f t="shared" ref="J136:K136" si="27">J135/$M$135</f>
        <v>0.34726688102893893</v>
      </c>
      <c r="K136" s="2182">
        <f t="shared" si="27"/>
        <v>0.30546623794212219</v>
      </c>
      <c r="L136" s="245"/>
      <c r="M136" s="193"/>
      <c r="N136" s="246"/>
      <c r="O136" s="196"/>
      <c r="P136" s="246"/>
      <c r="Q136" s="194">
        <f>T134</f>
        <v>82012.66</v>
      </c>
      <c r="R136" s="247">
        <f>Q136/Q134</f>
        <v>0.36460173009713004</v>
      </c>
      <c r="W136" s="248"/>
      <c r="Y136" s="1048">
        <f>I122+K126+K128+I129+J129</f>
        <v>232</v>
      </c>
      <c r="Z136" s="1049">
        <f>I123+I124+K125+I127</f>
        <v>37</v>
      </c>
      <c r="AA136" s="4"/>
    </row>
    <row r="137" spans="1:30" x14ac:dyDescent="0.3">
      <c r="A137" s="251" t="s">
        <v>11</v>
      </c>
      <c r="B137" s="252"/>
      <c r="C137" s="252"/>
      <c r="D137" s="252"/>
      <c r="E137" s="252"/>
      <c r="F137" s="253"/>
      <c r="G137" s="252"/>
      <c r="H137" s="252"/>
      <c r="I137" s="254"/>
      <c r="J137" s="254"/>
      <c r="K137" s="254"/>
      <c r="L137" s="254"/>
      <c r="M137" s="252"/>
      <c r="N137" s="255"/>
      <c r="O137" s="256"/>
      <c r="P137" s="255"/>
      <c r="Q137" s="257">
        <f>U134</f>
        <v>122925</v>
      </c>
      <c r="R137" s="262">
        <f>Q137/Q134</f>
        <v>0.54648474604030284</v>
      </c>
      <c r="S137" s="1068">
        <f>Q134/M134</f>
        <v>836.1994795539033</v>
      </c>
      <c r="T137" s="1069" t="s">
        <v>535</v>
      </c>
      <c r="Y137" s="964">
        <f>Y136/M135</f>
        <v>0.74598070739549838</v>
      </c>
      <c r="Z137" s="323">
        <f>Z136/M134</f>
        <v>0.13754646840148699</v>
      </c>
    </row>
    <row r="138" spans="1:30" x14ac:dyDescent="0.3">
      <c r="A138" s="251" t="s">
        <v>528</v>
      </c>
      <c r="B138" s="252"/>
      <c r="C138" s="252"/>
      <c r="D138" s="252"/>
      <c r="E138" s="252"/>
      <c r="F138" s="253"/>
      <c r="G138" s="252"/>
      <c r="H138" s="252"/>
      <c r="I138" s="254"/>
      <c r="J138" s="254"/>
      <c r="K138" s="254"/>
      <c r="L138" s="254"/>
      <c r="M138" s="252"/>
      <c r="N138" s="255"/>
      <c r="O138" s="256"/>
      <c r="P138" s="255"/>
      <c r="Q138" s="257">
        <f>Q131</f>
        <v>0</v>
      </c>
      <c r="R138" s="262">
        <f>Q138/Q134</f>
        <v>0</v>
      </c>
      <c r="Y138" s="2714" t="s">
        <v>537</v>
      </c>
      <c r="Z138" s="2714"/>
    </row>
    <row r="139" spans="1:30" x14ac:dyDescent="0.3">
      <c r="A139" s="251" t="s">
        <v>529</v>
      </c>
      <c r="B139" s="252"/>
      <c r="C139" s="252"/>
      <c r="D139" s="252"/>
      <c r="E139" s="252"/>
      <c r="F139" s="253"/>
      <c r="G139" s="252"/>
      <c r="H139" s="252"/>
      <c r="I139" s="254"/>
      <c r="J139" s="254"/>
      <c r="K139" s="254"/>
      <c r="L139" s="254"/>
      <c r="M139" s="252"/>
      <c r="N139" s="255"/>
      <c r="O139" s="256"/>
      <c r="P139" s="255"/>
      <c r="Q139" s="257">
        <f>W134</f>
        <v>20000</v>
      </c>
      <c r="R139" s="262">
        <f>Q139/Q134</f>
        <v>8.8913523862567082E-2</v>
      </c>
    </row>
    <row r="140" spans="1:30" x14ac:dyDescent="0.3">
      <c r="A140" s="243"/>
      <c r="B140" s="193"/>
      <c r="C140" s="193"/>
      <c r="D140" s="193"/>
      <c r="E140" s="193"/>
      <c r="F140" s="244"/>
      <c r="G140" s="193"/>
      <c r="H140" s="193"/>
      <c r="I140" s="245"/>
      <c r="J140" s="245"/>
      <c r="K140" s="245"/>
      <c r="L140" s="245"/>
      <c r="M140" s="193"/>
      <c r="N140" s="246"/>
      <c r="O140" s="196"/>
      <c r="P140" s="246"/>
      <c r="Q140" s="194">
        <f>SUM(Q136:Q139)</f>
        <v>224937.66</v>
      </c>
      <c r="R140" s="247">
        <f>SUM(R136:R139)</f>
        <v>1</v>
      </c>
      <c r="S140" s="600"/>
    </row>
    <row r="143" spans="1:30" x14ac:dyDescent="0.3">
      <c r="D143" s="1" t="s">
        <v>562</v>
      </c>
      <c r="E143" s="1"/>
      <c r="F143" s="2" t="s">
        <v>563</v>
      </c>
    </row>
    <row r="144" spans="1:30" x14ac:dyDescent="0.3">
      <c r="D144" s="1" t="s">
        <v>473</v>
      </c>
      <c r="E144" s="1"/>
      <c r="F144" s="2" t="s">
        <v>474</v>
      </c>
    </row>
    <row r="145" spans="1:30" x14ac:dyDescent="0.3">
      <c r="D145" s="1" t="s">
        <v>475</v>
      </c>
      <c r="E145" s="1"/>
      <c r="F145" s="2" t="s">
        <v>949</v>
      </c>
    </row>
    <row r="146" spans="1:30" x14ac:dyDescent="0.3">
      <c r="D146" s="1" t="s">
        <v>477</v>
      </c>
      <c r="E146" s="1"/>
      <c r="F146" s="2" t="s">
        <v>950</v>
      </c>
    </row>
    <row r="148" spans="1:30" ht="18" x14ac:dyDescent="0.35">
      <c r="A148" s="1037" t="s">
        <v>567</v>
      </c>
    </row>
    <row r="150" spans="1:30" x14ac:dyDescent="0.3">
      <c r="A150" s="2587" t="s">
        <v>480</v>
      </c>
      <c r="B150" s="2588"/>
      <c r="C150" s="2588"/>
      <c r="D150" s="2588"/>
      <c r="E150" s="2588"/>
      <c r="F150" s="2588"/>
      <c r="G150" s="2588"/>
      <c r="H150" s="2588"/>
      <c r="I150" s="2588"/>
      <c r="J150" s="2588"/>
      <c r="K150" s="2588"/>
      <c r="L150" s="2588"/>
      <c r="M150" s="2588"/>
      <c r="N150" s="2588"/>
      <c r="O150" s="2588"/>
      <c r="P150" s="2588"/>
      <c r="Q150" s="2588"/>
      <c r="R150" s="2589"/>
      <c r="S150" s="2564" t="s">
        <v>584</v>
      </c>
      <c r="T150" s="2564"/>
      <c r="U150" s="2564"/>
      <c r="V150" s="2564"/>
      <c r="W150" s="2564"/>
      <c r="X150" s="2564"/>
      <c r="Y150" s="2564"/>
      <c r="Z150" s="2564"/>
      <c r="AA150" s="2564"/>
      <c r="AB150" s="2564"/>
      <c r="AC150" s="2564"/>
      <c r="AD150" s="2576"/>
    </row>
    <row r="151" spans="1:30" ht="18" x14ac:dyDescent="0.3">
      <c r="A151" s="2227" t="s">
        <v>482</v>
      </c>
      <c r="B151" s="2215" t="s">
        <v>483</v>
      </c>
      <c r="C151" s="2215" t="s">
        <v>484</v>
      </c>
      <c r="D151" s="2215" t="s">
        <v>555</v>
      </c>
      <c r="E151" s="2215" t="s">
        <v>556</v>
      </c>
      <c r="F151" s="2213" t="s">
        <v>487</v>
      </c>
      <c r="G151" s="2215" t="s">
        <v>557</v>
      </c>
      <c r="H151" s="2215" t="s">
        <v>489</v>
      </c>
      <c r="I151" s="2713" t="s">
        <v>490</v>
      </c>
      <c r="J151" s="2713"/>
      <c r="K151" s="2713"/>
      <c r="L151" s="2713"/>
      <c r="M151" s="374" t="s">
        <v>491</v>
      </c>
      <c r="N151" s="375" t="s">
        <v>558</v>
      </c>
      <c r="O151" s="376" t="s">
        <v>493</v>
      </c>
      <c r="P151" s="375" t="s">
        <v>558</v>
      </c>
      <c r="Q151" s="375" t="s">
        <v>559</v>
      </c>
      <c r="R151" s="2327" t="s">
        <v>495</v>
      </c>
      <c r="S151" s="1073" t="s">
        <v>496</v>
      </c>
      <c r="T151" s="2552" t="s">
        <v>497</v>
      </c>
      <c r="U151" s="2553"/>
      <c r="V151" s="2553"/>
      <c r="W151" s="2553"/>
      <c r="X151" s="2553"/>
      <c r="Y151" s="2552" t="s">
        <v>498</v>
      </c>
      <c r="Z151" s="2556"/>
      <c r="AA151" s="2552" t="s">
        <v>499</v>
      </c>
      <c r="AB151" s="2553"/>
      <c r="AC151" s="2553"/>
      <c r="AD151" s="2556"/>
    </row>
    <row r="152" spans="1:30" ht="18" x14ac:dyDescent="0.3">
      <c r="A152" s="2341"/>
      <c r="B152" s="2326"/>
      <c r="C152" s="2326"/>
      <c r="D152" s="2326"/>
      <c r="E152" s="2326"/>
      <c r="F152" s="2342"/>
      <c r="G152" s="2326"/>
      <c r="H152" s="2326"/>
      <c r="I152" s="536" t="s">
        <v>500</v>
      </c>
      <c r="J152" s="536" t="s">
        <v>501</v>
      </c>
      <c r="K152" s="536" t="s">
        <v>502</v>
      </c>
      <c r="L152" s="536" t="s">
        <v>503</v>
      </c>
      <c r="M152" s="537" t="s">
        <v>504</v>
      </c>
      <c r="N152" s="538" t="s">
        <v>505</v>
      </c>
      <c r="O152" s="539" t="s">
        <v>506</v>
      </c>
      <c r="P152" s="538" t="s">
        <v>507</v>
      </c>
      <c r="Q152" s="538" t="s">
        <v>560</v>
      </c>
      <c r="R152" s="2328"/>
      <c r="S152" s="1074" t="s">
        <v>508</v>
      </c>
      <c r="T152" s="2554"/>
      <c r="U152" s="2555"/>
      <c r="V152" s="2555"/>
      <c r="W152" s="2555"/>
      <c r="X152" s="2555"/>
      <c r="Y152" s="2554"/>
      <c r="Z152" s="2710"/>
      <c r="AA152" s="2554"/>
      <c r="AB152" s="2555"/>
      <c r="AC152" s="2555"/>
      <c r="AD152" s="2710"/>
    </row>
    <row r="153" spans="1:30" ht="18" x14ac:dyDescent="0.35">
      <c r="A153" s="2711" t="s">
        <v>568</v>
      </c>
      <c r="B153" s="2712"/>
      <c r="C153" s="2712"/>
      <c r="D153" s="2712"/>
      <c r="E153" s="2712"/>
      <c r="F153" s="2712"/>
      <c r="G153" s="2712"/>
      <c r="H153" s="2712"/>
      <c r="I153" s="2712"/>
      <c r="J153" s="2712"/>
      <c r="K153" s="2712"/>
      <c r="L153" s="2712"/>
      <c r="M153" s="2712"/>
      <c r="N153" s="2712"/>
      <c r="O153" s="2712"/>
      <c r="P153" s="2712"/>
      <c r="Q153" s="2712"/>
      <c r="R153" s="2712"/>
      <c r="S153" s="559"/>
      <c r="T153" s="561" t="s">
        <v>510</v>
      </c>
      <c r="U153" s="561" t="s">
        <v>11</v>
      </c>
      <c r="V153" s="561" t="s">
        <v>511</v>
      </c>
      <c r="W153" s="561" t="s">
        <v>512</v>
      </c>
      <c r="X153" s="562" t="s">
        <v>513</v>
      </c>
      <c r="Y153" s="717" t="s">
        <v>514</v>
      </c>
      <c r="Z153" s="718" t="s">
        <v>515</v>
      </c>
      <c r="AA153" s="561" t="s">
        <v>154</v>
      </c>
      <c r="AB153" s="561" t="s">
        <v>6</v>
      </c>
      <c r="AC153" s="561" t="s">
        <v>181</v>
      </c>
      <c r="AD153" s="562" t="s">
        <v>5</v>
      </c>
    </row>
    <row r="154" spans="1:30" x14ac:dyDescent="0.3">
      <c r="A154" s="154"/>
      <c r="B154" s="462"/>
      <c r="C154" s="462"/>
      <c r="D154" s="462"/>
      <c r="E154" s="462"/>
      <c r="F154" s="463"/>
      <c r="G154" s="462"/>
      <c r="H154" s="462"/>
      <c r="I154" s="465"/>
      <c r="J154" s="465"/>
      <c r="K154" s="465"/>
      <c r="L154" s="465"/>
      <c r="M154" s="462"/>
      <c r="N154" s="468"/>
      <c r="O154" s="469"/>
      <c r="P154" s="468"/>
      <c r="Q154" s="468"/>
      <c r="R154" s="532"/>
      <c r="S154" s="149"/>
      <c r="X154" s="152"/>
      <c r="Z154" s="152"/>
      <c r="AD154" s="152"/>
    </row>
    <row r="155" spans="1:30" x14ac:dyDescent="0.3">
      <c r="A155" s="157" t="s">
        <v>937</v>
      </c>
      <c r="B155" s="157" t="s">
        <v>182</v>
      </c>
      <c r="C155" s="157" t="s">
        <v>938</v>
      </c>
      <c r="D155" s="157" t="s">
        <v>26</v>
      </c>
      <c r="E155" s="157" t="s">
        <v>520</v>
      </c>
      <c r="F155" s="158" t="s">
        <v>654</v>
      </c>
      <c r="G155" s="157">
        <v>2</v>
      </c>
      <c r="H155" s="157" t="s">
        <v>24</v>
      </c>
      <c r="I155" s="175">
        <v>2</v>
      </c>
      <c r="J155" s="176"/>
      <c r="K155" s="176"/>
      <c r="L155" s="177"/>
      <c r="M155" s="157">
        <v>1</v>
      </c>
      <c r="N155" s="503">
        <v>21600</v>
      </c>
      <c r="O155" s="173">
        <v>0.45</v>
      </c>
      <c r="P155" s="503">
        <f t="shared" ref="P155:P159" si="28">N155*(1-O155)</f>
        <v>11880.000000000002</v>
      </c>
      <c r="Q155" s="503">
        <f>P155*M155*G155</f>
        <v>23760.000000000004</v>
      </c>
      <c r="R155" s="178">
        <f>Q155/$Q$164</f>
        <v>0.15763808260076301</v>
      </c>
      <c r="S155" s="168">
        <f>Q155*4</f>
        <v>95040.000000000015</v>
      </c>
      <c r="T155" s="169">
        <f>S155</f>
        <v>95040.000000000015</v>
      </c>
      <c r="U155" s="169"/>
      <c r="V155" s="169"/>
      <c r="W155" s="169"/>
      <c r="X155" s="171"/>
      <c r="Y155" s="169">
        <f>S155</f>
        <v>95040.000000000015</v>
      </c>
      <c r="Z155" s="171"/>
      <c r="AA155" s="169">
        <f>S155</f>
        <v>95040.000000000015</v>
      </c>
      <c r="AD155" s="152"/>
    </row>
    <row r="156" spans="1:30" x14ac:dyDescent="0.3">
      <c r="A156" s="157" t="s">
        <v>937</v>
      </c>
      <c r="B156" s="157" t="s">
        <v>182</v>
      </c>
      <c r="C156" s="157" t="s">
        <v>938</v>
      </c>
      <c r="D156" s="157" t="s">
        <v>102</v>
      </c>
      <c r="E156" s="157" t="s">
        <v>518</v>
      </c>
      <c r="F156" s="158" t="s">
        <v>939</v>
      </c>
      <c r="G156" s="157">
        <v>2</v>
      </c>
      <c r="H156" s="157" t="s">
        <v>24</v>
      </c>
      <c r="I156" s="175">
        <v>2</v>
      </c>
      <c r="J156" s="176"/>
      <c r="K156" s="176"/>
      <c r="L156" s="177"/>
      <c r="M156" s="157">
        <v>1</v>
      </c>
      <c r="N156" s="503">
        <v>15900</v>
      </c>
      <c r="O156" s="173">
        <v>0.3</v>
      </c>
      <c r="P156" s="503">
        <f t="shared" si="28"/>
        <v>11130</v>
      </c>
      <c r="Q156" s="503">
        <f t="shared" ref="Q156:Q159" si="29">P156*M156*G156</f>
        <v>22260</v>
      </c>
      <c r="R156" s="167">
        <f t="shared" ref="R156:R159" si="30">Q156/$Q$164</f>
        <v>0.14768618344667442</v>
      </c>
      <c r="S156" s="168">
        <f t="shared" ref="S156:S159" si="31">Q156*4</f>
        <v>89040</v>
      </c>
      <c r="T156" s="169">
        <f>S156</f>
        <v>89040</v>
      </c>
      <c r="U156" s="169"/>
      <c r="V156" s="169"/>
      <c r="W156" s="169"/>
      <c r="X156" s="171"/>
      <c r="Y156" s="169"/>
      <c r="Z156" s="171">
        <f>S156</f>
        <v>89040</v>
      </c>
      <c r="AA156" s="169">
        <f>S156</f>
        <v>89040</v>
      </c>
      <c r="AD156" s="152"/>
    </row>
    <row r="157" spans="1:30" x14ac:dyDescent="0.3">
      <c r="A157" s="157" t="s">
        <v>937</v>
      </c>
      <c r="B157" s="157" t="s">
        <v>183</v>
      </c>
      <c r="C157" s="157" t="s">
        <v>940</v>
      </c>
      <c r="D157" s="157" t="s">
        <v>184</v>
      </c>
      <c r="E157" s="157" t="s">
        <v>518</v>
      </c>
      <c r="F157" s="158" t="s">
        <v>185</v>
      </c>
      <c r="G157" s="157">
        <v>1</v>
      </c>
      <c r="H157" s="157" t="s">
        <v>106</v>
      </c>
      <c r="I157" s="175">
        <v>30</v>
      </c>
      <c r="J157" s="688"/>
      <c r="K157" s="179"/>
      <c r="L157" s="180"/>
      <c r="M157" s="157">
        <v>1</v>
      </c>
      <c r="N157" s="503">
        <v>52500</v>
      </c>
      <c r="O157" s="173">
        <v>0.45</v>
      </c>
      <c r="P157" s="503">
        <f t="shared" si="28"/>
        <v>28875.000000000004</v>
      </c>
      <c r="Q157" s="503">
        <f t="shared" si="29"/>
        <v>28875.000000000004</v>
      </c>
      <c r="R157" s="167">
        <f t="shared" si="30"/>
        <v>0.19157405871620503</v>
      </c>
      <c r="S157" s="168">
        <f t="shared" si="31"/>
        <v>115500.00000000001</v>
      </c>
      <c r="U157" s="169">
        <f>S157</f>
        <v>115500.00000000001</v>
      </c>
      <c r="V157" s="169"/>
      <c r="W157" s="169"/>
      <c r="X157" s="171"/>
      <c r="Y157" s="169"/>
      <c r="Z157" s="171">
        <f>S157</f>
        <v>115500.00000000001</v>
      </c>
      <c r="AB157" s="169">
        <f>S157</f>
        <v>115500.00000000001</v>
      </c>
      <c r="AD157" s="152"/>
    </row>
    <row r="158" spans="1:30" x14ac:dyDescent="0.3">
      <c r="A158" s="157" t="s">
        <v>937</v>
      </c>
      <c r="B158" s="157" t="s">
        <v>183</v>
      </c>
      <c r="C158" s="157" t="s">
        <v>938</v>
      </c>
      <c r="D158" s="157" t="s">
        <v>102</v>
      </c>
      <c r="E158" s="157" t="s">
        <v>518</v>
      </c>
      <c r="F158" s="158" t="s">
        <v>939</v>
      </c>
      <c r="G158" s="157">
        <v>2</v>
      </c>
      <c r="H158" s="157" t="s">
        <v>22</v>
      </c>
      <c r="I158" s="772"/>
      <c r="K158" s="285">
        <v>2</v>
      </c>
      <c r="L158" s="180"/>
      <c r="M158" s="163">
        <v>1</v>
      </c>
      <c r="N158" s="503">
        <v>20800</v>
      </c>
      <c r="O158" s="173">
        <v>0.45</v>
      </c>
      <c r="P158" s="503">
        <f t="shared" si="28"/>
        <v>11440.000000000002</v>
      </c>
      <c r="Q158" s="503">
        <f t="shared" si="29"/>
        <v>22880.000000000004</v>
      </c>
      <c r="R158" s="167">
        <f t="shared" si="30"/>
        <v>0.15179963509703104</v>
      </c>
      <c r="S158" s="168">
        <f t="shared" si="31"/>
        <v>91520.000000000015</v>
      </c>
      <c r="T158" s="169">
        <f>S158</f>
        <v>91520.000000000015</v>
      </c>
      <c r="U158" s="169"/>
      <c r="V158" s="169"/>
      <c r="W158" s="169"/>
      <c r="X158" s="171"/>
      <c r="Y158" s="169"/>
      <c r="Z158" s="171">
        <f>S158</f>
        <v>91520.000000000015</v>
      </c>
      <c r="AB158" s="169">
        <f>S158</f>
        <v>91520.000000000015</v>
      </c>
      <c r="AD158" s="152"/>
    </row>
    <row r="159" spans="1:30" x14ac:dyDescent="0.3">
      <c r="A159" s="157" t="s">
        <v>937</v>
      </c>
      <c r="B159" s="157" t="s">
        <v>183</v>
      </c>
      <c r="C159" s="157" t="s">
        <v>940</v>
      </c>
      <c r="D159" s="157" t="s">
        <v>184</v>
      </c>
      <c r="E159" s="157" t="s">
        <v>520</v>
      </c>
      <c r="F159" s="158" t="s">
        <v>941</v>
      </c>
      <c r="G159" s="157">
        <v>1</v>
      </c>
      <c r="H159" s="157" t="s">
        <v>106</v>
      </c>
      <c r="I159" s="772"/>
      <c r="K159" s="176">
        <v>30</v>
      </c>
      <c r="L159" s="177"/>
      <c r="M159" s="163">
        <v>1</v>
      </c>
      <c r="N159" s="503">
        <v>69000</v>
      </c>
      <c r="O159" s="173">
        <v>0.45</v>
      </c>
      <c r="P159" s="503">
        <f t="shared" si="28"/>
        <v>37950</v>
      </c>
      <c r="Q159" s="503">
        <f t="shared" si="29"/>
        <v>37950</v>
      </c>
      <c r="R159" s="178">
        <f t="shared" si="30"/>
        <v>0.25178304859844086</v>
      </c>
      <c r="S159" s="168">
        <f t="shared" si="31"/>
        <v>151800</v>
      </c>
      <c r="U159" s="169">
        <f>S159</f>
        <v>151800</v>
      </c>
      <c r="V159" s="169"/>
      <c r="W159" s="169"/>
      <c r="X159" s="171"/>
      <c r="Y159" s="169">
        <f>S159</f>
        <v>151800</v>
      </c>
      <c r="Z159" s="171"/>
      <c r="AB159" s="169">
        <f>S159</f>
        <v>151800</v>
      </c>
      <c r="AD159" s="152"/>
    </row>
    <row r="160" spans="1:30" x14ac:dyDescent="0.3">
      <c r="A160" s="172"/>
      <c r="B160" s="190"/>
      <c r="C160" s="190"/>
      <c r="D160" s="190"/>
      <c r="E160" s="190"/>
      <c r="F160" s="191"/>
      <c r="G160" s="190"/>
      <c r="H160" s="190"/>
      <c r="L160" s="287"/>
      <c r="M160" s="190"/>
      <c r="N160" s="194"/>
      <c r="O160" s="195"/>
      <c r="P160" s="194"/>
      <c r="Q160" s="194"/>
      <c r="R160" s="393"/>
      <c r="S160" s="149"/>
      <c r="X160" s="152"/>
      <c r="Z160" s="152"/>
      <c r="AD160" s="152"/>
    </row>
    <row r="161" spans="1:30" x14ac:dyDescent="0.3">
      <c r="A161" s="108" t="s">
        <v>937</v>
      </c>
      <c r="B161" s="108" t="s">
        <v>528</v>
      </c>
      <c r="C161" s="289"/>
      <c r="D161" s="252"/>
      <c r="E161" s="252"/>
      <c r="F161" s="253"/>
      <c r="G161" s="252"/>
      <c r="H161" s="252"/>
      <c r="I161" s="254"/>
      <c r="J161" s="254"/>
      <c r="K161" s="254"/>
      <c r="L161" s="254"/>
      <c r="M161" s="252"/>
      <c r="N161" s="255"/>
      <c r="O161" s="256"/>
      <c r="Q161" s="257"/>
      <c r="R161" s="291"/>
      <c r="S161" s="168"/>
      <c r="W161" s="169">
        <f>S161</f>
        <v>0</v>
      </c>
      <c r="X161" s="152"/>
      <c r="Z161" s="152"/>
      <c r="AD161" s="152"/>
    </row>
    <row r="162" spans="1:30" x14ac:dyDescent="0.3">
      <c r="A162" s="108" t="s">
        <v>937</v>
      </c>
      <c r="B162" s="108" t="s">
        <v>529</v>
      </c>
      <c r="C162" s="289"/>
      <c r="D162" s="252"/>
      <c r="E162" s="252"/>
      <c r="F162" s="253"/>
      <c r="G162" s="252"/>
      <c r="H162" s="252"/>
      <c r="I162" s="254"/>
      <c r="J162" s="254"/>
      <c r="K162" s="254"/>
      <c r="L162" s="254"/>
      <c r="M162" s="252"/>
      <c r="N162" s="255"/>
      <c r="O162" s="256"/>
      <c r="P162" s="290"/>
      <c r="Q162" s="257">
        <v>15000</v>
      </c>
      <c r="R162" s="291">
        <f>Q162/Q164</f>
        <v>9.9518991540885712E-2</v>
      </c>
      <c r="S162" s="168">
        <f>Q162*4</f>
        <v>60000</v>
      </c>
      <c r="X162" s="171">
        <f>S162</f>
        <v>60000</v>
      </c>
      <c r="Z162" s="152"/>
      <c r="AD162" s="152"/>
    </row>
    <row r="163" spans="1:30" x14ac:dyDescent="0.3">
      <c r="H163" s="3"/>
      <c r="I163" s="115">
        <f>I164/$M$164</f>
        <v>0.51515151515151514</v>
      </c>
      <c r="J163" s="115">
        <f t="shared" ref="J163:K163" si="32">J164/$M$164</f>
        <v>0</v>
      </c>
      <c r="K163" s="115">
        <f t="shared" si="32"/>
        <v>0.48484848484848486</v>
      </c>
      <c r="S163" s="645"/>
      <c r="T163" s="245"/>
      <c r="U163" s="245"/>
      <c r="V163" s="245"/>
      <c r="W163" s="245"/>
      <c r="X163" s="567"/>
      <c r="Y163" s="245"/>
      <c r="Z163" s="567"/>
      <c r="AA163" s="245"/>
      <c r="AB163" s="245"/>
      <c r="AC163" s="245"/>
      <c r="AD163" s="567"/>
    </row>
    <row r="164" spans="1:30" x14ac:dyDescent="0.3">
      <c r="A164" s="396" t="s">
        <v>531</v>
      </c>
      <c r="B164" s="373"/>
      <c r="C164" s="373"/>
      <c r="D164" s="373"/>
      <c r="E164" s="373"/>
      <c r="F164" s="397"/>
      <c r="G164" s="373"/>
      <c r="H164" s="373"/>
      <c r="I164" s="705">
        <f>I157+I156+I155</f>
        <v>34</v>
      </c>
      <c r="J164" s="705">
        <f>J158</f>
        <v>0</v>
      </c>
      <c r="K164" s="705">
        <f>K159+K158</f>
        <v>32</v>
      </c>
      <c r="L164" s="705"/>
      <c r="M164" s="373">
        <f>SUM(I164:L164)</f>
        <v>66</v>
      </c>
      <c r="N164" s="398"/>
      <c r="O164" s="399"/>
      <c r="P164" s="398"/>
      <c r="Q164" s="400">
        <f>SUM(Q155:Q163)</f>
        <v>150725</v>
      </c>
      <c r="R164" s="401">
        <f>SUM(R155:R162)</f>
        <v>1</v>
      </c>
      <c r="S164" s="1399">
        <f>SUM(S155:S163)</f>
        <v>602900</v>
      </c>
      <c r="T164" s="652">
        <f>SUM(T154:T163)</f>
        <v>275600</v>
      </c>
      <c r="U164" s="652">
        <f t="shared" ref="U164:Z164" si="33">SUM(U155:U162)</f>
        <v>267300</v>
      </c>
      <c r="V164" s="652">
        <f t="shared" si="33"/>
        <v>0</v>
      </c>
      <c r="W164" s="652">
        <f t="shared" si="33"/>
        <v>0</v>
      </c>
      <c r="X164" s="654">
        <f t="shared" si="33"/>
        <v>60000</v>
      </c>
      <c r="Y164" s="1400">
        <f t="shared" si="33"/>
        <v>246840</v>
      </c>
      <c r="Z164" s="654">
        <f t="shared" si="33"/>
        <v>296060</v>
      </c>
      <c r="AA164" s="652">
        <f>SUM(AA154:AA163)</f>
        <v>184080</v>
      </c>
      <c r="AB164" s="652">
        <f>SUM(AB154:AB163)</f>
        <v>358820</v>
      </c>
      <c r="AC164" s="378"/>
      <c r="AD164" s="800"/>
    </row>
    <row r="165" spans="1:30" x14ac:dyDescent="0.3">
      <c r="A165" s="410" t="s">
        <v>532</v>
      </c>
      <c r="B165" s="411"/>
      <c r="C165" s="411"/>
      <c r="D165" s="411"/>
      <c r="E165" s="411"/>
      <c r="F165" s="412"/>
      <c r="G165" s="411"/>
      <c r="H165" s="411"/>
      <c r="I165" s="707">
        <f>I157+I156+I155</f>
        <v>34</v>
      </c>
      <c r="J165" s="707">
        <f>I157+I156+I155</f>
        <v>34</v>
      </c>
      <c r="K165" s="707">
        <f>K159+K158+I156+I155</f>
        <v>36</v>
      </c>
      <c r="L165" s="707"/>
      <c r="M165" s="411">
        <f>SUM(I165:L165)</f>
        <v>104</v>
      </c>
      <c r="N165" s="413"/>
      <c r="O165" s="414"/>
      <c r="P165" s="413"/>
      <c r="Q165" s="413"/>
      <c r="R165" s="415"/>
      <c r="S165" s="1033">
        <f>Q164/M164</f>
        <v>2283.712121212121</v>
      </c>
      <c r="T165" s="418">
        <f>T164/S164</f>
        <v>0.45712390114446838</v>
      </c>
      <c r="U165" s="418">
        <f>U164/S164</f>
        <v>0.44335710731464589</v>
      </c>
      <c r="V165" s="418">
        <f>V164/S164</f>
        <v>0</v>
      </c>
      <c r="W165" s="418">
        <f>W164/S164</f>
        <v>0</v>
      </c>
      <c r="X165" s="419">
        <f>X164/S164</f>
        <v>9.9518991540885712E-2</v>
      </c>
      <c r="Y165" s="548">
        <f>Y164/S164</f>
        <v>0.40942113119920387</v>
      </c>
      <c r="Z165" s="419">
        <f>Z164/S164</f>
        <v>0.49105987725991046</v>
      </c>
      <c r="AA165" s="1401"/>
      <c r="AB165" s="550"/>
      <c r="AC165" s="550"/>
      <c r="AD165" s="424"/>
    </row>
    <row r="166" spans="1:30" x14ac:dyDescent="0.3">
      <c r="A166" s="243" t="s">
        <v>533</v>
      </c>
      <c r="B166" s="193"/>
      <c r="C166" s="193"/>
      <c r="D166" s="193"/>
      <c r="E166" s="193"/>
      <c r="F166" s="244"/>
      <c r="G166" s="193"/>
      <c r="H166" s="193"/>
      <c r="I166" s="2182">
        <f>I165/$M$165</f>
        <v>0.32692307692307693</v>
      </c>
      <c r="J166" s="2182">
        <f t="shared" ref="J166:K166" si="34">J165/$M$165</f>
        <v>0.32692307692307693</v>
      </c>
      <c r="K166" s="2182">
        <f t="shared" si="34"/>
        <v>0.34615384615384615</v>
      </c>
      <c r="L166" s="245"/>
      <c r="M166" s="193"/>
      <c r="N166" s="246"/>
      <c r="O166" s="196"/>
      <c r="P166" s="246"/>
      <c r="Q166" s="194">
        <f>T164/4</f>
        <v>68900</v>
      </c>
      <c r="R166" s="247">
        <f>Q166/Q164</f>
        <v>0.45712390114446838</v>
      </c>
      <c r="X166" s="248"/>
      <c r="Y166" s="357">
        <f>I155+K159</f>
        <v>32</v>
      </c>
      <c r="Z166" s="358">
        <f>I156+I157+K158</f>
        <v>34</v>
      </c>
      <c r="AA166" s="4"/>
    </row>
    <row r="167" spans="1:30" x14ac:dyDescent="0.3">
      <c r="A167" s="251" t="s">
        <v>11</v>
      </c>
      <c r="B167" s="252"/>
      <c r="C167" s="252"/>
      <c r="D167" s="252"/>
      <c r="E167" s="252"/>
      <c r="F167" s="253"/>
      <c r="G167" s="252"/>
      <c r="H167" s="252"/>
      <c r="I167" s="254"/>
      <c r="J167" s="254"/>
      <c r="K167" s="254"/>
      <c r="L167" s="254"/>
      <c r="M167" s="252"/>
      <c r="N167" s="255"/>
      <c r="O167" s="256"/>
      <c r="P167" s="255"/>
      <c r="Q167" s="257">
        <f>U164/4</f>
        <v>66825</v>
      </c>
      <c r="R167" s="262">
        <f>Q167/Q164</f>
        <v>0.44335710731464589</v>
      </c>
      <c r="S167" s="1077">
        <f>Q164/M164</f>
        <v>2283.712121212121</v>
      </c>
      <c r="T167" s="1078" t="s">
        <v>535</v>
      </c>
      <c r="Y167" s="195">
        <f>Y166/M164</f>
        <v>0.48484848484848486</v>
      </c>
      <c r="Z167" s="247">
        <f>Z166/M164</f>
        <v>0.51515151515151514</v>
      </c>
    </row>
    <row r="168" spans="1:30" x14ac:dyDescent="0.3">
      <c r="A168" s="251" t="s">
        <v>536</v>
      </c>
      <c r="B168" s="252"/>
      <c r="C168" s="252"/>
      <c r="D168" s="252"/>
      <c r="E168" s="252"/>
      <c r="F168" s="253"/>
      <c r="G168" s="252"/>
      <c r="H168" s="252"/>
      <c r="I168" s="254"/>
      <c r="J168" s="254"/>
      <c r="K168" s="254"/>
      <c r="L168" s="254"/>
      <c r="M168" s="252"/>
      <c r="N168" s="255"/>
      <c r="O168" s="256"/>
      <c r="P168" s="255"/>
      <c r="Q168" s="257">
        <f>V164/4</f>
        <v>0</v>
      </c>
      <c r="R168" s="262">
        <f>Q168/Q164</f>
        <v>0</v>
      </c>
      <c r="Y168" s="6"/>
      <c r="Z168" s="6"/>
    </row>
    <row r="169" spans="1:30" x14ac:dyDescent="0.3">
      <c r="A169" s="251" t="s">
        <v>528</v>
      </c>
      <c r="B169" s="252"/>
      <c r="C169" s="252"/>
      <c r="D169" s="252"/>
      <c r="E169" s="252"/>
      <c r="F169" s="253"/>
      <c r="G169" s="252"/>
      <c r="H169" s="252"/>
      <c r="I169" s="254"/>
      <c r="J169" s="254"/>
      <c r="K169" s="254"/>
      <c r="L169" s="254"/>
      <c r="M169" s="252"/>
      <c r="N169" s="255"/>
      <c r="O169" s="256"/>
      <c r="P169" s="255"/>
      <c r="Q169" s="257"/>
      <c r="R169" s="262">
        <f>Q169/Q164</f>
        <v>0</v>
      </c>
    </row>
    <row r="170" spans="1:30" x14ac:dyDescent="0.3">
      <c r="A170" s="251" t="s">
        <v>529</v>
      </c>
      <c r="B170" s="252"/>
      <c r="C170" s="252"/>
      <c r="D170" s="252"/>
      <c r="E170" s="252"/>
      <c r="F170" s="253"/>
      <c r="G170" s="252"/>
      <c r="H170" s="252"/>
      <c r="I170" s="254"/>
      <c r="J170" s="254"/>
      <c r="K170" s="254"/>
      <c r="L170" s="254"/>
      <c r="M170" s="252"/>
      <c r="N170" s="255"/>
      <c r="O170" s="256"/>
      <c r="P170" s="255"/>
      <c r="Q170" s="257">
        <f>Q162</f>
        <v>15000</v>
      </c>
      <c r="R170" s="262">
        <f>Q170/Q164</f>
        <v>9.9518991540885712E-2</v>
      </c>
    </row>
    <row r="171" spans="1:30" x14ac:dyDescent="0.3">
      <c r="A171" s="464"/>
      <c r="B171" s="527"/>
      <c r="C171" s="527"/>
      <c r="D171" s="527"/>
      <c r="E171" s="527"/>
      <c r="F171" s="528"/>
      <c r="G171" s="527"/>
      <c r="H171" s="527"/>
      <c r="I171" s="465"/>
      <c r="J171" s="465"/>
      <c r="K171" s="465"/>
      <c r="L171" s="465"/>
      <c r="M171" s="527"/>
      <c r="N171" s="529"/>
      <c r="O171" s="530"/>
      <c r="P171" s="529"/>
      <c r="Q171" s="468">
        <f>SUM(Q166:Q170)</f>
        <v>150725</v>
      </c>
      <c r="R171" s="1402">
        <f>SUM(R166:R170)</f>
        <v>1</v>
      </c>
      <c r="S171" s="600"/>
    </row>
    <row r="172" spans="1:30" x14ac:dyDescent="0.3">
      <c r="A172" s="464"/>
      <c r="B172" s="527"/>
      <c r="C172" s="527"/>
      <c r="D172" s="527"/>
      <c r="E172" s="527"/>
      <c r="F172" s="528"/>
      <c r="G172" s="527"/>
      <c r="H172" s="527"/>
      <c r="I172" s="465"/>
      <c r="J172" s="465"/>
      <c r="K172" s="465"/>
      <c r="L172" s="465"/>
      <c r="M172" s="527"/>
      <c r="N172" s="529"/>
      <c r="O172" s="530"/>
      <c r="P172" s="529"/>
      <c r="Q172" s="529"/>
      <c r="R172" s="1403"/>
      <c r="S172" s="600"/>
      <c r="Z172" s="303">
        <f>SUM(AA173:AD173)</f>
        <v>2024262.45</v>
      </c>
      <c r="AA172" s="1404" t="s">
        <v>154</v>
      </c>
      <c r="AB172" s="1405" t="s">
        <v>6</v>
      </c>
      <c r="AC172" s="1405" t="s">
        <v>181</v>
      </c>
      <c r="AD172" s="1406" t="s">
        <v>5</v>
      </c>
    </row>
    <row r="173" spans="1:30" ht="18" x14ac:dyDescent="0.35">
      <c r="A173" s="430" t="s">
        <v>569</v>
      </c>
      <c r="B173" s="431"/>
      <c r="C173" s="431"/>
      <c r="D173" s="432"/>
      <c r="E173" s="432"/>
      <c r="F173" s="433"/>
      <c r="G173" s="432"/>
      <c r="H173" s="432"/>
      <c r="I173" s="434"/>
      <c r="J173" s="434"/>
      <c r="K173" s="434"/>
      <c r="L173" s="434"/>
      <c r="M173" s="431"/>
      <c r="N173" s="435"/>
      <c r="O173" s="436"/>
      <c r="P173" s="435"/>
      <c r="Q173" s="435"/>
      <c r="R173" s="763"/>
      <c r="S173" s="763">
        <f>S164+S134+S107+S76+S47</f>
        <v>2299262.4500000002</v>
      </c>
      <c r="Z173" s="137" t="s">
        <v>601</v>
      </c>
      <c r="AA173" s="1083">
        <f>AA164+AA134+AA107+AA76+AA47</f>
        <v>645022.5</v>
      </c>
      <c r="AB173" s="1035">
        <f t="shared" ref="AB173:AD173" si="35">AB164+AB134+AB107+AB76+AB47</f>
        <v>940995</v>
      </c>
      <c r="AC173" s="1035">
        <f t="shared" si="35"/>
        <v>184144.95</v>
      </c>
      <c r="AD173" s="1084">
        <f t="shared" si="35"/>
        <v>254100.00000000003</v>
      </c>
    </row>
    <row r="174" spans="1:30" x14ac:dyDescent="0.3">
      <c r="Q174" s="120"/>
      <c r="R174" s="3" t="s">
        <v>571</v>
      </c>
      <c r="S174" s="98">
        <f>D18-S173</f>
        <v>-25759.575000000186</v>
      </c>
    </row>
    <row r="175" spans="1:30" x14ac:dyDescent="0.3">
      <c r="Q175" s="116"/>
      <c r="R175" s="116"/>
      <c r="S175" s="626"/>
    </row>
    <row r="176" spans="1:30" x14ac:dyDescent="0.3">
      <c r="A176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F68"/>
  <sheetViews>
    <sheetView topLeftCell="A29" workbookViewId="0">
      <selection activeCell="H37" sqref="H37:H41"/>
    </sheetView>
  </sheetViews>
  <sheetFormatPr defaultRowHeight="14.4" x14ac:dyDescent="0.3"/>
  <sheetData>
    <row r="1" spans="1:32" x14ac:dyDescent="0.3">
      <c r="A1" s="43" t="s">
        <v>309</v>
      </c>
      <c r="B1" s="43" t="s">
        <v>334</v>
      </c>
      <c r="C1" s="43" t="s">
        <v>310</v>
      </c>
      <c r="D1" s="43" t="s">
        <v>311</v>
      </c>
      <c r="E1" s="43" t="s">
        <v>312</v>
      </c>
      <c r="F1" s="43" t="s">
        <v>313</v>
      </c>
      <c r="G1" s="2185" t="s">
        <v>1167</v>
      </c>
      <c r="H1" s="2185" t="s">
        <v>1169</v>
      </c>
      <c r="I1" s="43" t="s">
        <v>314</v>
      </c>
      <c r="J1" s="43" t="s">
        <v>315</v>
      </c>
      <c r="K1" s="43" t="s">
        <v>335</v>
      </c>
      <c r="L1" s="43" t="s">
        <v>336</v>
      </c>
      <c r="M1" s="43" t="s">
        <v>316</v>
      </c>
      <c r="N1" s="43" t="s">
        <v>317</v>
      </c>
      <c r="O1" s="43" t="s">
        <v>318</v>
      </c>
      <c r="P1" s="43" t="s">
        <v>319</v>
      </c>
      <c r="Q1" s="43" t="s">
        <v>320</v>
      </c>
      <c r="R1" s="43" t="s">
        <v>321</v>
      </c>
      <c r="S1" s="43" t="s">
        <v>341</v>
      </c>
      <c r="T1" s="44" t="s">
        <v>337</v>
      </c>
      <c r="U1" s="43" t="s">
        <v>322</v>
      </c>
      <c r="V1" s="44" t="s">
        <v>338</v>
      </c>
      <c r="W1" s="44" t="s">
        <v>339</v>
      </c>
      <c r="X1" s="45"/>
      <c r="Y1" s="45"/>
      <c r="AB1" s="43"/>
      <c r="AD1" s="43"/>
    </row>
    <row r="2" spans="1:32" x14ac:dyDescent="0.3">
      <c r="A2" s="47" t="s">
        <v>327</v>
      </c>
      <c r="B2" s="47" t="s">
        <v>323</v>
      </c>
      <c r="C2" s="47" t="s">
        <v>380</v>
      </c>
      <c r="D2" s="47" t="s">
        <v>381</v>
      </c>
      <c r="E2" s="1" t="s">
        <v>182</v>
      </c>
      <c r="F2" s="1" t="s">
        <v>26</v>
      </c>
      <c r="G2" s="2186">
        <v>1</v>
      </c>
      <c r="H2" s="2186">
        <f>VLOOKUP(G2,Pesos!A:B,2,0)</f>
        <v>0.9</v>
      </c>
      <c r="I2" s="48" t="s">
        <v>305</v>
      </c>
      <c r="J2" s="48"/>
      <c r="K2" s="1">
        <v>3</v>
      </c>
      <c r="L2" s="48">
        <v>7</v>
      </c>
      <c r="M2" s="1">
        <v>2</v>
      </c>
      <c r="N2" s="1" t="s">
        <v>24</v>
      </c>
      <c r="O2" s="48">
        <v>2</v>
      </c>
      <c r="P2" s="48"/>
      <c r="Q2" s="48"/>
      <c r="R2" s="48"/>
      <c r="S2" s="48">
        <v>1</v>
      </c>
      <c r="T2" s="7">
        <v>21600</v>
      </c>
      <c r="U2" s="24">
        <v>0.45</v>
      </c>
      <c r="V2" s="49">
        <f>T2*(1-U2)</f>
        <v>11880.000000000002</v>
      </c>
      <c r="W2" s="49">
        <f>V2*S2*M2</f>
        <v>23760.000000000004</v>
      </c>
      <c r="X2" s="50"/>
      <c r="Y2" s="51"/>
      <c r="Z2" s="48"/>
      <c r="AA2" s="47"/>
      <c r="AB2" s="43"/>
      <c r="AC2" s="43"/>
      <c r="AD2" s="43"/>
      <c r="AE2" s="43"/>
      <c r="AF2" s="43"/>
    </row>
    <row r="3" spans="1:32" x14ac:dyDescent="0.3">
      <c r="A3" s="47" t="s">
        <v>327</v>
      </c>
      <c r="B3" s="47" t="s">
        <v>323</v>
      </c>
      <c r="C3" s="47" t="s">
        <v>380</v>
      </c>
      <c r="D3" s="47" t="s">
        <v>381</v>
      </c>
      <c r="E3" s="1" t="s">
        <v>182</v>
      </c>
      <c r="F3" s="1" t="s">
        <v>29</v>
      </c>
      <c r="G3" s="2186">
        <v>2</v>
      </c>
      <c r="H3" s="2186">
        <f>VLOOKUP(G3,Pesos!A:B,2,0)</f>
        <v>0.8</v>
      </c>
      <c r="I3" s="48" t="s">
        <v>305</v>
      </c>
      <c r="K3" s="1">
        <v>1</v>
      </c>
      <c r="L3" s="48">
        <v>4</v>
      </c>
      <c r="M3" s="1">
        <v>1</v>
      </c>
      <c r="N3" s="1" t="s">
        <v>24</v>
      </c>
      <c r="O3" s="48">
        <v>1</v>
      </c>
      <c r="S3" s="48">
        <v>1</v>
      </c>
      <c r="T3" s="7">
        <v>33075</v>
      </c>
      <c r="U3" s="24">
        <v>0.45</v>
      </c>
      <c r="V3" s="49">
        <f t="shared" ref="V3:V9" si="0">T3*(1-U3)</f>
        <v>18191.25</v>
      </c>
      <c r="W3" s="49">
        <f t="shared" ref="W3:W9" si="1">V3*S3*M3</f>
        <v>18191.25</v>
      </c>
      <c r="X3" s="52"/>
      <c r="Y3" s="53"/>
      <c r="Z3" s="48"/>
    </row>
    <row r="4" spans="1:32" x14ac:dyDescent="0.3">
      <c r="A4" s="47" t="s">
        <v>327</v>
      </c>
      <c r="B4" s="47" t="s">
        <v>323</v>
      </c>
      <c r="C4" s="47" t="s">
        <v>380</v>
      </c>
      <c r="D4" s="47" t="s">
        <v>381</v>
      </c>
      <c r="E4" s="1" t="s">
        <v>182</v>
      </c>
      <c r="F4" s="1" t="s">
        <v>102</v>
      </c>
      <c r="G4" s="2186">
        <v>3</v>
      </c>
      <c r="H4" s="2186">
        <f>VLOOKUP(G4,Pesos!A:B,2,0)</f>
        <v>0.7</v>
      </c>
      <c r="J4" s="48" t="s">
        <v>305</v>
      </c>
      <c r="K4" s="1">
        <v>4</v>
      </c>
      <c r="L4" s="48">
        <v>9</v>
      </c>
      <c r="M4" s="1">
        <v>3</v>
      </c>
      <c r="N4" s="1" t="s">
        <v>24</v>
      </c>
      <c r="O4" s="48">
        <v>3</v>
      </c>
      <c r="S4" s="48">
        <v>1</v>
      </c>
      <c r="T4" s="7">
        <v>15900</v>
      </c>
      <c r="U4" s="24">
        <v>0.3</v>
      </c>
      <c r="V4" s="49">
        <f t="shared" si="0"/>
        <v>11130</v>
      </c>
      <c r="W4" s="49">
        <f t="shared" si="1"/>
        <v>33390</v>
      </c>
      <c r="X4" s="52"/>
      <c r="Y4" s="53"/>
      <c r="Z4" s="48"/>
    </row>
    <row r="5" spans="1:32" x14ac:dyDescent="0.3">
      <c r="A5" s="47" t="s">
        <v>327</v>
      </c>
      <c r="B5" s="47" t="s">
        <v>323</v>
      </c>
      <c r="C5" s="47" t="s">
        <v>380</v>
      </c>
      <c r="D5" s="47" t="s">
        <v>381</v>
      </c>
      <c r="E5" s="1" t="s">
        <v>183</v>
      </c>
      <c r="F5" s="1" t="s">
        <v>184</v>
      </c>
      <c r="G5" s="2186">
        <v>4</v>
      </c>
      <c r="H5" s="2186">
        <f>VLOOKUP(G5,Pesos!A:B,2,0)</f>
        <v>0.6</v>
      </c>
      <c r="J5" s="48" t="s">
        <v>305</v>
      </c>
      <c r="K5" s="1">
        <v>30</v>
      </c>
      <c r="L5" s="54" t="s">
        <v>185</v>
      </c>
      <c r="M5" s="1">
        <v>1</v>
      </c>
      <c r="N5" s="1" t="s">
        <v>106</v>
      </c>
      <c r="O5" s="48">
        <v>30</v>
      </c>
      <c r="S5" s="48">
        <v>1</v>
      </c>
      <c r="T5" s="7">
        <v>52500</v>
      </c>
      <c r="U5" s="24">
        <v>0.45</v>
      </c>
      <c r="V5" s="49">
        <f t="shared" si="0"/>
        <v>28875.000000000004</v>
      </c>
      <c r="W5" s="49">
        <f t="shared" si="1"/>
        <v>28875.000000000004</v>
      </c>
      <c r="X5" s="50"/>
      <c r="Y5" s="53"/>
      <c r="Z5" s="48"/>
    </row>
    <row r="6" spans="1:32" x14ac:dyDescent="0.3">
      <c r="A6" s="47" t="s">
        <v>327</v>
      </c>
      <c r="B6" s="47" t="s">
        <v>323</v>
      </c>
      <c r="C6" s="47" t="s">
        <v>380</v>
      </c>
      <c r="D6" s="47" t="s">
        <v>381</v>
      </c>
      <c r="E6" s="1" t="s">
        <v>183</v>
      </c>
      <c r="F6" s="1" t="s">
        <v>102</v>
      </c>
      <c r="G6" s="2186">
        <v>3</v>
      </c>
      <c r="H6" s="2186">
        <f>VLOOKUP(G6,Pesos!A:B,2,0)</f>
        <v>0.7</v>
      </c>
      <c r="J6" s="48" t="s">
        <v>305</v>
      </c>
      <c r="K6" s="1">
        <v>4</v>
      </c>
      <c r="L6" s="54" t="s">
        <v>213</v>
      </c>
      <c r="M6" s="1">
        <v>1</v>
      </c>
      <c r="N6" s="1" t="s">
        <v>22</v>
      </c>
      <c r="Q6" s="48">
        <v>1</v>
      </c>
      <c r="R6" s="48">
        <v>1</v>
      </c>
      <c r="S6" s="48">
        <v>2</v>
      </c>
      <c r="T6" s="7">
        <v>20800</v>
      </c>
      <c r="U6" s="24">
        <v>0.45</v>
      </c>
      <c r="V6" s="49">
        <f t="shared" si="0"/>
        <v>11440.000000000002</v>
      </c>
      <c r="W6" s="49">
        <f t="shared" si="1"/>
        <v>22880.000000000004</v>
      </c>
      <c r="X6" s="52"/>
      <c r="Y6" s="53"/>
      <c r="Z6" s="48"/>
    </row>
    <row r="7" spans="1:32" x14ac:dyDescent="0.3">
      <c r="A7" s="47" t="s">
        <v>327</v>
      </c>
      <c r="B7" s="47" t="s">
        <v>323</v>
      </c>
      <c r="C7" s="47" t="s">
        <v>380</v>
      </c>
      <c r="D7" s="47" t="s">
        <v>381</v>
      </c>
      <c r="E7" s="1" t="s">
        <v>183</v>
      </c>
      <c r="F7" s="1" t="s">
        <v>184</v>
      </c>
      <c r="G7" s="2186">
        <v>4</v>
      </c>
      <c r="H7" s="2186">
        <f>VLOOKUP(G7,Pesos!A:B,2,0)</f>
        <v>0.6</v>
      </c>
      <c r="I7" s="48" t="s">
        <v>305</v>
      </c>
      <c r="K7" s="1">
        <v>20</v>
      </c>
      <c r="L7" s="54" t="s">
        <v>151</v>
      </c>
      <c r="M7" s="1">
        <v>1</v>
      </c>
      <c r="N7" s="1" t="s">
        <v>106</v>
      </c>
      <c r="Q7" s="48">
        <v>30</v>
      </c>
      <c r="S7" s="48">
        <v>1</v>
      </c>
      <c r="T7" s="7">
        <v>69000</v>
      </c>
      <c r="U7" s="24">
        <v>0.45</v>
      </c>
      <c r="V7" s="49">
        <f t="shared" si="0"/>
        <v>37950</v>
      </c>
      <c r="W7" s="49">
        <f t="shared" si="1"/>
        <v>37950</v>
      </c>
      <c r="X7" s="52"/>
      <c r="Y7" s="53"/>
      <c r="Z7" s="48"/>
    </row>
    <row r="8" spans="1:32" x14ac:dyDescent="0.3">
      <c r="A8" s="47" t="s">
        <v>327</v>
      </c>
      <c r="B8" s="47" t="s">
        <v>323</v>
      </c>
      <c r="C8" s="47" t="s">
        <v>380</v>
      </c>
      <c r="D8" s="47" t="s">
        <v>381</v>
      </c>
      <c r="E8" s="1" t="s">
        <v>186</v>
      </c>
      <c r="F8" s="1" t="s">
        <v>102</v>
      </c>
      <c r="G8" s="2186">
        <v>3</v>
      </c>
      <c r="H8" s="2186">
        <f>VLOOKUP(G8,Pesos!A:B,2,0)</f>
        <v>0.7</v>
      </c>
      <c r="J8" s="48" t="s">
        <v>305</v>
      </c>
      <c r="K8" s="1">
        <v>4</v>
      </c>
      <c r="L8" s="54" t="s">
        <v>213</v>
      </c>
      <c r="M8" s="1">
        <v>4</v>
      </c>
      <c r="N8" s="1" t="s">
        <v>106</v>
      </c>
      <c r="O8" s="48">
        <v>4</v>
      </c>
      <c r="S8" s="48">
        <v>1</v>
      </c>
      <c r="T8" s="7">
        <v>37201</v>
      </c>
      <c r="U8" s="24">
        <v>0.83499999999999996</v>
      </c>
      <c r="V8" s="49">
        <f t="shared" si="0"/>
        <v>6138.1650000000009</v>
      </c>
      <c r="W8" s="49">
        <f t="shared" si="1"/>
        <v>24552.660000000003</v>
      </c>
      <c r="X8" s="52"/>
      <c r="Y8" s="53"/>
      <c r="Z8" s="48"/>
    </row>
    <row r="9" spans="1:32" x14ac:dyDescent="0.3">
      <c r="A9" s="47" t="s">
        <v>327</v>
      </c>
      <c r="B9" s="47" t="s">
        <v>323</v>
      </c>
      <c r="C9" s="47" t="s">
        <v>380</v>
      </c>
      <c r="D9" s="47" t="s">
        <v>381</v>
      </c>
      <c r="E9" s="1" t="s">
        <v>108</v>
      </c>
      <c r="F9" s="1" t="s">
        <v>187</v>
      </c>
      <c r="G9" s="2186">
        <v>4</v>
      </c>
      <c r="H9" s="2186">
        <f>VLOOKUP(G9,Pesos!A:B,2,0)</f>
        <v>0.6</v>
      </c>
      <c r="I9" s="48" t="s">
        <v>305</v>
      </c>
      <c r="K9" s="1">
        <v>4</v>
      </c>
      <c r="L9" s="54" t="s">
        <v>213</v>
      </c>
      <c r="M9" s="1">
        <v>1</v>
      </c>
      <c r="N9" s="1" t="s">
        <v>22</v>
      </c>
      <c r="Q9" s="48">
        <v>60</v>
      </c>
      <c r="S9" s="48">
        <v>1</v>
      </c>
      <c r="T9" s="5">
        <v>51600</v>
      </c>
      <c r="U9" s="24">
        <v>0.45</v>
      </c>
      <c r="V9" s="49">
        <f t="shared" si="0"/>
        <v>28380.000000000004</v>
      </c>
      <c r="W9" s="49">
        <f t="shared" si="1"/>
        <v>28380.000000000004</v>
      </c>
      <c r="X9" s="52"/>
      <c r="Y9" s="53"/>
      <c r="Z9" s="48"/>
    </row>
    <row r="10" spans="1:32" x14ac:dyDescent="0.3">
      <c r="G10" s="2196"/>
      <c r="H10" s="2196"/>
      <c r="M10" s="54"/>
      <c r="R10" s="52"/>
      <c r="T10" s="55"/>
      <c r="U10" s="60"/>
      <c r="V10" s="57"/>
      <c r="W10" s="57"/>
      <c r="X10" s="52"/>
    </row>
    <row r="11" spans="1:32" x14ac:dyDescent="0.3">
      <c r="A11" s="47" t="s">
        <v>340</v>
      </c>
      <c r="B11" s="47" t="s">
        <v>323</v>
      </c>
      <c r="C11" s="47" t="s">
        <v>380</v>
      </c>
      <c r="D11" s="47" t="s">
        <v>381</v>
      </c>
      <c r="E11" s="1" t="s">
        <v>182</v>
      </c>
      <c r="F11" s="1" t="s">
        <v>26</v>
      </c>
      <c r="G11" s="2186">
        <v>3</v>
      </c>
      <c r="H11" s="2186">
        <f>VLOOKUP(G11,Pesos!A:B,2,0)</f>
        <v>0.7</v>
      </c>
      <c r="I11" s="48" t="s">
        <v>305</v>
      </c>
      <c r="K11" s="1">
        <v>2</v>
      </c>
      <c r="L11" s="48">
        <v>7</v>
      </c>
      <c r="M11" s="1">
        <v>2</v>
      </c>
      <c r="N11" s="1" t="s">
        <v>24</v>
      </c>
      <c r="O11" s="48">
        <v>2</v>
      </c>
      <c r="R11" s="52"/>
      <c r="S11" s="48">
        <v>1</v>
      </c>
      <c r="T11" s="7">
        <v>21600</v>
      </c>
      <c r="U11" s="24">
        <v>0.45</v>
      </c>
      <c r="V11" s="57">
        <f t="shared" ref="V11:V18" si="2">T11*(1-U11)</f>
        <v>11880.000000000002</v>
      </c>
      <c r="W11" s="49">
        <f t="shared" ref="W11:W18" si="3">V11*S11*M11</f>
        <v>23760.000000000004</v>
      </c>
      <c r="X11" s="52"/>
    </row>
    <row r="12" spans="1:32" x14ac:dyDescent="0.3">
      <c r="A12" s="47" t="s">
        <v>340</v>
      </c>
      <c r="B12" s="47" t="s">
        <v>323</v>
      </c>
      <c r="C12" s="47" t="s">
        <v>380</v>
      </c>
      <c r="D12" s="47" t="s">
        <v>381</v>
      </c>
      <c r="E12" s="1" t="s">
        <v>182</v>
      </c>
      <c r="F12" s="1" t="s">
        <v>102</v>
      </c>
      <c r="G12" s="2186">
        <v>1</v>
      </c>
      <c r="H12" s="2186">
        <f>VLOOKUP(G12,Pesos!A:B,2,0)</f>
        <v>0.9</v>
      </c>
      <c r="J12" s="48" t="s">
        <v>305</v>
      </c>
      <c r="K12" s="1">
        <v>4</v>
      </c>
      <c r="L12" s="48">
        <v>9</v>
      </c>
      <c r="M12" s="1">
        <v>3</v>
      </c>
      <c r="N12" s="1" t="s">
        <v>24</v>
      </c>
      <c r="O12" s="48">
        <v>3</v>
      </c>
      <c r="R12" s="52"/>
      <c r="S12" s="48">
        <v>1</v>
      </c>
      <c r="T12" s="7">
        <v>15900</v>
      </c>
      <c r="U12" s="24">
        <v>0.3</v>
      </c>
      <c r="V12" s="57">
        <f t="shared" si="2"/>
        <v>11130</v>
      </c>
      <c r="W12" s="49">
        <f t="shared" si="3"/>
        <v>33390</v>
      </c>
      <c r="X12" s="52"/>
    </row>
    <row r="13" spans="1:32" x14ac:dyDescent="0.3">
      <c r="A13" s="47" t="s">
        <v>340</v>
      </c>
      <c r="B13" s="47" t="s">
        <v>323</v>
      </c>
      <c r="C13" s="47" t="s">
        <v>380</v>
      </c>
      <c r="D13" s="47" t="s">
        <v>381</v>
      </c>
      <c r="E13" s="1" t="s">
        <v>183</v>
      </c>
      <c r="F13" s="1" t="s">
        <v>184</v>
      </c>
      <c r="G13" s="2186">
        <v>2</v>
      </c>
      <c r="H13" s="2186">
        <f>VLOOKUP(G13,Pesos!A:B,2,0)</f>
        <v>0.8</v>
      </c>
      <c r="J13" s="48" t="s">
        <v>305</v>
      </c>
      <c r="K13" s="1">
        <v>30</v>
      </c>
      <c r="L13" s="48">
        <v>30</v>
      </c>
      <c r="M13" s="1">
        <v>1</v>
      </c>
      <c r="N13" s="1" t="s">
        <v>106</v>
      </c>
      <c r="O13" s="48">
        <v>30</v>
      </c>
      <c r="R13" s="52"/>
      <c r="S13" s="48">
        <v>1</v>
      </c>
      <c r="T13" s="7">
        <v>52500</v>
      </c>
      <c r="U13" s="24">
        <v>0.45</v>
      </c>
      <c r="V13" s="57">
        <f t="shared" si="2"/>
        <v>28875.000000000004</v>
      </c>
      <c r="W13" s="49">
        <f t="shared" si="3"/>
        <v>28875.000000000004</v>
      </c>
      <c r="X13" s="52"/>
    </row>
    <row r="14" spans="1:32" x14ac:dyDescent="0.3">
      <c r="A14" s="47" t="s">
        <v>340</v>
      </c>
      <c r="B14" s="47" t="s">
        <v>323</v>
      </c>
      <c r="C14" s="47" t="s">
        <v>380</v>
      </c>
      <c r="D14" s="47" t="s">
        <v>381</v>
      </c>
      <c r="E14" s="1" t="s">
        <v>183</v>
      </c>
      <c r="F14" s="1" t="s">
        <v>102</v>
      </c>
      <c r="G14" s="2186">
        <v>1</v>
      </c>
      <c r="H14" s="2186">
        <f>VLOOKUP(G14,Pesos!A:B,2,0)</f>
        <v>0.9</v>
      </c>
      <c r="J14" s="48" t="s">
        <v>305</v>
      </c>
      <c r="K14" s="1">
        <v>4</v>
      </c>
      <c r="L14" s="48">
        <v>9</v>
      </c>
      <c r="M14" s="1">
        <v>1</v>
      </c>
      <c r="N14" s="1" t="s">
        <v>22</v>
      </c>
      <c r="Q14" s="48">
        <v>1</v>
      </c>
      <c r="R14" s="48">
        <v>1</v>
      </c>
      <c r="S14" s="48">
        <v>2</v>
      </c>
      <c r="T14" s="7">
        <v>20800</v>
      </c>
      <c r="U14" s="24">
        <v>0.45</v>
      </c>
      <c r="V14" s="57">
        <f t="shared" si="2"/>
        <v>11440.000000000002</v>
      </c>
      <c r="W14" s="49">
        <f t="shared" si="3"/>
        <v>22880.000000000004</v>
      </c>
      <c r="X14" s="52"/>
    </row>
    <row r="15" spans="1:32" x14ac:dyDescent="0.3">
      <c r="A15" s="47" t="s">
        <v>340</v>
      </c>
      <c r="B15" s="47" t="s">
        <v>323</v>
      </c>
      <c r="C15" s="47" t="s">
        <v>380</v>
      </c>
      <c r="D15" s="47" t="s">
        <v>381</v>
      </c>
      <c r="E15" s="1" t="s">
        <v>183</v>
      </c>
      <c r="F15" s="1" t="s">
        <v>184</v>
      </c>
      <c r="G15" s="2186">
        <v>2</v>
      </c>
      <c r="H15" s="2186">
        <f>VLOOKUP(G15,Pesos!A:B,2,0)</f>
        <v>0.8</v>
      </c>
      <c r="I15" s="48" t="s">
        <v>305</v>
      </c>
      <c r="K15" s="1">
        <v>30</v>
      </c>
      <c r="L15" s="48">
        <v>30</v>
      </c>
      <c r="M15" s="1">
        <v>1</v>
      </c>
      <c r="N15" s="1" t="s">
        <v>106</v>
      </c>
      <c r="Q15" s="48">
        <v>30</v>
      </c>
      <c r="R15" s="52"/>
      <c r="S15" s="48">
        <v>1</v>
      </c>
      <c r="T15" s="7">
        <v>69000</v>
      </c>
      <c r="U15" s="24">
        <v>0.45</v>
      </c>
      <c r="V15" s="57">
        <f t="shared" si="2"/>
        <v>37950</v>
      </c>
      <c r="W15" s="49">
        <f t="shared" si="3"/>
        <v>37950</v>
      </c>
      <c r="X15" s="52"/>
    </row>
    <row r="16" spans="1:32" x14ac:dyDescent="0.3">
      <c r="A16" s="47" t="s">
        <v>340</v>
      </c>
      <c r="B16" s="47" t="s">
        <v>323</v>
      </c>
      <c r="C16" s="47" t="s">
        <v>380</v>
      </c>
      <c r="D16" s="47" t="s">
        <v>381</v>
      </c>
      <c r="E16" s="1" t="s">
        <v>186</v>
      </c>
      <c r="F16" s="1" t="s">
        <v>102</v>
      </c>
      <c r="G16" s="2186">
        <v>1</v>
      </c>
      <c r="H16" s="2186">
        <f>VLOOKUP(G16,Pesos!A:B,2,0)</f>
        <v>0.9</v>
      </c>
      <c r="J16" s="48" t="s">
        <v>305</v>
      </c>
      <c r="K16" s="1">
        <v>4</v>
      </c>
      <c r="L16" s="48">
        <v>9</v>
      </c>
      <c r="M16" s="1">
        <v>3</v>
      </c>
      <c r="N16" s="1" t="s">
        <v>106</v>
      </c>
      <c r="O16" s="48">
        <v>3</v>
      </c>
      <c r="R16" s="52"/>
      <c r="S16" s="48">
        <v>1</v>
      </c>
      <c r="T16" s="7">
        <v>37201</v>
      </c>
      <c r="U16" s="24">
        <v>0.83499999999999996</v>
      </c>
      <c r="V16" s="57">
        <f t="shared" si="2"/>
        <v>6138.1650000000009</v>
      </c>
      <c r="W16" s="49">
        <f t="shared" si="3"/>
        <v>18414.495000000003</v>
      </c>
      <c r="X16" s="52"/>
    </row>
    <row r="17" spans="1:24" x14ac:dyDescent="0.3">
      <c r="A17" s="47" t="s">
        <v>340</v>
      </c>
      <c r="B17" s="47" t="s">
        <v>323</v>
      </c>
      <c r="C17" s="47" t="s">
        <v>380</v>
      </c>
      <c r="D17" s="47" t="s">
        <v>381</v>
      </c>
      <c r="E17" s="1" t="s">
        <v>108</v>
      </c>
      <c r="F17" s="1" t="s">
        <v>187</v>
      </c>
      <c r="G17" s="2186">
        <v>2</v>
      </c>
      <c r="H17" s="2186">
        <f>VLOOKUP(G17,Pesos!A:B,2,0)</f>
        <v>0.8</v>
      </c>
      <c r="I17" s="48" t="s">
        <v>305</v>
      </c>
      <c r="K17" s="1">
        <v>60</v>
      </c>
      <c r="L17" s="48">
        <v>60</v>
      </c>
      <c r="M17" s="1">
        <v>1</v>
      </c>
      <c r="N17" s="1" t="s">
        <v>22</v>
      </c>
      <c r="Q17" s="48">
        <v>60</v>
      </c>
      <c r="R17" s="52"/>
      <c r="S17" s="48">
        <v>1</v>
      </c>
      <c r="T17" s="5">
        <v>51600</v>
      </c>
      <c r="U17" s="24">
        <v>0.45</v>
      </c>
      <c r="V17" s="57">
        <f t="shared" si="2"/>
        <v>28380.000000000004</v>
      </c>
      <c r="W17" s="49">
        <f t="shared" si="3"/>
        <v>28380.000000000004</v>
      </c>
      <c r="X17" s="52"/>
    </row>
    <row r="18" spans="1:24" x14ac:dyDescent="0.3">
      <c r="A18" s="47" t="s">
        <v>340</v>
      </c>
      <c r="B18" s="47" t="s">
        <v>323</v>
      </c>
      <c r="C18" s="47" t="s">
        <v>380</v>
      </c>
      <c r="D18" s="47" t="s">
        <v>381</v>
      </c>
      <c r="E18" s="1" t="s">
        <v>108</v>
      </c>
      <c r="F18" s="1" t="s">
        <v>188</v>
      </c>
      <c r="G18" s="2186">
        <v>4</v>
      </c>
      <c r="H18" s="2186">
        <f>VLOOKUP(G18,Pesos!A:B,2,0)</f>
        <v>0.6</v>
      </c>
      <c r="I18" s="48" t="s">
        <v>305</v>
      </c>
      <c r="K18" s="1">
        <v>70</v>
      </c>
      <c r="L18" s="48">
        <v>70</v>
      </c>
      <c r="M18" s="1">
        <v>1</v>
      </c>
      <c r="N18" s="1" t="s">
        <v>22</v>
      </c>
      <c r="O18" s="48">
        <v>70</v>
      </c>
      <c r="P18" s="48">
        <v>70</v>
      </c>
      <c r="R18" s="52"/>
      <c r="S18" s="48">
        <v>2</v>
      </c>
      <c r="T18" s="5">
        <v>25200</v>
      </c>
      <c r="U18" s="24">
        <v>0.45</v>
      </c>
      <c r="V18" s="57">
        <f t="shared" si="2"/>
        <v>13860.000000000002</v>
      </c>
      <c r="W18" s="49">
        <f t="shared" si="3"/>
        <v>27720.000000000004</v>
      </c>
      <c r="X18" s="52"/>
    </row>
    <row r="19" spans="1:24" x14ac:dyDescent="0.3">
      <c r="E19" s="1"/>
      <c r="F19" s="1"/>
      <c r="G19" s="2186"/>
      <c r="H19" s="2186"/>
      <c r="K19" s="1"/>
      <c r="M19" s="1"/>
      <c r="N19" s="1"/>
      <c r="R19" s="52"/>
      <c r="T19" s="5"/>
      <c r="U19" s="24"/>
      <c r="V19" s="57"/>
      <c r="X19" s="52"/>
    </row>
    <row r="20" spans="1:24" x14ac:dyDescent="0.3">
      <c r="A20" s="47" t="s">
        <v>342</v>
      </c>
      <c r="B20" s="47" t="s">
        <v>323</v>
      </c>
      <c r="C20" s="47" t="s">
        <v>380</v>
      </c>
      <c r="D20" s="47" t="s">
        <v>381</v>
      </c>
      <c r="E20" s="1" t="s">
        <v>182</v>
      </c>
      <c r="F20" s="1" t="s">
        <v>26</v>
      </c>
      <c r="G20" s="2186">
        <v>3</v>
      </c>
      <c r="H20" s="2186">
        <f>VLOOKUP(G20,Pesos!A:B,2,0)</f>
        <v>0.7</v>
      </c>
      <c r="I20" s="48" t="s">
        <v>305</v>
      </c>
      <c r="K20" s="1">
        <v>2</v>
      </c>
      <c r="L20" s="48">
        <v>5</v>
      </c>
      <c r="M20" s="1">
        <v>3</v>
      </c>
      <c r="N20" s="1" t="s">
        <v>24</v>
      </c>
      <c r="O20" s="48">
        <v>3</v>
      </c>
      <c r="S20" s="48">
        <v>1</v>
      </c>
      <c r="T20" s="7">
        <v>21600</v>
      </c>
      <c r="U20" s="24">
        <v>0.45</v>
      </c>
      <c r="V20" s="57">
        <f t="shared" ref="V20:V35" si="4">T20*(1-U20)</f>
        <v>11880.000000000002</v>
      </c>
      <c r="W20" s="57">
        <f t="shared" ref="W20:W35" si="5">V20*S20*M20</f>
        <v>35640.000000000007</v>
      </c>
    </row>
    <row r="21" spans="1:24" x14ac:dyDescent="0.3">
      <c r="A21" s="47" t="s">
        <v>342</v>
      </c>
      <c r="B21" s="47" t="s">
        <v>323</v>
      </c>
      <c r="C21" s="47" t="s">
        <v>380</v>
      </c>
      <c r="D21" s="47" t="s">
        <v>381</v>
      </c>
      <c r="E21" s="1" t="s">
        <v>182</v>
      </c>
      <c r="F21" s="1" t="s">
        <v>102</v>
      </c>
      <c r="G21" s="2186">
        <v>2</v>
      </c>
      <c r="H21" s="2186">
        <f>VLOOKUP(G21,Pesos!A:B,2,0)</f>
        <v>0.8</v>
      </c>
      <c r="J21" s="48" t="s">
        <v>305</v>
      </c>
      <c r="K21" s="1">
        <v>4</v>
      </c>
      <c r="L21" s="48">
        <v>9</v>
      </c>
      <c r="M21" s="1">
        <v>3</v>
      </c>
      <c r="N21" s="1" t="s">
        <v>24</v>
      </c>
      <c r="O21" s="48">
        <v>3</v>
      </c>
      <c r="S21" s="48">
        <v>1</v>
      </c>
      <c r="T21" s="7">
        <v>15900</v>
      </c>
      <c r="U21" s="24">
        <v>0.3</v>
      </c>
      <c r="V21" s="57">
        <f t="shared" si="4"/>
        <v>11130</v>
      </c>
      <c r="W21" s="57">
        <f t="shared" si="5"/>
        <v>33390</v>
      </c>
    </row>
    <row r="22" spans="1:24" x14ac:dyDescent="0.3">
      <c r="A22" s="47" t="s">
        <v>342</v>
      </c>
      <c r="B22" s="47" t="s">
        <v>323</v>
      </c>
      <c r="C22" s="47" t="s">
        <v>380</v>
      </c>
      <c r="D22" s="47" t="s">
        <v>381</v>
      </c>
      <c r="E22" s="1" t="s">
        <v>183</v>
      </c>
      <c r="F22" s="1" t="s">
        <v>184</v>
      </c>
      <c r="G22" s="2186">
        <v>1</v>
      </c>
      <c r="H22" s="2186">
        <f>VLOOKUP(G22,Pesos!A:B,2,0)</f>
        <v>0.9</v>
      </c>
      <c r="J22" s="48" t="s">
        <v>305</v>
      </c>
      <c r="K22" s="1">
        <v>30</v>
      </c>
      <c r="L22" s="48">
        <v>30</v>
      </c>
      <c r="M22" s="1">
        <v>1</v>
      </c>
      <c r="N22" s="1" t="s">
        <v>106</v>
      </c>
      <c r="O22" s="48">
        <v>30</v>
      </c>
      <c r="S22" s="48">
        <v>1</v>
      </c>
      <c r="T22" s="7">
        <v>52500</v>
      </c>
      <c r="U22" s="24">
        <v>0.45</v>
      </c>
      <c r="V22" s="57">
        <f t="shared" si="4"/>
        <v>28875.000000000004</v>
      </c>
      <c r="W22" s="57">
        <f t="shared" si="5"/>
        <v>28875.000000000004</v>
      </c>
    </row>
    <row r="23" spans="1:24" x14ac:dyDescent="0.3">
      <c r="A23" s="47" t="s">
        <v>342</v>
      </c>
      <c r="B23" s="47" t="s">
        <v>323</v>
      </c>
      <c r="C23" s="47" t="s">
        <v>380</v>
      </c>
      <c r="D23" s="47" t="s">
        <v>381</v>
      </c>
      <c r="E23" s="1" t="s">
        <v>183</v>
      </c>
      <c r="F23" s="1" t="s">
        <v>102</v>
      </c>
      <c r="G23" s="2186">
        <v>2</v>
      </c>
      <c r="H23" s="2186">
        <f>VLOOKUP(G23,Pesos!A:B,2,0)</f>
        <v>0.8</v>
      </c>
      <c r="J23" s="48" t="s">
        <v>305</v>
      </c>
      <c r="K23" s="1">
        <v>4</v>
      </c>
      <c r="L23" s="48">
        <v>9</v>
      </c>
      <c r="M23" s="1">
        <v>1</v>
      </c>
      <c r="N23" s="1" t="s">
        <v>22</v>
      </c>
      <c r="P23" s="48">
        <v>1</v>
      </c>
      <c r="S23" s="48">
        <v>1</v>
      </c>
      <c r="T23" s="7">
        <v>20800</v>
      </c>
      <c r="U23" s="24">
        <v>0.45</v>
      </c>
      <c r="V23" s="57">
        <f t="shared" si="4"/>
        <v>11440.000000000002</v>
      </c>
      <c r="W23" s="57">
        <f t="shared" si="5"/>
        <v>11440.000000000002</v>
      </c>
    </row>
    <row r="24" spans="1:24" x14ac:dyDescent="0.3">
      <c r="A24" s="47" t="s">
        <v>342</v>
      </c>
      <c r="B24" s="47" t="s">
        <v>323</v>
      </c>
      <c r="C24" s="47" t="s">
        <v>380</v>
      </c>
      <c r="D24" s="47" t="s">
        <v>381</v>
      </c>
      <c r="E24" s="1" t="s">
        <v>183</v>
      </c>
      <c r="F24" s="1" t="s">
        <v>184</v>
      </c>
      <c r="G24" s="2186">
        <v>1</v>
      </c>
      <c r="H24" s="2186">
        <f>VLOOKUP(G24,Pesos!A:B,2,0)</f>
        <v>0.9</v>
      </c>
      <c r="I24" s="48" t="s">
        <v>305</v>
      </c>
      <c r="K24" s="1">
        <v>20</v>
      </c>
      <c r="L24" s="48">
        <v>50</v>
      </c>
      <c r="M24" s="1">
        <v>1</v>
      </c>
      <c r="N24" s="1" t="s">
        <v>106</v>
      </c>
      <c r="O24" s="48">
        <v>30</v>
      </c>
      <c r="S24" s="48">
        <v>1</v>
      </c>
      <c r="T24" s="7">
        <v>69000</v>
      </c>
      <c r="U24" s="24">
        <v>0.45</v>
      </c>
      <c r="V24" s="57">
        <f t="shared" si="4"/>
        <v>37950</v>
      </c>
      <c r="W24" s="57">
        <f t="shared" si="5"/>
        <v>37950</v>
      </c>
    </row>
    <row r="25" spans="1:24" x14ac:dyDescent="0.3">
      <c r="A25" s="47" t="s">
        <v>342</v>
      </c>
      <c r="B25" s="47" t="s">
        <v>323</v>
      </c>
      <c r="C25" s="47" t="s">
        <v>380</v>
      </c>
      <c r="D25" s="47" t="s">
        <v>381</v>
      </c>
      <c r="E25" s="1" t="s">
        <v>186</v>
      </c>
      <c r="F25" s="1" t="s">
        <v>102</v>
      </c>
      <c r="G25" s="2186">
        <v>2</v>
      </c>
      <c r="H25" s="2186">
        <f>VLOOKUP(G25,Pesos!A:B,2,0)</f>
        <v>0.8</v>
      </c>
      <c r="J25" s="48" t="s">
        <v>305</v>
      </c>
      <c r="K25" s="1">
        <v>4</v>
      </c>
      <c r="L25" s="48">
        <v>9</v>
      </c>
      <c r="M25" s="1">
        <v>5</v>
      </c>
      <c r="N25" s="1" t="s">
        <v>106</v>
      </c>
      <c r="O25" s="48">
        <v>5</v>
      </c>
      <c r="S25" s="48">
        <v>1</v>
      </c>
      <c r="T25" s="7">
        <v>37201</v>
      </c>
      <c r="U25" s="24">
        <v>0.83499999999999996</v>
      </c>
      <c r="V25" s="57">
        <f t="shared" si="4"/>
        <v>6138.1650000000009</v>
      </c>
      <c r="W25" s="57">
        <f t="shared" si="5"/>
        <v>30690.825000000004</v>
      </c>
    </row>
    <row r="26" spans="1:24" x14ac:dyDescent="0.3">
      <c r="A26" s="47" t="s">
        <v>342</v>
      </c>
      <c r="B26" s="47" t="s">
        <v>323</v>
      </c>
      <c r="C26" s="47" t="s">
        <v>380</v>
      </c>
      <c r="D26" s="47" t="s">
        <v>381</v>
      </c>
      <c r="E26" s="1" t="s">
        <v>108</v>
      </c>
      <c r="F26" s="1" t="s">
        <v>187</v>
      </c>
      <c r="G26" s="2186">
        <v>1</v>
      </c>
      <c r="H26" s="2186">
        <f>VLOOKUP(G26,Pesos!A:B,2,0)</f>
        <v>0.9</v>
      </c>
      <c r="I26" s="48" t="s">
        <v>305</v>
      </c>
      <c r="K26" s="1">
        <v>4</v>
      </c>
      <c r="L26" s="48">
        <v>9</v>
      </c>
      <c r="M26" s="1">
        <v>1</v>
      </c>
      <c r="N26" s="1" t="s">
        <v>22</v>
      </c>
      <c r="Q26" s="48">
        <v>60</v>
      </c>
      <c r="S26" s="48">
        <v>1</v>
      </c>
      <c r="T26" s="5">
        <v>51600</v>
      </c>
      <c r="U26" s="24">
        <v>0.45</v>
      </c>
      <c r="V26" s="57">
        <f t="shared" si="4"/>
        <v>28380.000000000004</v>
      </c>
      <c r="W26" s="57">
        <f t="shared" si="5"/>
        <v>28380.000000000004</v>
      </c>
    </row>
    <row r="27" spans="1:24" x14ac:dyDescent="0.3">
      <c r="E27" s="10"/>
      <c r="F27" s="10"/>
      <c r="G27" s="2197"/>
      <c r="H27" s="2197"/>
      <c r="K27" s="10"/>
      <c r="M27" s="10"/>
      <c r="N27" s="10"/>
      <c r="T27" s="61"/>
      <c r="U27" s="71"/>
      <c r="V27" s="57"/>
      <c r="W27" s="57"/>
    </row>
    <row r="28" spans="1:24" x14ac:dyDescent="0.3">
      <c r="A28" s="47" t="s">
        <v>343</v>
      </c>
      <c r="B28" s="47" t="s">
        <v>323</v>
      </c>
      <c r="C28" s="47" t="s">
        <v>380</v>
      </c>
      <c r="D28" s="47" t="s">
        <v>381</v>
      </c>
      <c r="E28" s="1" t="s">
        <v>182</v>
      </c>
      <c r="F28" s="1" t="s">
        <v>26</v>
      </c>
      <c r="G28" s="2186">
        <v>4</v>
      </c>
      <c r="H28" s="2186">
        <f>VLOOKUP(G28,Pesos!A:B,2,0)</f>
        <v>0.6</v>
      </c>
      <c r="I28" s="48" t="s">
        <v>305</v>
      </c>
      <c r="K28" s="48">
        <v>2</v>
      </c>
      <c r="L28" s="48">
        <v>5</v>
      </c>
      <c r="M28" s="1">
        <v>1</v>
      </c>
      <c r="N28" s="1" t="s">
        <v>24</v>
      </c>
      <c r="O28" s="48">
        <v>2</v>
      </c>
      <c r="S28" s="48">
        <v>1</v>
      </c>
      <c r="T28" s="7">
        <v>21600</v>
      </c>
      <c r="U28" s="24">
        <v>0.45</v>
      </c>
      <c r="V28" s="57">
        <f t="shared" ref="V28" si="6">T28*(1-U28)</f>
        <v>11880.000000000002</v>
      </c>
      <c r="W28" s="57">
        <f t="shared" ref="W28" si="7">V28*S28*M28</f>
        <v>11880.000000000002</v>
      </c>
    </row>
    <row r="29" spans="1:24" x14ac:dyDescent="0.3">
      <c r="A29" s="47" t="s">
        <v>343</v>
      </c>
      <c r="B29" s="47" t="s">
        <v>323</v>
      </c>
      <c r="C29" s="47" t="s">
        <v>380</v>
      </c>
      <c r="D29" s="47" t="s">
        <v>381</v>
      </c>
      <c r="E29" s="1" t="s">
        <v>182</v>
      </c>
      <c r="F29" s="1" t="s">
        <v>102</v>
      </c>
      <c r="G29" s="2186">
        <v>2</v>
      </c>
      <c r="H29" s="2186">
        <f>VLOOKUP(G29,Pesos!A:B,2,0)</f>
        <v>0.8</v>
      </c>
      <c r="J29" s="48" t="s">
        <v>305</v>
      </c>
      <c r="K29" s="63">
        <v>4</v>
      </c>
      <c r="L29" s="48">
        <v>9</v>
      </c>
      <c r="M29" s="1">
        <v>1</v>
      </c>
      <c r="N29" s="1" t="s">
        <v>24</v>
      </c>
      <c r="O29" s="48">
        <v>2</v>
      </c>
      <c r="S29" s="48">
        <v>1</v>
      </c>
      <c r="T29" s="7">
        <v>15900</v>
      </c>
      <c r="U29" s="24">
        <v>0.3</v>
      </c>
      <c r="V29" s="57">
        <f t="shared" si="4"/>
        <v>11130</v>
      </c>
      <c r="W29" s="57">
        <f t="shared" si="5"/>
        <v>11130</v>
      </c>
    </row>
    <row r="30" spans="1:24" x14ac:dyDescent="0.3">
      <c r="A30" s="47" t="s">
        <v>343</v>
      </c>
      <c r="B30" s="47" t="s">
        <v>323</v>
      </c>
      <c r="C30" s="47" t="s">
        <v>380</v>
      </c>
      <c r="D30" s="47" t="s">
        <v>381</v>
      </c>
      <c r="E30" s="1" t="s">
        <v>183</v>
      </c>
      <c r="F30" s="1" t="s">
        <v>184</v>
      </c>
      <c r="G30" s="2186">
        <v>1</v>
      </c>
      <c r="H30" s="2186">
        <f>VLOOKUP(G30,Pesos!A:B,2,0)</f>
        <v>0.9</v>
      </c>
      <c r="J30" s="48" t="s">
        <v>305</v>
      </c>
      <c r="K30" s="20">
        <v>30</v>
      </c>
      <c r="L30" s="48">
        <v>30</v>
      </c>
      <c r="M30" s="1">
        <v>1</v>
      </c>
      <c r="N30" s="1" t="s">
        <v>106</v>
      </c>
      <c r="O30" s="48">
        <v>30</v>
      </c>
      <c r="S30" s="48">
        <v>1</v>
      </c>
      <c r="T30" s="7">
        <v>52500</v>
      </c>
      <c r="U30" s="24">
        <v>0.45</v>
      </c>
      <c r="V30" s="57">
        <f t="shared" si="4"/>
        <v>28875.000000000004</v>
      </c>
      <c r="W30" s="57">
        <f t="shared" si="5"/>
        <v>28875.000000000004</v>
      </c>
    </row>
    <row r="31" spans="1:24" x14ac:dyDescent="0.3">
      <c r="A31" s="47" t="s">
        <v>343</v>
      </c>
      <c r="B31" s="47" t="s">
        <v>323</v>
      </c>
      <c r="C31" s="47" t="s">
        <v>380</v>
      </c>
      <c r="D31" s="47" t="s">
        <v>381</v>
      </c>
      <c r="E31" s="1" t="s">
        <v>183</v>
      </c>
      <c r="F31" s="1" t="s">
        <v>102</v>
      </c>
      <c r="G31" s="2186">
        <v>2</v>
      </c>
      <c r="H31" s="2186">
        <f>VLOOKUP(G31,Pesos!A:B,2,0)</f>
        <v>0.8</v>
      </c>
      <c r="J31" s="48" t="s">
        <v>305</v>
      </c>
      <c r="K31" s="20">
        <v>4</v>
      </c>
      <c r="L31" s="48">
        <v>9</v>
      </c>
      <c r="M31" s="1">
        <v>1</v>
      </c>
      <c r="N31" s="1" t="s">
        <v>22</v>
      </c>
      <c r="P31" s="48">
        <v>1</v>
      </c>
      <c r="S31" s="48">
        <v>1</v>
      </c>
      <c r="T31" s="7">
        <v>20800</v>
      </c>
      <c r="U31" s="24">
        <v>0.45</v>
      </c>
      <c r="V31" s="57">
        <f t="shared" si="4"/>
        <v>11440.000000000002</v>
      </c>
      <c r="W31" s="57">
        <f t="shared" si="5"/>
        <v>11440.000000000002</v>
      </c>
    </row>
    <row r="32" spans="1:24" x14ac:dyDescent="0.3">
      <c r="A32" s="47" t="s">
        <v>343</v>
      </c>
      <c r="B32" s="47" t="s">
        <v>323</v>
      </c>
      <c r="C32" s="47" t="s">
        <v>380</v>
      </c>
      <c r="D32" s="47" t="s">
        <v>381</v>
      </c>
      <c r="E32" s="1" t="s">
        <v>183</v>
      </c>
      <c r="F32" s="1" t="s">
        <v>184</v>
      </c>
      <c r="G32" s="2186">
        <v>1</v>
      </c>
      <c r="H32" s="2186">
        <f>VLOOKUP(G32,Pesos!A:B,2,0)</f>
        <v>0.9</v>
      </c>
      <c r="I32" s="48" t="s">
        <v>305</v>
      </c>
      <c r="K32" s="20">
        <v>30</v>
      </c>
      <c r="L32" s="48">
        <v>30</v>
      </c>
      <c r="M32" s="1">
        <v>1</v>
      </c>
      <c r="N32" s="1" t="s">
        <v>106</v>
      </c>
      <c r="O32" s="48">
        <v>30</v>
      </c>
      <c r="S32" s="48">
        <v>1</v>
      </c>
      <c r="T32" s="7">
        <v>69000</v>
      </c>
      <c r="U32" s="24">
        <v>0.45</v>
      </c>
      <c r="V32" s="57">
        <f t="shared" si="4"/>
        <v>37950</v>
      </c>
      <c r="W32" s="57">
        <f t="shared" si="5"/>
        <v>37950</v>
      </c>
    </row>
    <row r="33" spans="1:30" x14ac:dyDescent="0.3">
      <c r="A33" s="47" t="s">
        <v>343</v>
      </c>
      <c r="B33" s="47" t="s">
        <v>323</v>
      </c>
      <c r="C33" s="47" t="s">
        <v>380</v>
      </c>
      <c r="D33" s="47" t="s">
        <v>381</v>
      </c>
      <c r="E33" s="1" t="s">
        <v>186</v>
      </c>
      <c r="F33" s="1" t="s">
        <v>102</v>
      </c>
      <c r="G33" s="2186">
        <v>2</v>
      </c>
      <c r="H33" s="2186">
        <f>VLOOKUP(G33,Pesos!A:B,2,0)</f>
        <v>0.8</v>
      </c>
      <c r="J33" s="48" t="s">
        <v>305</v>
      </c>
      <c r="K33" s="20">
        <v>4</v>
      </c>
      <c r="L33" s="48">
        <v>9</v>
      </c>
      <c r="M33" s="1">
        <v>1</v>
      </c>
      <c r="N33" s="1" t="s">
        <v>106</v>
      </c>
      <c r="O33" s="48">
        <v>4</v>
      </c>
      <c r="S33" s="48">
        <v>1</v>
      </c>
      <c r="T33" s="7">
        <v>37201</v>
      </c>
      <c r="U33" s="24">
        <v>0.83499999999999996</v>
      </c>
      <c r="V33" s="57">
        <f t="shared" si="4"/>
        <v>6138.1650000000009</v>
      </c>
      <c r="W33" s="57">
        <f t="shared" si="5"/>
        <v>6138.1650000000009</v>
      </c>
    </row>
    <row r="34" spans="1:30" x14ac:dyDescent="0.3">
      <c r="A34" s="47" t="s">
        <v>343</v>
      </c>
      <c r="B34" s="47" t="s">
        <v>323</v>
      </c>
      <c r="C34" s="47" t="s">
        <v>380</v>
      </c>
      <c r="D34" s="47" t="s">
        <v>381</v>
      </c>
      <c r="E34" s="1" t="s">
        <v>108</v>
      </c>
      <c r="F34" s="1" t="s">
        <v>187</v>
      </c>
      <c r="G34" s="2186">
        <v>1</v>
      </c>
      <c r="H34" s="2186">
        <f>VLOOKUP(G34,Pesos!A:B,2,0)</f>
        <v>0.9</v>
      </c>
      <c r="I34" s="48" t="s">
        <v>305</v>
      </c>
      <c r="K34" s="20">
        <v>60</v>
      </c>
      <c r="L34" s="48">
        <v>60</v>
      </c>
      <c r="M34" s="1">
        <v>1</v>
      </c>
      <c r="N34" s="1" t="s">
        <v>22</v>
      </c>
      <c r="Q34" s="48">
        <v>60</v>
      </c>
      <c r="S34" s="48">
        <v>1</v>
      </c>
      <c r="T34" s="5">
        <v>51600</v>
      </c>
      <c r="U34" s="24">
        <v>0.45</v>
      </c>
      <c r="V34" s="57">
        <f t="shared" si="4"/>
        <v>28380.000000000004</v>
      </c>
      <c r="W34" s="57">
        <f t="shared" si="5"/>
        <v>28380.000000000004</v>
      </c>
    </row>
    <row r="35" spans="1:30" x14ac:dyDescent="0.3">
      <c r="A35" s="47" t="s">
        <v>343</v>
      </c>
      <c r="B35" s="47" t="s">
        <v>323</v>
      </c>
      <c r="C35" s="47" t="s">
        <v>380</v>
      </c>
      <c r="D35" s="47" t="s">
        <v>381</v>
      </c>
      <c r="E35" s="1" t="s">
        <v>108</v>
      </c>
      <c r="F35" s="1" t="s">
        <v>188</v>
      </c>
      <c r="G35" s="2186">
        <v>3</v>
      </c>
      <c r="H35" s="2186">
        <f>VLOOKUP(G35,Pesos!A:B,2,0)</f>
        <v>0.7</v>
      </c>
      <c r="I35" s="48" t="s">
        <v>305</v>
      </c>
      <c r="K35" s="20">
        <v>70</v>
      </c>
      <c r="L35" s="48">
        <v>70</v>
      </c>
      <c r="M35" s="1">
        <v>2</v>
      </c>
      <c r="N35" s="1" t="s">
        <v>22</v>
      </c>
      <c r="O35" s="48">
        <v>70</v>
      </c>
      <c r="P35" s="48">
        <v>70</v>
      </c>
      <c r="S35" s="48">
        <v>2</v>
      </c>
      <c r="T35" s="5">
        <v>25200</v>
      </c>
      <c r="U35" s="24">
        <v>0.45</v>
      </c>
      <c r="V35" s="57">
        <f t="shared" si="4"/>
        <v>13860.000000000002</v>
      </c>
      <c r="W35" s="57">
        <f t="shared" si="5"/>
        <v>55440.000000000007</v>
      </c>
    </row>
    <row r="36" spans="1:30" x14ac:dyDescent="0.3">
      <c r="E36" s="1"/>
      <c r="F36" s="1"/>
      <c r="G36" s="2186"/>
      <c r="H36" s="2186"/>
      <c r="K36" s="20"/>
      <c r="M36" s="1"/>
      <c r="N36" s="1"/>
      <c r="T36" s="5"/>
      <c r="U36" s="24"/>
      <c r="V36" s="57"/>
      <c r="W36" s="57"/>
    </row>
    <row r="37" spans="1:30" x14ac:dyDescent="0.3">
      <c r="A37" s="47" t="s">
        <v>326</v>
      </c>
      <c r="B37" s="47" t="s">
        <v>323</v>
      </c>
      <c r="C37" s="47" t="s">
        <v>380</v>
      </c>
      <c r="D37" s="47" t="s">
        <v>381</v>
      </c>
      <c r="E37" s="1" t="s">
        <v>182</v>
      </c>
      <c r="F37" s="1" t="s">
        <v>26</v>
      </c>
      <c r="G37" s="2186">
        <v>3</v>
      </c>
      <c r="H37" s="2186">
        <f>VLOOKUP(G37,Pesos!A:B,2,0)</f>
        <v>0.7</v>
      </c>
      <c r="I37" s="48" t="s">
        <v>305</v>
      </c>
      <c r="K37" s="20">
        <v>1</v>
      </c>
      <c r="L37" s="48">
        <v>4</v>
      </c>
      <c r="M37" s="2" t="s">
        <v>332</v>
      </c>
      <c r="N37" s="1" t="s">
        <v>24</v>
      </c>
      <c r="O37" s="48">
        <v>2</v>
      </c>
      <c r="S37" s="1">
        <v>1</v>
      </c>
      <c r="T37" s="7">
        <v>21600</v>
      </c>
      <c r="U37" s="24">
        <v>0.45</v>
      </c>
      <c r="V37" s="57">
        <f t="shared" ref="V37:V41" si="8">T37*(1-U37)</f>
        <v>11880.000000000002</v>
      </c>
      <c r="W37" s="57">
        <f t="shared" ref="W37:W41" si="9">V37*S37*M37</f>
        <v>23760.000000000004</v>
      </c>
    </row>
    <row r="38" spans="1:30" x14ac:dyDescent="0.3">
      <c r="A38" s="47" t="s">
        <v>326</v>
      </c>
      <c r="B38" s="47" t="s">
        <v>323</v>
      </c>
      <c r="C38" s="47" t="s">
        <v>380</v>
      </c>
      <c r="D38" s="47" t="s">
        <v>381</v>
      </c>
      <c r="E38" s="1" t="s">
        <v>182</v>
      </c>
      <c r="F38" s="1" t="s">
        <v>102</v>
      </c>
      <c r="G38" s="2186">
        <v>2</v>
      </c>
      <c r="H38" s="2186">
        <f>VLOOKUP(G38,Pesos!A:B,2,0)</f>
        <v>0.8</v>
      </c>
      <c r="J38" s="48" t="s">
        <v>305</v>
      </c>
      <c r="K38" s="48">
        <v>2</v>
      </c>
      <c r="L38" s="48">
        <v>5</v>
      </c>
      <c r="M38" s="2" t="s">
        <v>332</v>
      </c>
      <c r="N38" s="1" t="s">
        <v>24</v>
      </c>
      <c r="O38" s="48">
        <v>2</v>
      </c>
      <c r="S38" s="1">
        <v>1</v>
      </c>
      <c r="T38" s="7">
        <v>15900</v>
      </c>
      <c r="U38" s="24">
        <v>0.3</v>
      </c>
      <c r="V38" s="57">
        <f t="shared" si="8"/>
        <v>11130</v>
      </c>
      <c r="W38" s="57">
        <f t="shared" si="9"/>
        <v>22260</v>
      </c>
    </row>
    <row r="39" spans="1:30" x14ac:dyDescent="0.3">
      <c r="A39" s="47" t="s">
        <v>326</v>
      </c>
      <c r="B39" s="47" t="s">
        <v>323</v>
      </c>
      <c r="C39" s="47" t="s">
        <v>380</v>
      </c>
      <c r="D39" s="47" t="s">
        <v>381</v>
      </c>
      <c r="E39" s="1" t="s">
        <v>183</v>
      </c>
      <c r="F39" s="1" t="s">
        <v>184</v>
      </c>
      <c r="G39" s="2186">
        <v>1</v>
      </c>
      <c r="H39" s="2186">
        <f>VLOOKUP(G39,Pesos!A:B,2,0)</f>
        <v>0.9</v>
      </c>
      <c r="J39" s="48" t="s">
        <v>305</v>
      </c>
      <c r="K39" s="48">
        <v>30</v>
      </c>
      <c r="L39" s="48">
        <v>30</v>
      </c>
      <c r="M39" s="2" t="s">
        <v>38</v>
      </c>
      <c r="N39" s="1" t="s">
        <v>106</v>
      </c>
      <c r="O39" s="48">
        <v>30</v>
      </c>
      <c r="S39" s="1">
        <v>1</v>
      </c>
      <c r="T39" s="7">
        <v>52500</v>
      </c>
      <c r="U39" s="24">
        <v>0.45</v>
      </c>
      <c r="V39" s="57">
        <f t="shared" si="8"/>
        <v>28875.000000000004</v>
      </c>
      <c r="W39" s="57">
        <f t="shared" si="9"/>
        <v>28875.000000000004</v>
      </c>
    </row>
    <row r="40" spans="1:30" x14ac:dyDescent="0.3">
      <c r="A40" s="47" t="s">
        <v>326</v>
      </c>
      <c r="B40" s="47" t="s">
        <v>323</v>
      </c>
      <c r="C40" s="47" t="s">
        <v>380</v>
      </c>
      <c r="D40" s="47" t="s">
        <v>381</v>
      </c>
      <c r="E40" s="1" t="s">
        <v>183</v>
      </c>
      <c r="F40" s="1" t="s">
        <v>102</v>
      </c>
      <c r="G40" s="2186">
        <v>2</v>
      </c>
      <c r="H40" s="2186">
        <f>VLOOKUP(G40,Pesos!A:B,2,0)</f>
        <v>0.8</v>
      </c>
      <c r="J40" s="48" t="s">
        <v>305</v>
      </c>
      <c r="K40" s="48">
        <v>2</v>
      </c>
      <c r="L40" s="48">
        <v>5</v>
      </c>
      <c r="M40" s="2" t="s">
        <v>332</v>
      </c>
      <c r="N40" s="1" t="s">
        <v>22</v>
      </c>
      <c r="P40" s="48">
        <v>2</v>
      </c>
      <c r="S40" s="1">
        <v>1</v>
      </c>
      <c r="T40" s="7">
        <v>20800</v>
      </c>
      <c r="U40" s="24">
        <v>0.45</v>
      </c>
      <c r="V40" s="57">
        <f t="shared" si="8"/>
        <v>11440.000000000002</v>
      </c>
      <c r="W40" s="57">
        <f t="shared" si="9"/>
        <v>22880.000000000004</v>
      </c>
    </row>
    <row r="41" spans="1:30" x14ac:dyDescent="0.3">
      <c r="A41" s="47" t="s">
        <v>326</v>
      </c>
      <c r="B41" s="47" t="s">
        <v>323</v>
      </c>
      <c r="C41" s="47" t="s">
        <v>380</v>
      </c>
      <c r="D41" s="47" t="s">
        <v>381</v>
      </c>
      <c r="E41" s="1" t="s">
        <v>183</v>
      </c>
      <c r="F41" s="1" t="s">
        <v>184</v>
      </c>
      <c r="G41" s="2186">
        <v>1</v>
      </c>
      <c r="H41" s="2186">
        <f>VLOOKUP(G41,Pesos!A:B,2,0)</f>
        <v>0.9</v>
      </c>
      <c r="I41" s="48" t="s">
        <v>305</v>
      </c>
      <c r="K41" s="48">
        <v>30</v>
      </c>
      <c r="L41" s="48">
        <v>30</v>
      </c>
      <c r="M41" s="2" t="s">
        <v>38</v>
      </c>
      <c r="N41" s="1" t="s">
        <v>106</v>
      </c>
      <c r="O41" s="48">
        <v>30</v>
      </c>
      <c r="S41" s="1">
        <v>1</v>
      </c>
      <c r="T41" s="7">
        <v>69000</v>
      </c>
      <c r="U41" s="24">
        <v>0.45</v>
      </c>
      <c r="V41" s="57">
        <f t="shared" si="8"/>
        <v>37950</v>
      </c>
      <c r="W41" s="57">
        <f t="shared" si="9"/>
        <v>37950</v>
      </c>
    </row>
    <row r="46" spans="1:30" x14ac:dyDescent="0.3">
      <c r="A46" s="47"/>
      <c r="D46" s="43" t="s">
        <v>1158</v>
      </c>
      <c r="E46" s="43" t="s">
        <v>1159</v>
      </c>
      <c r="F46" s="43" t="s">
        <v>1160</v>
      </c>
      <c r="G46" s="43"/>
      <c r="H46" s="1"/>
      <c r="I46" s="1"/>
      <c r="J46" s="1"/>
      <c r="K46" s="1"/>
      <c r="L46" s="1"/>
      <c r="N46" s="1"/>
      <c r="O46" s="1"/>
      <c r="P46" s="1"/>
      <c r="Q46" s="1"/>
      <c r="R46" s="1"/>
      <c r="S46" s="1"/>
      <c r="T46" s="25"/>
      <c r="U46" s="1"/>
      <c r="V46" s="25"/>
      <c r="W46" s="25"/>
      <c r="X46" s="16"/>
      <c r="Y46" s="16"/>
      <c r="AB46" s="1"/>
      <c r="AD46" s="1"/>
    </row>
    <row r="47" spans="1:30" x14ac:dyDescent="0.3">
      <c r="A47" s="47" t="s">
        <v>1161</v>
      </c>
      <c r="B47" s="2174"/>
      <c r="C47" s="2174"/>
      <c r="D47" s="2181">
        <f>E47*(1-10%)</f>
        <v>1793.0380227272728</v>
      </c>
      <c r="E47" s="427">
        <f>FLORIANOPOLIS!S50</f>
        <v>1992.2644696969699</v>
      </c>
      <c r="F47" s="427">
        <f>E47*(1+15%)</f>
        <v>2291.1041401515154</v>
      </c>
      <c r="G47" s="427"/>
      <c r="H47" s="1"/>
      <c r="I47" s="1"/>
      <c r="J47" s="1"/>
      <c r="K47" s="1"/>
      <c r="L47" s="1"/>
      <c r="N47" s="1"/>
      <c r="O47" s="1"/>
      <c r="P47" s="1"/>
      <c r="Q47" s="1"/>
      <c r="R47" s="1"/>
      <c r="S47" s="1"/>
      <c r="T47" s="25"/>
      <c r="U47" s="1"/>
      <c r="V47" s="25"/>
      <c r="W47" s="25"/>
      <c r="X47" s="16"/>
      <c r="Y47" s="16"/>
      <c r="AB47" s="1"/>
      <c r="AD47" s="1"/>
    </row>
    <row r="48" spans="1:30" x14ac:dyDescent="0.3">
      <c r="A48" s="47" t="s">
        <v>1162</v>
      </c>
      <c r="B48" s="2174"/>
      <c r="C48" s="2174"/>
      <c r="D48" s="2181">
        <f>E48*(1-25%)</f>
        <v>739.91526388888883</v>
      </c>
      <c r="E48" s="427">
        <f>FLORIANOPOLIS!S79</f>
        <v>986.55368518518515</v>
      </c>
      <c r="F48" s="427">
        <f>E48*(1+5%)</f>
        <v>1035.8813694444445</v>
      </c>
      <c r="G48" s="427"/>
      <c r="H48" s="1"/>
      <c r="I48" s="1"/>
      <c r="J48" s="1"/>
      <c r="K48" s="1"/>
      <c r="L48" s="1"/>
      <c r="N48" s="1"/>
      <c r="O48" s="1"/>
      <c r="P48" s="1"/>
      <c r="Q48" s="1"/>
      <c r="R48" s="1"/>
      <c r="S48" s="1"/>
      <c r="T48" s="25"/>
      <c r="U48" s="1"/>
      <c r="V48" s="25"/>
      <c r="W48" s="25"/>
      <c r="X48" s="16"/>
      <c r="Y48" s="16"/>
      <c r="AB48" s="1"/>
      <c r="AD48" s="1"/>
    </row>
    <row r="49" spans="1:30" x14ac:dyDescent="0.3">
      <c r="A49" s="47" t="s">
        <v>550</v>
      </c>
      <c r="B49" s="2174"/>
      <c r="C49" s="2174"/>
      <c r="D49" s="2181">
        <f>E49*(1-15%)</f>
        <v>1457.658721590909</v>
      </c>
      <c r="E49" s="427">
        <f>FLORIANOPOLIS!S110</f>
        <v>1714.8926136363636</v>
      </c>
      <c r="F49" s="427">
        <f>E49*(1+15%)</f>
        <v>1972.1265056818181</v>
      </c>
      <c r="G49" s="427"/>
      <c r="H49" s="1"/>
      <c r="I49" s="1"/>
      <c r="J49" s="1"/>
      <c r="K49" s="1"/>
      <c r="L49" s="1"/>
      <c r="N49" s="1"/>
      <c r="O49" s="1"/>
      <c r="P49" s="1"/>
      <c r="Q49" s="1"/>
      <c r="R49" s="1"/>
      <c r="S49" s="1"/>
      <c r="T49" s="25"/>
      <c r="U49" s="1"/>
      <c r="V49" s="25"/>
      <c r="W49" s="25"/>
      <c r="X49" s="16"/>
      <c r="Y49" s="16"/>
      <c r="AB49" s="1"/>
      <c r="AD49" s="1"/>
    </row>
    <row r="50" spans="1:30" x14ac:dyDescent="0.3">
      <c r="A50" s="47" t="s">
        <v>679</v>
      </c>
      <c r="B50" s="2174"/>
      <c r="C50" s="2174"/>
      <c r="D50" s="2181">
        <f>E50*(1-25%)</f>
        <v>627.14960966542753</v>
      </c>
      <c r="E50" s="427">
        <f>FLORIANOPOLIS!S137</f>
        <v>836.1994795539033</v>
      </c>
      <c r="F50" s="427">
        <f>E50*(1+5%)</f>
        <v>878.00945353159852</v>
      </c>
      <c r="G50" s="427"/>
      <c r="H50" s="1"/>
      <c r="I50" s="1"/>
      <c r="J50" s="1"/>
      <c r="K50" s="1"/>
      <c r="L50" s="1"/>
      <c r="N50" s="1"/>
      <c r="O50" s="1"/>
      <c r="P50" s="1"/>
      <c r="Q50" s="1"/>
      <c r="R50" s="1"/>
      <c r="S50" s="1"/>
      <c r="T50" s="25"/>
      <c r="U50" s="1"/>
      <c r="V50" s="25"/>
      <c r="W50" s="25"/>
      <c r="X50" s="16"/>
      <c r="Y50" s="16"/>
      <c r="AB50" s="1"/>
      <c r="AD50" s="1"/>
    </row>
    <row r="51" spans="1:30" x14ac:dyDescent="0.3">
      <c r="A51" s="47" t="s">
        <v>568</v>
      </c>
      <c r="B51" s="2174"/>
      <c r="C51" s="2174"/>
      <c r="D51" s="2181">
        <f>E51*(1-25%)</f>
        <v>1712.7840909090908</v>
      </c>
      <c r="E51" s="427">
        <f>FLORIANOPOLIS!S165</f>
        <v>2283.712121212121</v>
      </c>
      <c r="F51" s="427">
        <f>E51*(1+5%)</f>
        <v>2397.897727272727</v>
      </c>
      <c r="G51" s="427"/>
      <c r="H51" s="1"/>
      <c r="I51" s="1"/>
      <c r="J51" s="1"/>
      <c r="K51" s="1"/>
      <c r="L51" s="1"/>
      <c r="N51" s="1"/>
      <c r="O51" s="1"/>
      <c r="P51" s="1"/>
      <c r="Q51" s="1"/>
      <c r="R51" s="1"/>
      <c r="S51" s="1"/>
      <c r="T51" s="25"/>
      <c r="U51" s="1"/>
      <c r="V51" s="25"/>
      <c r="W51" s="25"/>
      <c r="X51" s="16"/>
      <c r="Y51" s="16"/>
      <c r="AB51" s="1"/>
      <c r="AD51" s="1"/>
    </row>
    <row r="52" spans="1:30" x14ac:dyDescent="0.3">
      <c r="A52" s="47"/>
      <c r="B52" s="47"/>
      <c r="C52" s="47"/>
      <c r="D52" s="48"/>
      <c r="E52" s="1"/>
      <c r="F52" s="1"/>
      <c r="G52" s="1"/>
      <c r="H52" s="1"/>
      <c r="I52" s="1"/>
      <c r="J52" s="1"/>
      <c r="K52" s="1"/>
      <c r="L52" s="1"/>
      <c r="N52" s="1"/>
      <c r="O52" s="1"/>
      <c r="P52" s="1"/>
      <c r="Q52" s="1"/>
      <c r="R52" s="1"/>
      <c r="S52" s="1"/>
      <c r="T52" s="25"/>
      <c r="U52" s="1"/>
      <c r="V52" s="25"/>
      <c r="W52" s="25"/>
      <c r="X52" s="16"/>
      <c r="Y52" s="16"/>
      <c r="AB52" s="1"/>
      <c r="AD52" s="1"/>
    </row>
    <row r="53" spans="1:30" x14ac:dyDescent="0.3">
      <c r="A53" s="47"/>
      <c r="B53" s="46"/>
      <c r="C53" s="46"/>
      <c r="D53" s="2314" t="s">
        <v>1163</v>
      </c>
      <c r="E53" s="2315"/>
      <c r="F53" s="2315"/>
      <c r="G53" s="2316"/>
      <c r="H53" s="1"/>
      <c r="I53" s="1"/>
      <c r="J53" s="1"/>
      <c r="K53" s="1"/>
      <c r="L53" s="1"/>
      <c r="N53" s="1"/>
      <c r="O53" s="1"/>
      <c r="P53" s="1"/>
      <c r="Q53" s="1"/>
      <c r="R53" s="1"/>
      <c r="S53" s="1"/>
      <c r="T53" s="25"/>
      <c r="U53" s="1"/>
      <c r="V53" s="25"/>
      <c r="W53" s="25"/>
      <c r="X53" s="16"/>
      <c r="Y53" s="16"/>
      <c r="AB53" s="1"/>
      <c r="AD53" s="1"/>
    </row>
    <row r="54" spans="1:30" x14ac:dyDescent="0.3">
      <c r="A54" s="47" t="s">
        <v>1161</v>
      </c>
      <c r="B54" s="2175"/>
      <c r="C54" s="2175"/>
      <c r="D54" s="3">
        <v>0.30303030303030304</v>
      </c>
      <c r="E54" s="3"/>
      <c r="F54" s="3">
        <v>0.68939393939393945</v>
      </c>
      <c r="G54" s="3">
        <v>7.575757575757576E-3</v>
      </c>
      <c r="H54" s="1"/>
      <c r="I54" s="1"/>
      <c r="J54" s="1"/>
      <c r="K54" s="1"/>
      <c r="L54" s="1"/>
      <c r="N54" s="1"/>
      <c r="O54" s="1"/>
      <c r="P54" s="1"/>
      <c r="Q54" s="1"/>
      <c r="R54" s="1"/>
      <c r="S54" s="1"/>
      <c r="T54" s="25"/>
      <c r="U54" s="1"/>
      <c r="V54" s="25"/>
      <c r="W54" s="25"/>
      <c r="X54" s="16"/>
      <c r="Y54" s="16"/>
      <c r="AB54" s="1"/>
      <c r="AD54" s="1"/>
    </row>
    <row r="55" spans="1:30" x14ac:dyDescent="0.3">
      <c r="A55" s="47" t="s">
        <v>1162</v>
      </c>
      <c r="B55" s="2175"/>
      <c r="C55" s="2175"/>
      <c r="D55" s="2175">
        <v>0.4</v>
      </c>
      <c r="E55" s="304">
        <v>0.25925925925925924</v>
      </c>
      <c r="F55" s="304">
        <v>0.33703703703703702</v>
      </c>
      <c r="G55" s="304">
        <v>3.7037037037037038E-3</v>
      </c>
      <c r="H55" s="1"/>
      <c r="I55" s="1"/>
      <c r="J55" s="1"/>
      <c r="K55" s="1"/>
      <c r="L55" s="1"/>
      <c r="N55" s="1"/>
      <c r="O55" s="1"/>
      <c r="P55" s="1"/>
      <c r="Q55" s="1"/>
      <c r="R55" s="1"/>
      <c r="S55" s="1"/>
      <c r="T55" s="25"/>
      <c r="U55" s="1"/>
      <c r="V55" s="25"/>
      <c r="W55" s="25"/>
      <c r="X55" s="16"/>
      <c r="Y55" s="16"/>
      <c r="AB55" s="1"/>
      <c r="AD55" s="1"/>
    </row>
    <row r="56" spans="1:30" x14ac:dyDescent="0.3">
      <c r="A56" s="47" t="s">
        <v>550</v>
      </c>
      <c r="B56" s="2175"/>
      <c r="C56" s="2175"/>
      <c r="D56" s="2175">
        <v>0.31060606060606061</v>
      </c>
      <c r="E56" s="304">
        <v>0</v>
      </c>
      <c r="F56" s="304">
        <v>0.68939393939393945</v>
      </c>
      <c r="G56" s="304"/>
      <c r="H56" s="1"/>
      <c r="I56" s="1"/>
      <c r="J56" s="1"/>
      <c r="K56" s="1"/>
      <c r="L56" s="1"/>
      <c r="N56" s="1"/>
      <c r="O56" s="1"/>
      <c r="P56" s="1"/>
      <c r="Q56" s="1"/>
      <c r="R56" s="1"/>
      <c r="S56" s="1"/>
      <c r="T56" s="25"/>
      <c r="U56" s="1"/>
      <c r="V56" s="25"/>
      <c r="W56" s="25"/>
      <c r="X56" s="16"/>
      <c r="Y56" s="16"/>
      <c r="AB56" s="1"/>
      <c r="AD56" s="1"/>
    </row>
    <row r="57" spans="1:30" x14ac:dyDescent="0.3">
      <c r="A57" s="47" t="s">
        <v>679</v>
      </c>
      <c r="B57" s="2175"/>
      <c r="C57" s="2175"/>
      <c r="D57" s="2175">
        <v>0.40148698884758366</v>
      </c>
      <c r="E57" s="304">
        <v>0.26022304832713755</v>
      </c>
      <c r="F57" s="304">
        <v>0.33828996282527879</v>
      </c>
      <c r="G57" s="304"/>
      <c r="H57" s="1"/>
      <c r="I57" s="1"/>
      <c r="J57" s="1"/>
      <c r="K57" s="1"/>
      <c r="L57" s="1"/>
      <c r="N57" s="1"/>
      <c r="O57" s="1"/>
      <c r="P57" s="1"/>
      <c r="Q57" s="1"/>
      <c r="R57" s="1"/>
      <c r="S57" s="1"/>
      <c r="T57" s="25"/>
      <c r="U57" s="1"/>
      <c r="V57" s="25"/>
      <c r="W57" s="25"/>
      <c r="X57" s="16"/>
      <c r="Y57" s="16"/>
      <c r="AB57" s="1"/>
      <c r="AD57" s="1"/>
    </row>
    <row r="58" spans="1:30" x14ac:dyDescent="0.3">
      <c r="A58" s="47" t="s">
        <v>568</v>
      </c>
      <c r="B58" s="47"/>
      <c r="C58" s="47"/>
      <c r="D58" s="2175">
        <v>0.51515151515151514</v>
      </c>
      <c r="E58" s="3">
        <v>0</v>
      </c>
      <c r="F58" s="304">
        <v>0.48484848484848486</v>
      </c>
      <c r="G58" s="1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25"/>
      <c r="U58" s="1"/>
      <c r="V58" s="25"/>
      <c r="W58" s="25"/>
      <c r="X58" s="16"/>
      <c r="Y58" s="16"/>
      <c r="AB58" s="1"/>
      <c r="AD58" s="1"/>
    </row>
    <row r="59" spans="1:30" x14ac:dyDescent="0.3">
      <c r="A59" s="47"/>
      <c r="B59" s="47"/>
      <c r="C59" s="47"/>
      <c r="D59" s="48"/>
      <c r="E59" s="1"/>
      <c r="F59" s="1"/>
      <c r="G59" s="1"/>
      <c r="H59" s="1"/>
      <c r="I59" s="1"/>
      <c r="J59" s="1"/>
      <c r="K59" s="1"/>
      <c r="L59" s="1"/>
      <c r="N59" s="1"/>
      <c r="O59" s="1"/>
      <c r="P59" s="1"/>
      <c r="Q59" s="1"/>
      <c r="R59" s="1"/>
      <c r="S59" s="1"/>
      <c r="T59" s="25"/>
      <c r="U59" s="1"/>
      <c r="V59" s="25"/>
      <c r="W59" s="25"/>
      <c r="X59" s="16"/>
      <c r="Y59" s="16"/>
      <c r="AB59" s="1"/>
      <c r="AD59" s="1"/>
    </row>
    <row r="60" spans="1:30" x14ac:dyDescent="0.3">
      <c r="A60" s="47"/>
      <c r="B60" s="47"/>
      <c r="C60" s="47"/>
      <c r="D60" s="48"/>
      <c r="E60" s="1"/>
      <c r="F60" s="1"/>
      <c r="G60" s="1"/>
      <c r="H60" s="1"/>
      <c r="I60" s="1"/>
      <c r="J60" s="1"/>
      <c r="K60" s="1"/>
      <c r="L60" s="1"/>
      <c r="N60" s="1"/>
      <c r="O60" s="1"/>
      <c r="P60" s="1"/>
      <c r="Q60" s="1"/>
      <c r="R60" s="1"/>
      <c r="S60" s="1"/>
      <c r="T60" s="25"/>
      <c r="U60" s="1"/>
      <c r="V60" s="25"/>
      <c r="W60" s="25"/>
      <c r="X60" s="16"/>
      <c r="Y60" s="16"/>
      <c r="AB60" s="1"/>
      <c r="AD60" s="1"/>
    </row>
    <row r="61" spans="1:30" x14ac:dyDescent="0.3">
      <c r="A61" s="47"/>
      <c r="B61" s="47"/>
      <c r="C61" s="47"/>
      <c r="D61" s="48"/>
      <c r="E61" s="1"/>
      <c r="F61" s="1"/>
      <c r="G61" s="1"/>
      <c r="H61" s="1"/>
      <c r="I61" s="1"/>
      <c r="J61" s="1"/>
      <c r="K61" s="1"/>
      <c r="L61" s="1"/>
      <c r="N61" s="1"/>
      <c r="O61" s="1"/>
      <c r="P61" s="1"/>
      <c r="Q61" s="1"/>
      <c r="R61" s="1"/>
      <c r="S61" s="1"/>
      <c r="T61" s="25"/>
      <c r="U61" s="1"/>
      <c r="V61" s="25"/>
      <c r="W61" s="25"/>
      <c r="X61" s="16"/>
      <c r="Y61" s="16"/>
      <c r="AB61" s="1"/>
      <c r="AD61" s="1"/>
    </row>
    <row r="62" spans="1:30" x14ac:dyDescent="0.3">
      <c r="A62" s="47"/>
      <c r="B62" s="46"/>
      <c r="C62" s="46"/>
      <c r="D62" s="2314" t="s">
        <v>1164</v>
      </c>
      <c r="E62" s="2315"/>
      <c r="F62" s="2315"/>
      <c r="G62" s="2316"/>
      <c r="H62" s="1"/>
      <c r="I62" s="1"/>
      <c r="J62" s="1"/>
      <c r="K62" s="1"/>
      <c r="L62" s="1"/>
      <c r="N62" s="1"/>
      <c r="O62" s="1"/>
      <c r="P62" s="1"/>
      <c r="Q62" s="1"/>
      <c r="R62" s="1"/>
      <c r="S62" s="1"/>
      <c r="T62" s="25"/>
      <c r="U62" s="1"/>
      <c r="V62" s="25"/>
      <c r="W62" s="25"/>
      <c r="X62" s="16"/>
      <c r="Y62" s="16"/>
      <c r="AB62" s="1"/>
      <c r="AD62" s="1"/>
    </row>
    <row r="63" spans="1:30" x14ac:dyDescent="0.3">
      <c r="A63" s="47" t="s">
        <v>1161</v>
      </c>
      <c r="B63" s="2175"/>
      <c r="C63" s="2175"/>
      <c r="D63" s="2175">
        <v>0.18691588785046728</v>
      </c>
      <c r="E63" s="2175">
        <v>0.18691588785046728</v>
      </c>
      <c r="F63" s="2175">
        <v>0.45327102803738317</v>
      </c>
      <c r="G63" s="2175">
        <v>0.17289719626168223</v>
      </c>
      <c r="H63" s="1"/>
      <c r="I63" s="1"/>
      <c r="J63" s="1"/>
      <c r="K63" s="1"/>
      <c r="L63" s="1"/>
      <c r="N63" s="1"/>
      <c r="O63" s="1"/>
      <c r="P63" s="1"/>
      <c r="Q63" s="1"/>
      <c r="R63" s="1"/>
      <c r="S63" s="1"/>
      <c r="T63" s="25"/>
      <c r="U63" s="1"/>
      <c r="V63" s="25"/>
      <c r="W63" s="25"/>
      <c r="X63" s="16"/>
      <c r="Y63" s="16"/>
      <c r="AB63" s="1"/>
      <c r="AD63" s="1"/>
    </row>
    <row r="64" spans="1:30" x14ac:dyDescent="0.3">
      <c r="A64" s="47" t="s">
        <v>1162</v>
      </c>
      <c r="B64" s="6"/>
      <c r="C64" s="6"/>
      <c r="D64" s="6">
        <v>0.31034482758620691</v>
      </c>
      <c r="E64" s="2175">
        <v>0.31034482758620691</v>
      </c>
      <c r="F64" s="2175">
        <v>0.27586206896551724</v>
      </c>
      <c r="G64" s="2175">
        <v>0.10344827586206896</v>
      </c>
      <c r="H64" s="1"/>
      <c r="I64" s="1"/>
      <c r="J64" s="1"/>
      <c r="K64" s="1"/>
      <c r="L64" s="1"/>
      <c r="N64" s="1"/>
      <c r="O64" s="1"/>
      <c r="P64" s="1"/>
      <c r="Q64" s="1"/>
      <c r="R64" s="1"/>
      <c r="S64" s="1"/>
      <c r="T64" s="25"/>
      <c r="U64" s="1"/>
      <c r="V64" s="25"/>
      <c r="W64" s="25"/>
      <c r="X64" s="16"/>
      <c r="Y64" s="16"/>
      <c r="AB64" s="1"/>
      <c r="AD64" s="1"/>
    </row>
    <row r="65" spans="1:30" x14ac:dyDescent="0.3">
      <c r="A65" s="47" t="s">
        <v>550</v>
      </c>
      <c r="B65" s="2175"/>
      <c r="C65" s="2175"/>
      <c r="D65" s="2175">
        <v>0.22905027932960895</v>
      </c>
      <c r="E65" s="2175">
        <v>0.22905027932960895</v>
      </c>
      <c r="F65" s="2175">
        <v>0.54189944134078216</v>
      </c>
      <c r="G65" s="2175"/>
      <c r="H65" s="1"/>
      <c r="I65" s="1"/>
      <c r="J65" s="1"/>
      <c r="K65" s="1"/>
      <c r="L65" s="1"/>
      <c r="N65" s="1"/>
      <c r="O65" s="1"/>
      <c r="P65" s="1"/>
      <c r="Q65" s="1"/>
      <c r="R65" s="1"/>
      <c r="S65" s="1"/>
      <c r="T65" s="25"/>
      <c r="U65" s="1"/>
      <c r="V65" s="25"/>
      <c r="W65" s="25"/>
      <c r="X65" s="16"/>
      <c r="Y65" s="16"/>
      <c r="AB65" s="1"/>
      <c r="AD65" s="1"/>
    </row>
    <row r="66" spans="1:30" x14ac:dyDescent="0.3">
      <c r="A66" s="47" t="s">
        <v>679</v>
      </c>
      <c r="B66" s="2175"/>
      <c r="C66" s="2175"/>
      <c r="D66" s="6">
        <v>0.34726688102893893</v>
      </c>
      <c r="E66" s="2175">
        <v>0.34726688102893893</v>
      </c>
      <c r="F66" s="2175">
        <v>0.30546623794212219</v>
      </c>
      <c r="G66" s="2175"/>
      <c r="H66" s="1"/>
      <c r="I66" s="1"/>
      <c r="J66" s="1"/>
      <c r="K66" s="1"/>
      <c r="L66" s="1"/>
      <c r="N66" s="1"/>
      <c r="O66" s="1"/>
      <c r="P66" s="1"/>
      <c r="Q66" s="1"/>
      <c r="R66" s="1"/>
      <c r="S66" s="1"/>
      <c r="T66" s="25"/>
      <c r="U66" s="1"/>
      <c r="V66" s="25"/>
      <c r="W66" s="25"/>
      <c r="X66" s="16"/>
      <c r="Y66" s="16"/>
      <c r="AB66" s="1"/>
      <c r="AD66" s="1"/>
    </row>
    <row r="67" spans="1:30" x14ac:dyDescent="0.3">
      <c r="A67" s="47" t="s">
        <v>568</v>
      </c>
      <c r="B67" s="47"/>
      <c r="C67" s="47"/>
      <c r="D67" s="6">
        <v>0.32692307692307693</v>
      </c>
      <c r="E67" s="2175">
        <v>0.32692307692307693</v>
      </c>
      <c r="F67" s="2175">
        <v>0.34615384615384615</v>
      </c>
      <c r="G67" s="2175"/>
      <c r="H67" s="1"/>
      <c r="I67" s="1"/>
      <c r="J67" s="1"/>
      <c r="K67" s="1"/>
      <c r="L67" s="1"/>
      <c r="N67" s="1"/>
      <c r="O67" s="1"/>
      <c r="P67" s="1"/>
      <c r="Q67" s="1"/>
      <c r="R67" s="1"/>
      <c r="S67" s="1"/>
      <c r="T67" s="25"/>
      <c r="U67" s="1"/>
      <c r="V67" s="25"/>
      <c r="W67" s="25"/>
      <c r="X67" s="16"/>
      <c r="Y67" s="16"/>
      <c r="AB67" s="1"/>
      <c r="AD67" s="1"/>
    </row>
    <row r="68" spans="1:30" x14ac:dyDescent="0.3">
      <c r="E68" s="1"/>
      <c r="F68" s="1"/>
      <c r="G68" s="1"/>
      <c r="H68" s="1"/>
      <c r="I68" s="1"/>
      <c r="J68" s="1"/>
      <c r="K68" s="1"/>
      <c r="L68" s="1"/>
      <c r="N68" s="1"/>
      <c r="O68" s="1"/>
      <c r="P68" s="1"/>
      <c r="Q68" s="1"/>
      <c r="R68" s="1"/>
      <c r="S68" s="1"/>
      <c r="T68" s="25"/>
      <c r="U68" s="1"/>
      <c r="V68" s="25"/>
      <c r="W68" s="25"/>
      <c r="X68" s="16"/>
      <c r="Y68" s="16"/>
      <c r="AB68" s="1"/>
      <c r="AD68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E128"/>
  <sheetViews>
    <sheetView workbookViewId="0"/>
  </sheetViews>
  <sheetFormatPr defaultRowHeight="14.4" x14ac:dyDescent="0.3"/>
  <sheetData>
    <row r="1" spans="1:5" ht="21" x14ac:dyDescent="0.4">
      <c r="A1" s="92" t="s">
        <v>951</v>
      </c>
    </row>
    <row r="2" spans="1:5" x14ac:dyDescent="0.3">
      <c r="A2" t="s">
        <v>452</v>
      </c>
    </row>
    <row r="3" spans="1:5" x14ac:dyDescent="0.3">
      <c r="B3" s="94"/>
    </row>
    <row r="5" spans="1:5" x14ac:dyDescent="0.3">
      <c r="B5" s="95"/>
    </row>
    <row r="7" spans="1:5" x14ac:dyDescent="0.3">
      <c r="A7" s="100" t="s">
        <v>952</v>
      </c>
      <c r="B7" s="101">
        <v>1593891.51</v>
      </c>
      <c r="C7" s="661"/>
    </row>
    <row r="8" spans="1:5" x14ac:dyDescent="0.3">
      <c r="A8" s="100" t="s">
        <v>953</v>
      </c>
      <c r="B8" s="101">
        <v>3448373.42</v>
      </c>
    </row>
    <row r="10" spans="1:5" x14ac:dyDescent="0.3">
      <c r="A10" s="103" t="s">
        <v>954</v>
      </c>
      <c r="B10" s="104">
        <v>3286089.8125000005</v>
      </c>
      <c r="C10" s="662"/>
    </row>
    <row r="11" spans="1:5" x14ac:dyDescent="0.3">
      <c r="A11" s="100" t="s">
        <v>955</v>
      </c>
      <c r="B11" s="101">
        <v>5974708.75</v>
      </c>
      <c r="C11" s="3"/>
    </row>
    <row r="14" spans="1:5" x14ac:dyDescent="0.3">
      <c r="A14" s="4" t="s">
        <v>457</v>
      </c>
    </row>
    <row r="15" spans="1:5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</row>
    <row r="16" spans="1:5" x14ac:dyDescent="0.3">
      <c r="A16" s="107" t="s">
        <v>606</v>
      </c>
      <c r="B16" s="108" t="s">
        <v>956</v>
      </c>
      <c r="C16" s="109">
        <v>0.38</v>
      </c>
      <c r="D16" s="110">
        <v>1248714.1287500001</v>
      </c>
      <c r="E16" s="110">
        <v>416238.04291666672</v>
      </c>
    </row>
    <row r="17" spans="1:31" x14ac:dyDescent="0.3">
      <c r="A17" s="107" t="s">
        <v>607</v>
      </c>
      <c r="B17" s="108" t="s">
        <v>957</v>
      </c>
      <c r="C17" s="109">
        <v>0.42</v>
      </c>
      <c r="D17" s="110">
        <v>1380157.7212500002</v>
      </c>
      <c r="E17" s="110">
        <v>345039.43031250004</v>
      </c>
    </row>
    <row r="18" spans="1:31" x14ac:dyDescent="0.3">
      <c r="A18" s="107" t="s">
        <v>608</v>
      </c>
      <c r="B18" s="108">
        <v>4</v>
      </c>
      <c r="C18" s="109">
        <v>0.2</v>
      </c>
      <c r="D18" s="110">
        <v>657217.96250000014</v>
      </c>
      <c r="E18" s="110">
        <v>164304.49062500003</v>
      </c>
    </row>
    <row r="19" spans="1:31" x14ac:dyDescent="0.3">
      <c r="B19" s="1" t="s">
        <v>467</v>
      </c>
      <c r="C19" s="3">
        <v>1</v>
      </c>
      <c r="D19" s="112">
        <v>3286089.8125000009</v>
      </c>
    </row>
    <row r="20" spans="1:31" x14ac:dyDescent="0.3">
      <c r="A20" t="s">
        <v>958</v>
      </c>
    </row>
    <row r="22" spans="1:31" x14ac:dyDescent="0.3">
      <c r="Q22" s="115"/>
    </row>
    <row r="23" spans="1:31" x14ac:dyDescent="0.3">
      <c r="A23" s="100" t="s">
        <v>769</v>
      </c>
      <c r="B23" s="769">
        <v>1773718</v>
      </c>
      <c r="E23" s="1" t="s">
        <v>959</v>
      </c>
      <c r="F23" s="2" t="s">
        <v>960</v>
      </c>
    </row>
    <row r="24" spans="1:31" x14ac:dyDescent="0.3">
      <c r="A24" s="714" t="s">
        <v>579</v>
      </c>
      <c r="B24" s="770">
        <v>1081707</v>
      </c>
      <c r="E24" s="1" t="s">
        <v>473</v>
      </c>
      <c r="F24" s="2" t="s">
        <v>83</v>
      </c>
    </row>
    <row r="25" spans="1:31" x14ac:dyDescent="0.3">
      <c r="E25" s="1" t="s">
        <v>475</v>
      </c>
      <c r="F25" s="2" t="s">
        <v>961</v>
      </c>
      <c r="P25" s="115"/>
    </row>
    <row r="26" spans="1:31" x14ac:dyDescent="0.3">
      <c r="E26" s="1" t="s">
        <v>477</v>
      </c>
      <c r="F26" s="2" t="s">
        <v>962</v>
      </c>
    </row>
    <row r="29" spans="1:31" ht="18" x14ac:dyDescent="0.35">
      <c r="A29" s="1037" t="s">
        <v>963</v>
      </c>
      <c r="P29" s="115"/>
    </row>
    <row r="31" spans="1:31" x14ac:dyDescent="0.3">
      <c r="A31" s="2587" t="s">
        <v>480</v>
      </c>
      <c r="B31" s="2588"/>
      <c r="C31" s="2588"/>
      <c r="D31" s="2588"/>
      <c r="E31" s="2588"/>
      <c r="F31" s="2588"/>
      <c r="G31" s="2588"/>
      <c r="H31" s="2588"/>
      <c r="I31" s="2588"/>
      <c r="J31" s="2588"/>
      <c r="K31" s="2588"/>
      <c r="L31" s="2588"/>
      <c r="M31" s="2588"/>
      <c r="N31" s="2588"/>
      <c r="O31" s="2588"/>
      <c r="P31" s="2588"/>
      <c r="Q31" s="2588"/>
      <c r="R31" s="2589"/>
      <c r="S31" s="2563" t="s">
        <v>584</v>
      </c>
      <c r="T31" s="2564"/>
      <c r="U31" s="2564"/>
      <c r="V31" s="2564"/>
      <c r="W31" s="2564"/>
      <c r="X31" s="2564"/>
      <c r="Y31" s="2564"/>
      <c r="Z31" s="2564"/>
      <c r="AA31" s="2564"/>
      <c r="AB31" s="2564"/>
      <c r="AC31" s="2564"/>
      <c r="AD31" s="2564"/>
      <c r="AE31" s="2576"/>
    </row>
    <row r="32" spans="1:31" ht="28.8" x14ac:dyDescent="0.3">
      <c r="A32" s="2759" t="s">
        <v>482</v>
      </c>
      <c r="B32" s="2761" t="s">
        <v>483</v>
      </c>
      <c r="C32" s="2761" t="s">
        <v>484</v>
      </c>
      <c r="D32" s="2761" t="s">
        <v>485</v>
      </c>
      <c r="E32" s="2761" t="s">
        <v>486</v>
      </c>
      <c r="F32" s="2761" t="s">
        <v>487</v>
      </c>
      <c r="G32" s="2761" t="s">
        <v>488</v>
      </c>
      <c r="H32" s="2761" t="s">
        <v>489</v>
      </c>
      <c r="I32" s="2749" t="s">
        <v>490</v>
      </c>
      <c r="J32" s="2749"/>
      <c r="K32" s="2749"/>
      <c r="L32" s="2750"/>
      <c r="M32" s="1407" t="s">
        <v>491</v>
      </c>
      <c r="N32" s="1408" t="s">
        <v>964</v>
      </c>
      <c r="O32" s="1407" t="s">
        <v>493</v>
      </c>
      <c r="P32" s="1408" t="s">
        <v>964</v>
      </c>
      <c r="Q32" s="1408" t="s">
        <v>965</v>
      </c>
      <c r="R32" s="2751" t="s">
        <v>495</v>
      </c>
      <c r="S32" s="1052" t="s">
        <v>496</v>
      </c>
      <c r="T32" s="2580" t="s">
        <v>497</v>
      </c>
      <c r="U32" s="2580"/>
      <c r="V32" s="2580"/>
      <c r="W32" s="2580"/>
      <c r="X32" s="2580"/>
      <c r="Y32" s="2582" t="s">
        <v>498</v>
      </c>
      <c r="Z32" s="2581"/>
      <c r="AA32" s="2608" t="s">
        <v>499</v>
      </c>
      <c r="AB32" s="2607"/>
      <c r="AC32" s="2607"/>
      <c r="AD32" s="2607"/>
      <c r="AE32" s="2755"/>
    </row>
    <row r="33" spans="1:31" ht="43.2" x14ac:dyDescent="0.3">
      <c r="A33" s="2760"/>
      <c r="B33" s="2762"/>
      <c r="C33" s="2762"/>
      <c r="D33" s="2762"/>
      <c r="E33" s="2762"/>
      <c r="F33" s="2762"/>
      <c r="G33" s="2762"/>
      <c r="H33" s="2762"/>
      <c r="I33" s="1409" t="s">
        <v>500</v>
      </c>
      <c r="J33" s="1409" t="s">
        <v>501</v>
      </c>
      <c r="K33" s="1409" t="s">
        <v>502</v>
      </c>
      <c r="L33" s="1409" t="s">
        <v>503</v>
      </c>
      <c r="M33" s="1409" t="s">
        <v>504</v>
      </c>
      <c r="N33" s="1410" t="s">
        <v>966</v>
      </c>
      <c r="O33" s="1409" t="s">
        <v>506</v>
      </c>
      <c r="P33" s="1410" t="s">
        <v>967</v>
      </c>
      <c r="Q33" s="1410" t="s">
        <v>967</v>
      </c>
      <c r="R33" s="2752"/>
      <c r="S33" s="1052" t="s">
        <v>508</v>
      </c>
      <c r="T33" s="2581"/>
      <c r="U33" s="2581"/>
      <c r="V33" s="2581"/>
      <c r="W33" s="2581"/>
      <c r="X33" s="2581"/>
      <c r="Y33" s="2582"/>
      <c r="Z33" s="2581"/>
      <c r="AA33" s="2584"/>
      <c r="AB33" s="2585"/>
      <c r="AC33" s="2585"/>
      <c r="AD33" s="2585"/>
      <c r="AE33" s="2756"/>
    </row>
    <row r="34" spans="1:31" ht="18" x14ac:dyDescent="0.35">
      <c r="A34" s="2757" t="s">
        <v>968</v>
      </c>
      <c r="B34" s="2758"/>
      <c r="C34" s="2758"/>
      <c r="D34" s="2758"/>
      <c r="E34" s="2758"/>
      <c r="F34" s="2758"/>
      <c r="G34" s="2758"/>
      <c r="H34" s="2758"/>
      <c r="I34" s="2758"/>
      <c r="J34" s="2758"/>
      <c r="K34" s="2758"/>
      <c r="L34" s="2758"/>
      <c r="M34" s="2758"/>
      <c r="N34" s="2758"/>
      <c r="O34" s="2758"/>
      <c r="P34" s="2758"/>
      <c r="Q34" s="2758"/>
      <c r="R34" s="2758"/>
      <c r="S34" s="1387"/>
      <c r="T34" s="563" t="s">
        <v>510</v>
      </c>
      <c r="U34" s="561" t="s">
        <v>11</v>
      </c>
      <c r="V34" s="561" t="s">
        <v>511</v>
      </c>
      <c r="W34" s="561" t="s">
        <v>512</v>
      </c>
      <c r="X34" s="561" t="s">
        <v>513</v>
      </c>
      <c r="Y34" s="563" t="s">
        <v>514</v>
      </c>
      <c r="Z34" s="561" t="s">
        <v>515</v>
      </c>
      <c r="AA34" s="563" t="s">
        <v>302</v>
      </c>
      <c r="AB34" s="561" t="s">
        <v>6</v>
      </c>
      <c r="AC34" s="561" t="s">
        <v>194</v>
      </c>
      <c r="AD34" s="561" t="s">
        <v>693</v>
      </c>
      <c r="AE34" s="562" t="s">
        <v>7</v>
      </c>
    </row>
    <row r="35" spans="1:31" x14ac:dyDescent="0.3">
      <c r="A35" s="1411" t="s">
        <v>969</v>
      </c>
      <c r="B35" s="1412" t="s">
        <v>969</v>
      </c>
      <c r="C35" s="1412" t="s">
        <v>969</v>
      </c>
      <c r="D35" s="1412" t="s">
        <v>969</v>
      </c>
      <c r="E35" s="1412" t="s">
        <v>969</v>
      </c>
      <c r="F35" s="1412" t="s">
        <v>969</v>
      </c>
      <c r="G35" s="1412" t="s">
        <v>969</v>
      </c>
      <c r="H35" s="1412" t="s">
        <v>969</v>
      </c>
      <c r="I35" s="1413" t="s">
        <v>969</v>
      </c>
      <c r="J35" s="1413" t="s">
        <v>969</v>
      </c>
      <c r="K35" s="1413" t="s">
        <v>969</v>
      </c>
      <c r="L35" s="1413" t="s">
        <v>969</v>
      </c>
      <c r="M35" s="1411" t="s">
        <v>969</v>
      </c>
      <c r="N35" s="1414" t="s">
        <v>969</v>
      </c>
      <c r="O35" s="1412" t="s">
        <v>969</v>
      </c>
      <c r="P35" s="1414" t="s">
        <v>969</v>
      </c>
      <c r="Q35" s="1414" t="s">
        <v>969</v>
      </c>
      <c r="R35" s="20" t="s">
        <v>969</v>
      </c>
      <c r="S35" s="1415" t="s">
        <v>969</v>
      </c>
      <c r="T35" s="464"/>
      <c r="U35" s="465"/>
      <c r="V35" s="465"/>
      <c r="W35" s="465"/>
      <c r="X35" s="466"/>
      <c r="Y35" s="464"/>
      <c r="Z35" s="466"/>
      <c r="AE35" s="466"/>
    </row>
    <row r="36" spans="1:31" x14ac:dyDescent="0.3">
      <c r="A36" s="1411" t="s">
        <v>969</v>
      </c>
      <c r="B36" s="1416" t="s">
        <v>969</v>
      </c>
      <c r="C36" s="1412" t="s">
        <v>969</v>
      </c>
      <c r="D36" s="1416" t="s">
        <v>969</v>
      </c>
      <c r="E36" s="1416" t="s">
        <v>969</v>
      </c>
      <c r="F36" s="1412" t="s">
        <v>969</v>
      </c>
      <c r="G36" s="1412" t="s">
        <v>969</v>
      </c>
      <c r="H36" s="1412" t="s">
        <v>969</v>
      </c>
      <c r="I36" s="1417" t="s">
        <v>969</v>
      </c>
      <c r="J36" s="1417" t="s">
        <v>969</v>
      </c>
      <c r="K36" s="1417" t="s">
        <v>969</v>
      </c>
      <c r="L36" s="1418" t="s">
        <v>969</v>
      </c>
      <c r="M36" s="1412" t="s">
        <v>969</v>
      </c>
      <c r="N36" s="1414" t="s">
        <v>969</v>
      </c>
      <c r="O36" s="1412" t="s">
        <v>969</v>
      </c>
      <c r="P36" s="1414" t="s">
        <v>969</v>
      </c>
      <c r="Q36" s="1414" t="s">
        <v>969</v>
      </c>
      <c r="R36" s="1419" t="s">
        <v>969</v>
      </c>
      <c r="S36" s="1415" t="s">
        <v>969</v>
      </c>
      <c r="T36" s="188"/>
      <c r="X36" s="286"/>
      <c r="Y36" s="188"/>
      <c r="Z36" s="286"/>
      <c r="AE36" s="286"/>
    </row>
    <row r="37" spans="1:31" x14ac:dyDescent="0.3">
      <c r="A37" s="1420" t="s">
        <v>970</v>
      </c>
      <c r="B37" s="1416" t="s">
        <v>189</v>
      </c>
      <c r="C37" s="1416" t="s">
        <v>971</v>
      </c>
      <c r="D37" s="1416" t="s">
        <v>26</v>
      </c>
      <c r="E37" s="1416" t="s">
        <v>518</v>
      </c>
      <c r="F37" s="158" t="s">
        <v>654</v>
      </c>
      <c r="G37" s="1416">
        <v>4</v>
      </c>
      <c r="H37" s="1416" t="s">
        <v>24</v>
      </c>
      <c r="I37" s="2753">
        <v>4</v>
      </c>
      <c r="J37" s="2753"/>
      <c r="K37" s="2753"/>
      <c r="L37" s="2754"/>
      <c r="M37" s="1416">
        <v>1</v>
      </c>
      <c r="N37" s="503">
        <v>19108</v>
      </c>
      <c r="O37" s="1421">
        <v>0.72</v>
      </c>
      <c r="P37" s="503">
        <f t="shared" ref="P37:P45" si="0">N37*(1-O37)</f>
        <v>5350.2400000000007</v>
      </c>
      <c r="Q37" s="1422">
        <f>P37*M37*G37</f>
        <v>21400.960000000003</v>
      </c>
      <c r="R37" s="1423">
        <v>0.05</v>
      </c>
      <c r="S37" s="1424">
        <f>Q37*3</f>
        <v>64202.880000000005</v>
      </c>
      <c r="T37" s="206">
        <f>S37</f>
        <v>64202.880000000005</v>
      </c>
      <c r="U37" s="5"/>
      <c r="X37" s="286"/>
      <c r="Y37" s="188"/>
      <c r="Z37" s="1425">
        <f>S37</f>
        <v>64202.880000000005</v>
      </c>
      <c r="AA37" s="263">
        <f>S37</f>
        <v>64202.880000000005</v>
      </c>
      <c r="AE37" s="286"/>
    </row>
    <row r="38" spans="1:31" x14ac:dyDescent="0.3">
      <c r="A38" s="1420" t="s">
        <v>970</v>
      </c>
      <c r="B38" s="1416" t="s">
        <v>189</v>
      </c>
      <c r="C38" s="1416" t="s">
        <v>971</v>
      </c>
      <c r="D38" s="1416" t="s">
        <v>190</v>
      </c>
      <c r="E38" s="1416" t="s">
        <v>520</v>
      </c>
      <c r="F38" s="158" t="s">
        <v>613</v>
      </c>
      <c r="G38" s="1416">
        <v>15</v>
      </c>
      <c r="H38" s="1416" t="s">
        <v>24</v>
      </c>
      <c r="I38" s="2753">
        <v>15</v>
      </c>
      <c r="J38" s="2753"/>
      <c r="K38" s="2753"/>
      <c r="L38" s="2754"/>
      <c r="M38" s="1416">
        <v>1</v>
      </c>
      <c r="N38" s="503">
        <v>22690</v>
      </c>
      <c r="O38" s="1421">
        <v>0.72</v>
      </c>
      <c r="P38" s="503">
        <f t="shared" si="0"/>
        <v>6353.2000000000007</v>
      </c>
      <c r="Q38" s="1422">
        <f t="shared" ref="Q38:Q45" si="1">P38*M38*G38</f>
        <v>95298.000000000015</v>
      </c>
      <c r="R38" s="1426">
        <v>0.23</v>
      </c>
      <c r="S38" s="1424">
        <f t="shared" ref="S38:S45" si="2">Q38*3</f>
        <v>285894.00000000006</v>
      </c>
      <c r="T38" s="206">
        <f>S38</f>
        <v>285894.00000000006</v>
      </c>
      <c r="U38" s="5"/>
      <c r="X38" s="286"/>
      <c r="Y38" s="1427">
        <f>S38</f>
        <v>285894.00000000006</v>
      </c>
      <c r="Z38" s="286"/>
      <c r="AA38" s="263">
        <f t="shared" ref="AA38:AA40" si="3">S38</f>
        <v>285894.00000000006</v>
      </c>
      <c r="AE38" s="286"/>
    </row>
    <row r="39" spans="1:31" x14ac:dyDescent="0.3">
      <c r="A39" s="1420" t="s">
        <v>970</v>
      </c>
      <c r="B39" s="1416" t="s">
        <v>189</v>
      </c>
      <c r="C39" s="1416" t="s">
        <v>971</v>
      </c>
      <c r="D39" s="1416" t="s">
        <v>191</v>
      </c>
      <c r="E39" s="1416" t="s">
        <v>518</v>
      </c>
      <c r="F39" s="158">
        <v>1</v>
      </c>
      <c r="G39" s="1416">
        <v>1</v>
      </c>
      <c r="H39" s="1416" t="s">
        <v>24</v>
      </c>
      <c r="I39" s="2753">
        <v>1</v>
      </c>
      <c r="J39" s="2753"/>
      <c r="K39" s="2753"/>
      <c r="L39" s="2754"/>
      <c r="M39" s="1416">
        <v>1</v>
      </c>
      <c r="N39" s="503">
        <v>25112</v>
      </c>
      <c r="O39" s="1421">
        <v>0.72</v>
      </c>
      <c r="P39" s="503">
        <f t="shared" si="0"/>
        <v>7031.3600000000006</v>
      </c>
      <c r="Q39" s="1422">
        <f t="shared" si="1"/>
        <v>7031.3600000000006</v>
      </c>
      <c r="R39" s="1423">
        <v>0.02</v>
      </c>
      <c r="S39" s="1424">
        <f t="shared" si="2"/>
        <v>21094.080000000002</v>
      </c>
      <c r="T39" s="206">
        <f>S39</f>
        <v>21094.080000000002</v>
      </c>
      <c r="U39" s="5"/>
      <c r="X39" s="286"/>
      <c r="Y39" s="188"/>
      <c r="Z39" s="1425">
        <f>S39</f>
        <v>21094.080000000002</v>
      </c>
      <c r="AA39" s="263">
        <f t="shared" si="3"/>
        <v>21094.080000000002</v>
      </c>
      <c r="AE39" s="286"/>
    </row>
    <row r="40" spans="1:31" x14ac:dyDescent="0.3">
      <c r="A40" s="1420" t="s">
        <v>970</v>
      </c>
      <c r="B40" s="1416" t="s">
        <v>189</v>
      </c>
      <c r="C40" s="1416" t="s">
        <v>972</v>
      </c>
      <c r="D40" s="1416" t="s">
        <v>192</v>
      </c>
      <c r="E40" s="1416" t="s">
        <v>518</v>
      </c>
      <c r="F40" s="158" t="s">
        <v>837</v>
      </c>
      <c r="G40" s="1416">
        <v>30</v>
      </c>
      <c r="H40" s="1416" t="s">
        <v>106</v>
      </c>
      <c r="I40" s="1428">
        <v>30</v>
      </c>
      <c r="J40" s="1429">
        <v>30</v>
      </c>
      <c r="K40" s="1430" t="s">
        <v>969</v>
      </c>
      <c r="L40" s="1431" t="s">
        <v>969</v>
      </c>
      <c r="M40" s="1416">
        <v>2</v>
      </c>
      <c r="N40" s="1432">
        <f>12439.21*60%</f>
        <v>7463.5259999999989</v>
      </c>
      <c r="O40" s="1421">
        <v>0.72</v>
      </c>
      <c r="P40" s="503">
        <f t="shared" si="0"/>
        <v>2089.78728</v>
      </c>
      <c r="Q40" s="1422">
        <f t="shared" si="1"/>
        <v>125387.2368</v>
      </c>
      <c r="R40" s="1423">
        <v>0.3</v>
      </c>
      <c r="S40" s="1424">
        <f t="shared" si="2"/>
        <v>376161.71039999998</v>
      </c>
      <c r="T40" s="206"/>
      <c r="U40" s="5">
        <f>S40</f>
        <v>376161.71039999998</v>
      </c>
      <c r="X40" s="286"/>
      <c r="Y40" s="188"/>
      <c r="Z40" s="1425">
        <f t="shared" ref="Z40:Z44" si="4">S40</f>
        <v>376161.71039999998</v>
      </c>
      <c r="AA40" s="263">
        <f t="shared" si="3"/>
        <v>376161.71039999998</v>
      </c>
      <c r="AE40" s="286"/>
    </row>
    <row r="41" spans="1:31" x14ac:dyDescent="0.3">
      <c r="A41" s="1420" t="s">
        <v>970</v>
      </c>
      <c r="B41" s="1416" t="s">
        <v>183</v>
      </c>
      <c r="C41" s="1416" t="s">
        <v>972</v>
      </c>
      <c r="D41" s="1416" t="s">
        <v>193</v>
      </c>
      <c r="E41" s="1416" t="s">
        <v>518</v>
      </c>
      <c r="F41" s="158" t="s">
        <v>522</v>
      </c>
      <c r="G41" s="1416">
        <v>1</v>
      </c>
      <c r="H41" s="1416" t="s">
        <v>22</v>
      </c>
      <c r="I41" s="1433" t="s">
        <v>969</v>
      </c>
      <c r="J41" s="19"/>
      <c r="K41" s="1428">
        <v>22</v>
      </c>
      <c r="L41" s="1431" t="s">
        <v>969</v>
      </c>
      <c r="M41" s="1416">
        <v>1</v>
      </c>
      <c r="N41" s="503">
        <v>63900</v>
      </c>
      <c r="O41" s="1421">
        <v>0.45</v>
      </c>
      <c r="P41" s="503">
        <f t="shared" si="0"/>
        <v>35145</v>
      </c>
      <c r="Q41" s="1422">
        <f t="shared" si="1"/>
        <v>35145</v>
      </c>
      <c r="R41" s="1423">
        <v>0.08</v>
      </c>
      <c r="S41" s="1424">
        <f t="shared" si="2"/>
        <v>105435</v>
      </c>
      <c r="T41" s="206"/>
      <c r="U41" s="5">
        <f>S41</f>
        <v>105435</v>
      </c>
      <c r="X41" s="286"/>
      <c r="Y41" s="188"/>
      <c r="Z41" s="1425">
        <f t="shared" si="4"/>
        <v>105435</v>
      </c>
      <c r="AB41" s="263">
        <f>S41</f>
        <v>105435</v>
      </c>
      <c r="AE41" s="286"/>
    </row>
    <row r="42" spans="1:31" x14ac:dyDescent="0.3">
      <c r="A42" s="1420" t="s">
        <v>970</v>
      </c>
      <c r="B42" s="1416" t="s">
        <v>194</v>
      </c>
      <c r="C42" s="1416" t="s">
        <v>971</v>
      </c>
      <c r="D42" s="1416" t="s">
        <v>102</v>
      </c>
      <c r="E42" s="1416" t="s">
        <v>518</v>
      </c>
      <c r="F42" s="158" t="s">
        <v>641</v>
      </c>
      <c r="G42" s="1416">
        <v>4</v>
      </c>
      <c r="H42" s="1416" t="s">
        <v>24</v>
      </c>
      <c r="I42" s="2753">
        <v>4</v>
      </c>
      <c r="J42" s="2753"/>
      <c r="K42" s="2753"/>
      <c r="L42" s="2754"/>
      <c r="M42" s="1416">
        <v>1</v>
      </c>
      <c r="N42" s="503">
        <v>4350</v>
      </c>
      <c r="O42" s="1421">
        <v>0.4</v>
      </c>
      <c r="P42" s="503">
        <f t="shared" si="0"/>
        <v>2610</v>
      </c>
      <c r="Q42" s="1422">
        <f t="shared" si="1"/>
        <v>10440</v>
      </c>
      <c r="R42" s="1423">
        <v>0.03</v>
      </c>
      <c r="S42" s="1424">
        <f t="shared" si="2"/>
        <v>31320</v>
      </c>
      <c r="T42" s="206">
        <f>S42</f>
        <v>31320</v>
      </c>
      <c r="U42" s="5"/>
      <c r="X42" s="286"/>
      <c r="Y42" s="188"/>
      <c r="Z42" s="1425">
        <f t="shared" si="4"/>
        <v>31320</v>
      </c>
      <c r="AC42" s="263">
        <f>S42</f>
        <v>31320</v>
      </c>
      <c r="AE42" s="286"/>
    </row>
    <row r="43" spans="1:31" x14ac:dyDescent="0.3">
      <c r="A43" s="1420" t="s">
        <v>970</v>
      </c>
      <c r="B43" s="1416" t="s">
        <v>195</v>
      </c>
      <c r="C43" s="1416" t="s">
        <v>972</v>
      </c>
      <c r="D43" s="1416" t="s">
        <v>196</v>
      </c>
      <c r="E43" s="1416" t="s">
        <v>520</v>
      </c>
      <c r="F43" s="158" t="s">
        <v>303</v>
      </c>
      <c r="G43" s="1416">
        <v>1</v>
      </c>
      <c r="H43" s="1416" t="s">
        <v>22</v>
      </c>
      <c r="I43" s="19"/>
      <c r="J43" s="19"/>
      <c r="K43" s="1429">
        <v>100</v>
      </c>
      <c r="L43" s="1431" t="s">
        <v>969</v>
      </c>
      <c r="M43" s="1416">
        <v>1</v>
      </c>
      <c r="N43" s="503">
        <v>202300</v>
      </c>
      <c r="O43" s="1421">
        <v>0.7</v>
      </c>
      <c r="P43" s="503">
        <f t="shared" si="0"/>
        <v>60690.000000000007</v>
      </c>
      <c r="Q43" s="1422">
        <f t="shared" si="1"/>
        <v>60690.000000000007</v>
      </c>
      <c r="R43" s="1426">
        <v>0.15</v>
      </c>
      <c r="S43" s="1424">
        <f t="shared" si="2"/>
        <v>182070.00000000003</v>
      </c>
      <c r="T43" s="206"/>
      <c r="U43" s="5">
        <f>S43</f>
        <v>182070.00000000003</v>
      </c>
      <c r="X43" s="286"/>
      <c r="Y43" s="1427">
        <f>S43</f>
        <v>182070.00000000003</v>
      </c>
      <c r="Z43" s="1425"/>
      <c r="AD43" s="263">
        <f>S43</f>
        <v>182070.00000000003</v>
      </c>
      <c r="AE43" s="286"/>
    </row>
    <row r="44" spans="1:31" x14ac:dyDescent="0.3">
      <c r="A44" s="1420" t="s">
        <v>970</v>
      </c>
      <c r="B44" s="1416" t="s">
        <v>197</v>
      </c>
      <c r="C44" s="1416" t="s">
        <v>971</v>
      </c>
      <c r="D44" s="1416" t="s">
        <v>102</v>
      </c>
      <c r="E44" s="1416" t="s">
        <v>518</v>
      </c>
      <c r="F44" s="158" t="s">
        <v>641</v>
      </c>
      <c r="G44" s="1416">
        <v>1</v>
      </c>
      <c r="H44" s="1416" t="s">
        <v>22</v>
      </c>
      <c r="I44" s="1434">
        <v>10</v>
      </c>
      <c r="J44" s="19"/>
      <c r="K44" s="19"/>
      <c r="L44" s="19"/>
      <c r="M44" s="1420">
        <v>1</v>
      </c>
      <c r="N44" s="503">
        <v>26220</v>
      </c>
      <c r="O44" s="1421">
        <v>0.55000000000000004</v>
      </c>
      <c r="P44" s="503">
        <f t="shared" si="0"/>
        <v>11798.999999999998</v>
      </c>
      <c r="Q44" s="1422">
        <f t="shared" si="1"/>
        <v>11798.999999999998</v>
      </c>
      <c r="R44" s="1423">
        <v>0.03</v>
      </c>
      <c r="S44" s="1424">
        <f t="shared" si="2"/>
        <v>35396.999999999993</v>
      </c>
      <c r="T44" s="206">
        <f>S44</f>
        <v>35396.999999999993</v>
      </c>
      <c r="U44" s="5"/>
      <c r="X44" s="286"/>
      <c r="Y44" s="188"/>
      <c r="Z44" s="1425">
        <f t="shared" si="4"/>
        <v>35396.999999999993</v>
      </c>
      <c r="AE44" s="1425">
        <f>S44</f>
        <v>35396.999999999993</v>
      </c>
    </row>
    <row r="45" spans="1:31" x14ac:dyDescent="0.3">
      <c r="A45" s="1420" t="s">
        <v>970</v>
      </c>
      <c r="B45" s="1416" t="s">
        <v>197</v>
      </c>
      <c r="C45" s="1416" t="s">
        <v>971</v>
      </c>
      <c r="D45" s="1416" t="s">
        <v>26</v>
      </c>
      <c r="E45" s="1416" t="s">
        <v>520</v>
      </c>
      <c r="F45" s="158" t="s">
        <v>654</v>
      </c>
      <c r="G45" s="1416">
        <v>2</v>
      </c>
      <c r="H45" s="1416" t="s">
        <v>24</v>
      </c>
      <c r="I45" s="2753">
        <v>2</v>
      </c>
      <c r="J45" s="2753"/>
      <c r="K45" s="2753"/>
      <c r="L45" s="2754"/>
      <c r="M45" s="1416">
        <v>1</v>
      </c>
      <c r="N45" s="503">
        <v>12600</v>
      </c>
      <c r="O45" s="1421">
        <v>0.55000000000000004</v>
      </c>
      <c r="P45" s="503">
        <f t="shared" si="0"/>
        <v>5669.9999999999991</v>
      </c>
      <c r="Q45" s="1422">
        <f t="shared" si="1"/>
        <v>11339.999999999998</v>
      </c>
      <c r="R45" s="1426">
        <v>0.03</v>
      </c>
      <c r="S45" s="1424">
        <f t="shared" si="2"/>
        <v>34019.999999999993</v>
      </c>
      <c r="T45" s="206">
        <f>S45</f>
        <v>34019.999999999993</v>
      </c>
      <c r="U45" s="5"/>
      <c r="X45" s="286"/>
      <c r="Y45" s="1427">
        <f>S45</f>
        <v>34019.999999999993</v>
      </c>
      <c r="Z45" s="1425"/>
      <c r="AE45" s="1425">
        <f>S45</f>
        <v>34019.999999999993</v>
      </c>
    </row>
    <row r="46" spans="1:31" x14ac:dyDescent="0.3">
      <c r="A46" s="1420" t="s">
        <v>969</v>
      </c>
      <c r="B46" s="1416" t="s">
        <v>969</v>
      </c>
      <c r="C46" s="1412" t="s">
        <v>969</v>
      </c>
      <c r="D46" s="1416" t="s">
        <v>969</v>
      </c>
      <c r="E46" s="1416" t="s">
        <v>969</v>
      </c>
      <c r="F46" s="158" t="s">
        <v>969</v>
      </c>
      <c r="G46" s="1416" t="s">
        <v>969</v>
      </c>
      <c r="H46" s="1416" t="s">
        <v>969</v>
      </c>
      <c r="I46" s="1413"/>
      <c r="J46" s="1413"/>
      <c r="K46" s="1413"/>
      <c r="L46" s="1413"/>
      <c r="M46" s="1420" t="s">
        <v>969</v>
      </c>
      <c r="N46" s="1435" t="s">
        <v>969</v>
      </c>
      <c r="O46" s="1416" t="s">
        <v>969</v>
      </c>
      <c r="P46" s="1435" t="s">
        <v>969</v>
      </c>
      <c r="Q46" s="1435" t="s">
        <v>969</v>
      </c>
      <c r="R46" s="20" t="s">
        <v>969</v>
      </c>
      <c r="S46" s="1436" t="s">
        <v>969</v>
      </c>
      <c r="T46" s="206"/>
      <c r="U46" s="5"/>
      <c r="X46" s="286"/>
      <c r="Y46" s="188"/>
      <c r="Z46" s="286"/>
      <c r="AE46" s="286"/>
    </row>
    <row r="47" spans="1:31" x14ac:dyDescent="0.3">
      <c r="A47" s="1420" t="s">
        <v>969</v>
      </c>
      <c r="B47" s="1416" t="s">
        <v>969</v>
      </c>
      <c r="C47" s="1412" t="s">
        <v>969</v>
      </c>
      <c r="D47" s="1416" t="s">
        <v>969</v>
      </c>
      <c r="E47" s="1416" t="s">
        <v>969</v>
      </c>
      <c r="F47" s="1412" t="s">
        <v>969</v>
      </c>
      <c r="G47" s="1412" t="s">
        <v>969</v>
      </c>
      <c r="H47" s="1412" t="s">
        <v>969</v>
      </c>
      <c r="I47" s="1413"/>
      <c r="J47" s="1413"/>
      <c r="K47" s="1413"/>
      <c r="L47" s="1413"/>
      <c r="M47" s="1420" t="s">
        <v>969</v>
      </c>
      <c r="N47" s="1435" t="s">
        <v>969</v>
      </c>
      <c r="O47" s="1416" t="s">
        <v>969</v>
      </c>
      <c r="P47" s="1435" t="s">
        <v>969</v>
      </c>
      <c r="Q47" s="1435" t="s">
        <v>969</v>
      </c>
      <c r="R47" s="19" t="s">
        <v>969</v>
      </c>
      <c r="S47" s="1436" t="s">
        <v>969</v>
      </c>
      <c r="T47" s="188"/>
      <c r="X47" s="186"/>
      <c r="Y47" s="188"/>
      <c r="Z47" s="286"/>
      <c r="AE47" s="286"/>
    </row>
    <row r="48" spans="1:31" x14ac:dyDescent="0.3">
      <c r="A48" s="1437" t="s">
        <v>970</v>
      </c>
      <c r="B48" s="1438" t="s">
        <v>528</v>
      </c>
      <c r="C48" s="1439" t="s">
        <v>969</v>
      </c>
      <c r="D48" s="1440" t="s">
        <v>969</v>
      </c>
      <c r="E48" s="1440" t="s">
        <v>969</v>
      </c>
      <c r="F48" s="1439" t="s">
        <v>969</v>
      </c>
      <c r="G48" s="1439" t="s">
        <v>969</v>
      </c>
      <c r="H48" s="1439" t="s">
        <v>969</v>
      </c>
      <c r="I48" s="1439" t="s">
        <v>969</v>
      </c>
      <c r="J48" s="1439" t="s">
        <v>969</v>
      </c>
      <c r="K48" s="1439" t="s">
        <v>969</v>
      </c>
      <c r="L48" s="1439" t="s">
        <v>969</v>
      </c>
      <c r="M48" s="1440" t="s">
        <v>969</v>
      </c>
      <c r="N48" s="1441" t="s">
        <v>969</v>
      </c>
      <c r="O48" s="1440" t="s">
        <v>969</v>
      </c>
      <c r="P48" s="1442" t="s">
        <v>969</v>
      </c>
      <c r="Q48" s="1442" t="s">
        <v>969</v>
      </c>
      <c r="R48" s="1440" t="s">
        <v>969</v>
      </c>
      <c r="S48" s="1436"/>
      <c r="T48" s="188"/>
      <c r="X48" s="186"/>
      <c r="Y48" s="188"/>
      <c r="Z48" s="286"/>
      <c r="AE48" s="286"/>
    </row>
    <row r="49" spans="1:31" x14ac:dyDescent="0.3">
      <c r="A49" s="1443" t="s">
        <v>970</v>
      </c>
      <c r="B49" s="1444" t="s">
        <v>529</v>
      </c>
      <c r="C49" s="1445" t="s">
        <v>969</v>
      </c>
      <c r="D49" s="1446" t="s">
        <v>969</v>
      </c>
      <c r="E49" s="1446" t="s">
        <v>969</v>
      </c>
      <c r="F49" s="1445" t="s">
        <v>969</v>
      </c>
      <c r="G49" s="1445" t="s">
        <v>969</v>
      </c>
      <c r="H49" s="1445" t="s">
        <v>969</v>
      </c>
      <c r="I49" s="1445" t="s">
        <v>969</v>
      </c>
      <c r="J49" s="1445" t="s">
        <v>969</v>
      </c>
      <c r="K49" s="1445" t="s">
        <v>969</v>
      </c>
      <c r="L49" s="1445" t="s">
        <v>969</v>
      </c>
      <c r="M49" s="1446" t="s">
        <v>969</v>
      </c>
      <c r="N49" s="1447" t="s">
        <v>969</v>
      </c>
      <c r="O49" s="1446" t="s">
        <v>969</v>
      </c>
      <c r="P49" s="1448" t="s">
        <v>969</v>
      </c>
      <c r="Q49" s="1449">
        <v>38000</v>
      </c>
      <c r="R49" s="1450">
        <v>0.09</v>
      </c>
      <c r="S49" s="1424">
        <f t="shared" ref="S49" si="5">Q49*3</f>
        <v>114000</v>
      </c>
      <c r="T49" s="188"/>
      <c r="X49" s="186">
        <f>S49</f>
        <v>114000</v>
      </c>
      <c r="Y49" s="188"/>
      <c r="Z49" s="286"/>
      <c r="AE49" s="286"/>
    </row>
    <row r="50" spans="1:31" x14ac:dyDescent="0.3">
      <c r="A50" s="19"/>
      <c r="B50" s="1413"/>
      <c r="C50" s="1413"/>
      <c r="D50" s="1413"/>
      <c r="E50" s="1413"/>
      <c r="F50" s="1413"/>
      <c r="G50" s="1413"/>
      <c r="H50" s="1413"/>
      <c r="I50" s="2199">
        <f>I51/$M$51</f>
        <v>0.30275229357798167</v>
      </c>
      <c r="J50" s="2199">
        <f t="shared" ref="J50:K50" si="6">J51/$M$51</f>
        <v>0.13761467889908258</v>
      </c>
      <c r="K50" s="2199">
        <f t="shared" si="6"/>
        <v>0.55963302752293576</v>
      </c>
      <c r="L50" s="1413"/>
      <c r="M50" s="1413"/>
      <c r="N50" s="1451"/>
      <c r="O50" s="1413"/>
      <c r="P50" s="1451"/>
      <c r="Q50" s="1451"/>
      <c r="R50" s="19"/>
      <c r="S50" s="1415" t="s">
        <v>969</v>
      </c>
      <c r="T50" s="188"/>
      <c r="X50" s="186"/>
      <c r="Y50" s="188"/>
      <c r="Z50" s="286"/>
      <c r="AE50" s="1452"/>
    </row>
    <row r="51" spans="1:31" x14ac:dyDescent="0.3">
      <c r="A51" s="1453" t="s">
        <v>531</v>
      </c>
      <c r="B51" s="1454" t="s">
        <v>969</v>
      </c>
      <c r="C51" s="1454" t="s">
        <v>969</v>
      </c>
      <c r="D51" s="1454" t="s">
        <v>969</v>
      </c>
      <c r="E51" s="1454" t="s">
        <v>969</v>
      </c>
      <c r="F51" s="1454" t="s">
        <v>969</v>
      </c>
      <c r="G51" s="1454" t="s">
        <v>969</v>
      </c>
      <c r="H51" s="1454" t="s">
        <v>969</v>
      </c>
      <c r="I51" s="1454">
        <f>I45+I44+I42+I40+I39+I38+I37</f>
        <v>66</v>
      </c>
      <c r="J51" s="1454">
        <f>J40</f>
        <v>30</v>
      </c>
      <c r="K51" s="1454">
        <f>K43+K41</f>
        <v>122</v>
      </c>
      <c r="L51" s="1454" t="s">
        <v>969</v>
      </c>
      <c r="M51" s="1454">
        <v>218</v>
      </c>
      <c r="N51" s="1455" t="s">
        <v>969</v>
      </c>
      <c r="O51" s="1454" t="s">
        <v>969</v>
      </c>
      <c r="P51" s="1455" t="s">
        <v>969</v>
      </c>
      <c r="Q51" s="1456">
        <f>SUM(Q36:Q49)</f>
        <v>416531.55680000002</v>
      </c>
      <c r="R51" s="1457">
        <v>1</v>
      </c>
      <c r="S51" s="1458">
        <f>SUM(S37:S50)</f>
        <v>1249594.6704000002</v>
      </c>
      <c r="T51" s="693">
        <f>SUM(T37:T49)</f>
        <v>471927.96000000008</v>
      </c>
      <c r="U51" s="616">
        <f>SUM(U37:U49)</f>
        <v>663666.71039999998</v>
      </c>
      <c r="V51" s="616">
        <f t="shared" ref="V51:X51" si="7">SUM(V37:V49)</f>
        <v>0</v>
      </c>
      <c r="W51" s="616">
        <f t="shared" si="7"/>
        <v>0</v>
      </c>
      <c r="X51" s="616">
        <f t="shared" si="7"/>
        <v>114000</v>
      </c>
      <c r="Y51" s="296">
        <f>SUM(Y37:Y49)</f>
        <v>501984.00000000012</v>
      </c>
      <c r="Z51" s="294">
        <f>SUM(Z37:Z49)</f>
        <v>633610.67039999994</v>
      </c>
      <c r="AA51" s="293">
        <f>SUM(AA36:AA50)</f>
        <v>747352.67040000006</v>
      </c>
      <c r="AB51" s="294">
        <f>SUM(AB36:AB50)</f>
        <v>105435</v>
      </c>
      <c r="AC51" s="294">
        <f>SUM(AC36:AC50)</f>
        <v>31320</v>
      </c>
      <c r="AD51" s="294">
        <f>SUM(AD36:AD50)</f>
        <v>182070.00000000003</v>
      </c>
      <c r="AE51" s="295">
        <f>SUM(AE36:AE50)</f>
        <v>69416.999999999985</v>
      </c>
    </row>
    <row r="52" spans="1:31" x14ac:dyDescent="0.3">
      <c r="A52" s="1459" t="s">
        <v>532</v>
      </c>
      <c r="B52" s="1460" t="s">
        <v>969</v>
      </c>
      <c r="C52" s="1460" t="s">
        <v>969</v>
      </c>
      <c r="D52" s="1460" t="s">
        <v>969</v>
      </c>
      <c r="E52" s="1460" t="s">
        <v>969</v>
      </c>
      <c r="F52" s="1460" t="s">
        <v>969</v>
      </c>
      <c r="G52" s="1460" t="s">
        <v>969</v>
      </c>
      <c r="H52" s="1460" t="s">
        <v>969</v>
      </c>
      <c r="I52" s="1460">
        <f>I45+I44+I42+I40+I39+I38+I37</f>
        <v>66</v>
      </c>
      <c r="J52" s="1460">
        <f>I45+I42+J40+I39+I38+I37</f>
        <v>56</v>
      </c>
      <c r="K52" s="1460">
        <f>I45+K43+I42+K41+I39+I38+I37</f>
        <v>148</v>
      </c>
      <c r="L52" s="1460">
        <f>I45+I42+I39+I38+I37</f>
        <v>26</v>
      </c>
      <c r="M52" s="1460">
        <v>296</v>
      </c>
      <c r="N52" s="1461" t="s">
        <v>969</v>
      </c>
      <c r="O52" s="1460" t="s">
        <v>969</v>
      </c>
      <c r="P52" s="1461" t="s">
        <v>969</v>
      </c>
      <c r="Q52" s="1461" t="s">
        <v>969</v>
      </c>
      <c r="R52" s="1462" t="s">
        <v>969</v>
      </c>
      <c r="S52" s="970"/>
      <c r="T52" s="235">
        <f>T51/S51</f>
        <v>0.37766483098790271</v>
      </c>
      <c r="U52" s="236">
        <f>U51/S51</f>
        <v>0.53110558657197027</v>
      </c>
      <c r="V52" s="487"/>
      <c r="W52" s="236">
        <f>W51/S51</f>
        <v>0</v>
      </c>
      <c r="X52" s="236">
        <f>X51/S51</f>
        <v>9.1229582440126883E-2</v>
      </c>
      <c r="Y52" s="298">
        <f>Y51/S51</f>
        <v>0.40171746238267253</v>
      </c>
      <c r="Z52" s="236">
        <f>Z51/S51</f>
        <v>0.5070529551772005</v>
      </c>
      <c r="AA52" s="743"/>
      <c r="AB52" s="487"/>
      <c r="AC52" s="487"/>
      <c r="AD52" s="487"/>
      <c r="AE52" s="242"/>
    </row>
    <row r="53" spans="1:31" x14ac:dyDescent="0.3">
      <c r="A53" s="243" t="s">
        <v>533</v>
      </c>
      <c r="B53" s="193"/>
      <c r="C53" s="193"/>
      <c r="D53" s="193"/>
      <c r="E53" s="193"/>
      <c r="F53" s="244"/>
      <c r="G53" s="193"/>
      <c r="H53" s="193"/>
      <c r="I53" s="2182">
        <f>I52/$M$52</f>
        <v>0.22297297297297297</v>
      </c>
      <c r="J53" s="2182">
        <f t="shared" ref="J53:L53" si="8">J52/$M$52</f>
        <v>0.1891891891891892</v>
      </c>
      <c r="K53" s="2182">
        <f t="shared" si="8"/>
        <v>0.5</v>
      </c>
      <c r="L53" s="2182">
        <f t="shared" si="8"/>
        <v>8.7837837837837843E-2</v>
      </c>
      <c r="M53" s="193"/>
      <c r="N53" s="246"/>
      <c r="O53" s="1463"/>
      <c r="P53" s="196"/>
      <c r="Q53" s="194">
        <f>T51/3</f>
        <v>157309.32000000004</v>
      </c>
      <c r="R53" s="247">
        <f>Q53/Q58</f>
        <v>0.37766483098790277</v>
      </c>
      <c r="Y53" s="761">
        <f>I38+K43+I45</f>
        <v>117</v>
      </c>
      <c r="Z53" s="761">
        <f>I37+I39+I40+J40+K41+I42+I44</f>
        <v>101</v>
      </c>
      <c r="AB53" s="1464"/>
      <c r="AC53" s="143"/>
      <c r="AD53" s="143"/>
      <c r="AE53" s="143"/>
    </row>
    <row r="54" spans="1:31" x14ac:dyDescent="0.3">
      <c r="A54" s="251" t="s">
        <v>11</v>
      </c>
      <c r="B54" s="252"/>
      <c r="C54" s="252"/>
      <c r="D54" s="252"/>
      <c r="E54" s="252"/>
      <c r="F54" s="253"/>
      <c r="G54" s="252"/>
      <c r="H54" s="252"/>
      <c r="I54" s="254"/>
      <c r="J54" s="254"/>
      <c r="K54" s="254"/>
      <c r="L54" s="254"/>
      <c r="M54" s="252"/>
      <c r="N54" s="255"/>
      <c r="O54" s="1465"/>
      <c r="P54" s="256"/>
      <c r="Q54" s="257">
        <f>U51/3</f>
        <v>221222.23679999998</v>
      </c>
      <c r="R54" s="256">
        <f>Q54/Q58</f>
        <v>0.53110558657197027</v>
      </c>
      <c r="S54" s="258">
        <f>Q51/M51</f>
        <v>1910.6952146788992</v>
      </c>
      <c r="T54" s="1466" t="s">
        <v>973</v>
      </c>
      <c r="Y54" s="195">
        <f>Y53/M51</f>
        <v>0.53669724770642202</v>
      </c>
      <c r="Z54" s="195">
        <f>Z53/M51</f>
        <v>0.46330275229357798</v>
      </c>
    </row>
    <row r="55" spans="1:31" x14ac:dyDescent="0.3">
      <c r="A55" s="251" t="s">
        <v>536</v>
      </c>
      <c r="B55" s="252"/>
      <c r="C55" s="252"/>
      <c r="D55" s="252"/>
      <c r="E55" s="252"/>
      <c r="F55" s="253"/>
      <c r="G55" s="252"/>
      <c r="H55" s="252"/>
      <c r="I55" s="254"/>
      <c r="J55" s="254"/>
      <c r="K55" s="254"/>
      <c r="L55" s="254"/>
      <c r="M55" s="252"/>
      <c r="N55" s="255"/>
      <c r="O55" s="1465"/>
      <c r="P55" s="256"/>
      <c r="Q55" s="257">
        <f>V51/3</f>
        <v>0</v>
      </c>
      <c r="R55" s="109"/>
      <c r="Y55" s="2728" t="s">
        <v>537</v>
      </c>
      <c r="Z55" s="2729"/>
    </row>
    <row r="56" spans="1:31" x14ac:dyDescent="0.3">
      <c r="A56" s="251" t="s">
        <v>528</v>
      </c>
      <c r="B56" s="252"/>
      <c r="C56" s="252"/>
      <c r="D56" s="252"/>
      <c r="E56" s="252"/>
      <c r="F56" s="253"/>
      <c r="G56" s="252"/>
      <c r="H56" s="252"/>
      <c r="I56" s="254"/>
      <c r="J56" s="254"/>
      <c r="K56" s="254"/>
      <c r="L56" s="254"/>
      <c r="M56" s="252"/>
      <c r="N56" s="255"/>
      <c r="O56" s="1465"/>
      <c r="P56" s="256"/>
      <c r="Q56" s="257" t="str">
        <f>R48</f>
        <v> </v>
      </c>
      <c r="R56" s="262"/>
    </row>
    <row r="57" spans="1:31" x14ac:dyDescent="0.3">
      <c r="A57" s="251" t="s">
        <v>529</v>
      </c>
      <c r="B57" s="252"/>
      <c r="C57" s="252"/>
      <c r="D57" s="252"/>
      <c r="E57" s="252"/>
      <c r="F57" s="253"/>
      <c r="G57" s="252"/>
      <c r="H57" s="252"/>
      <c r="I57" s="254"/>
      <c r="J57" s="254"/>
      <c r="K57" s="254"/>
      <c r="L57" s="254"/>
      <c r="M57" s="252"/>
      <c r="N57" s="255"/>
      <c r="O57" s="1465"/>
      <c r="P57" s="256"/>
      <c r="Q57" s="257">
        <f>X51/3</f>
        <v>38000</v>
      </c>
      <c r="R57" s="262">
        <f>Q57/Q58</f>
        <v>9.1229582440126897E-2</v>
      </c>
    </row>
    <row r="58" spans="1:31" x14ac:dyDescent="0.3">
      <c r="A58" s="243"/>
      <c r="B58" s="193"/>
      <c r="C58" s="193"/>
      <c r="D58" s="193"/>
      <c r="E58" s="193"/>
      <c r="F58" s="244"/>
      <c r="G58" s="193"/>
      <c r="H58" s="193"/>
      <c r="I58" s="245"/>
      <c r="J58" s="245"/>
      <c r="K58" s="245"/>
      <c r="L58" s="245"/>
      <c r="M58" s="193"/>
      <c r="N58" s="246"/>
      <c r="O58" s="1465"/>
      <c r="P58" s="196"/>
      <c r="Q58" s="194">
        <f>SUM(Q53:Q57)</f>
        <v>416531.55680000002</v>
      </c>
      <c r="R58" s="247">
        <f>SUM(R53:R57)</f>
        <v>0.99999999999999989</v>
      </c>
    </row>
    <row r="61" spans="1:31" x14ac:dyDescent="0.3">
      <c r="E61" s="1" t="s">
        <v>974</v>
      </c>
      <c r="F61" s="2" t="s">
        <v>975</v>
      </c>
    </row>
    <row r="62" spans="1:31" x14ac:dyDescent="0.3">
      <c r="B62" s="2"/>
      <c r="E62" s="1" t="s">
        <v>473</v>
      </c>
      <c r="F62" s="2" t="s">
        <v>53</v>
      </c>
    </row>
    <row r="63" spans="1:31" x14ac:dyDescent="0.3">
      <c r="E63" s="1" t="s">
        <v>475</v>
      </c>
      <c r="F63" s="2" t="s">
        <v>976</v>
      </c>
    </row>
    <row r="64" spans="1:31" x14ac:dyDescent="0.3">
      <c r="E64" s="1" t="s">
        <v>477</v>
      </c>
      <c r="F64" s="2" t="s">
        <v>977</v>
      </c>
    </row>
    <row r="65" spans="1:31" x14ac:dyDescent="0.3">
      <c r="B65" s="2"/>
    </row>
    <row r="66" spans="1:31" ht="18" x14ac:dyDescent="0.35">
      <c r="A66" s="1037" t="s">
        <v>978</v>
      </c>
    </row>
    <row r="67" spans="1:31" ht="18" x14ac:dyDescent="0.35">
      <c r="A67" s="1037"/>
    </row>
    <row r="68" spans="1:31" x14ac:dyDescent="0.3">
      <c r="A68" s="2587" t="s">
        <v>480</v>
      </c>
      <c r="B68" s="2588"/>
      <c r="C68" s="2588"/>
      <c r="D68" s="2588"/>
      <c r="E68" s="2588"/>
      <c r="F68" s="2588"/>
      <c r="G68" s="2588"/>
      <c r="H68" s="2588"/>
      <c r="I68" s="2588"/>
      <c r="J68" s="2588"/>
      <c r="K68" s="2588"/>
      <c r="L68" s="2588"/>
      <c r="M68" s="2588"/>
      <c r="N68" s="2588"/>
      <c r="O68" s="2588"/>
      <c r="P68" s="2588"/>
      <c r="Q68" s="2588"/>
      <c r="R68" s="2589"/>
      <c r="S68" s="2563" t="s">
        <v>584</v>
      </c>
      <c r="T68" s="2564"/>
      <c r="U68" s="2564"/>
      <c r="V68" s="2564"/>
      <c r="W68" s="2564"/>
      <c r="X68" s="2564"/>
      <c r="Y68" s="2564"/>
      <c r="Z68" s="2564"/>
      <c r="AA68" s="2564"/>
      <c r="AB68" s="2564"/>
      <c r="AC68" s="2564"/>
      <c r="AD68" s="2564"/>
      <c r="AE68" s="2576"/>
    </row>
    <row r="69" spans="1:31" ht="28.8" x14ac:dyDescent="0.3">
      <c r="A69" s="2739" t="s">
        <v>482</v>
      </c>
      <c r="B69" s="2741" t="s">
        <v>483</v>
      </c>
      <c r="C69" s="2741" t="s">
        <v>484</v>
      </c>
      <c r="D69" s="2741" t="s">
        <v>485</v>
      </c>
      <c r="E69" s="2741" t="s">
        <v>486</v>
      </c>
      <c r="F69" s="2741" t="s">
        <v>487</v>
      </c>
      <c r="G69" s="2741" t="s">
        <v>488</v>
      </c>
      <c r="H69" s="2741" t="s">
        <v>489</v>
      </c>
      <c r="I69" s="2743" t="s">
        <v>490</v>
      </c>
      <c r="J69" s="2743"/>
      <c r="K69" s="2743"/>
      <c r="L69" s="2744"/>
      <c r="M69" s="1467" t="s">
        <v>491</v>
      </c>
      <c r="N69" s="1468" t="s">
        <v>964</v>
      </c>
      <c r="O69" s="1467" t="s">
        <v>493</v>
      </c>
      <c r="P69" s="1468" t="s">
        <v>964</v>
      </c>
      <c r="Q69" s="1468" t="s">
        <v>965</v>
      </c>
      <c r="R69" s="2745" t="s">
        <v>495</v>
      </c>
      <c r="S69" s="1059" t="s">
        <v>496</v>
      </c>
      <c r="T69" s="2720" t="s">
        <v>497</v>
      </c>
      <c r="U69" s="2720"/>
      <c r="V69" s="2720"/>
      <c r="W69" s="2720"/>
      <c r="X69" s="2720"/>
      <c r="Y69" s="2572" t="s">
        <v>498</v>
      </c>
      <c r="Z69" s="2574"/>
      <c r="AA69" s="2567" t="s">
        <v>499</v>
      </c>
      <c r="AB69" s="2568"/>
      <c r="AC69" s="2568"/>
      <c r="AD69" s="2568"/>
      <c r="AE69" s="2747"/>
    </row>
    <row r="70" spans="1:31" ht="43.2" x14ac:dyDescent="0.3">
      <c r="A70" s="2740"/>
      <c r="B70" s="2742"/>
      <c r="C70" s="2742"/>
      <c r="D70" s="2742"/>
      <c r="E70" s="2742"/>
      <c r="F70" s="2742"/>
      <c r="G70" s="2742"/>
      <c r="H70" s="2742"/>
      <c r="I70" s="1469" t="s">
        <v>500</v>
      </c>
      <c r="J70" s="1469" t="s">
        <v>501</v>
      </c>
      <c r="K70" s="1469" t="s">
        <v>502</v>
      </c>
      <c r="L70" s="1469" t="s">
        <v>503</v>
      </c>
      <c r="M70" s="1469" t="s">
        <v>504</v>
      </c>
      <c r="N70" s="1470" t="s">
        <v>966</v>
      </c>
      <c r="O70" s="1469" t="s">
        <v>506</v>
      </c>
      <c r="P70" s="1470" t="s">
        <v>967</v>
      </c>
      <c r="Q70" s="1470" t="s">
        <v>967</v>
      </c>
      <c r="R70" s="2746"/>
      <c r="S70" s="1060" t="s">
        <v>508</v>
      </c>
      <c r="T70" s="2574"/>
      <c r="U70" s="2574"/>
      <c r="V70" s="2574"/>
      <c r="W70" s="2574"/>
      <c r="X70" s="2574"/>
      <c r="Y70" s="2572"/>
      <c r="Z70" s="2574"/>
      <c r="AA70" s="2569"/>
      <c r="AB70" s="2570"/>
      <c r="AC70" s="2570"/>
      <c r="AD70" s="2570"/>
      <c r="AE70" s="2748"/>
    </row>
    <row r="71" spans="1:31" ht="18" x14ac:dyDescent="0.35">
      <c r="A71" s="2449" t="s">
        <v>979</v>
      </c>
      <c r="B71" s="2450"/>
      <c r="C71" s="2450"/>
      <c r="D71" s="2450"/>
      <c r="E71" s="2450"/>
      <c r="F71" s="2450"/>
      <c r="G71" s="2450"/>
      <c r="H71" s="2450"/>
      <c r="I71" s="2450"/>
      <c r="J71" s="2450"/>
      <c r="K71" s="2450"/>
      <c r="L71" s="2450"/>
      <c r="M71" s="2450"/>
      <c r="N71" s="2450"/>
      <c r="O71" s="2450"/>
      <c r="P71" s="2450"/>
      <c r="Q71" s="2450"/>
      <c r="R71" s="2450"/>
      <c r="S71" s="1471"/>
      <c r="T71" s="563" t="s">
        <v>510</v>
      </c>
      <c r="U71" s="561" t="s">
        <v>11</v>
      </c>
      <c r="V71" s="561" t="s">
        <v>511</v>
      </c>
      <c r="W71" s="561" t="s">
        <v>512</v>
      </c>
      <c r="X71" s="561" t="s">
        <v>513</v>
      </c>
      <c r="Y71" s="563" t="s">
        <v>514</v>
      </c>
      <c r="Z71" s="561" t="s">
        <v>515</v>
      </c>
      <c r="AA71" s="563" t="s">
        <v>302</v>
      </c>
      <c r="AB71" s="561" t="s">
        <v>6</v>
      </c>
      <c r="AC71" s="561" t="s">
        <v>194</v>
      </c>
      <c r="AD71" s="561" t="s">
        <v>693</v>
      </c>
      <c r="AE71" s="1472" t="s">
        <v>7</v>
      </c>
    </row>
    <row r="72" spans="1:31" x14ac:dyDescent="0.3">
      <c r="A72" s="154"/>
      <c r="B72" s="462"/>
      <c r="C72" s="462"/>
      <c r="D72" s="462"/>
      <c r="E72" s="462"/>
      <c r="F72" s="463"/>
      <c r="G72" s="462"/>
      <c r="H72" s="462"/>
      <c r="I72" s="465"/>
      <c r="J72" s="465"/>
      <c r="K72" s="465"/>
      <c r="L72" s="465"/>
      <c r="M72" s="462"/>
      <c r="N72" s="468"/>
      <c r="O72" s="469"/>
      <c r="P72" s="468"/>
      <c r="Q72" s="468"/>
      <c r="R72" s="469"/>
      <c r="S72" s="468"/>
      <c r="Y72" s="464"/>
      <c r="Z72" s="466"/>
      <c r="AE72" s="286"/>
    </row>
    <row r="73" spans="1:31" x14ac:dyDescent="0.3">
      <c r="A73" s="157" t="s">
        <v>970</v>
      </c>
      <c r="B73" s="157" t="s">
        <v>189</v>
      </c>
      <c r="C73" s="1416" t="s">
        <v>971</v>
      </c>
      <c r="D73" s="157" t="s">
        <v>190</v>
      </c>
      <c r="E73" s="157" t="s">
        <v>520</v>
      </c>
      <c r="F73" s="158" t="s">
        <v>876</v>
      </c>
      <c r="G73" s="157">
        <v>12</v>
      </c>
      <c r="H73" s="157" t="s">
        <v>24</v>
      </c>
      <c r="I73" s="175">
        <v>12</v>
      </c>
      <c r="J73" s="176"/>
      <c r="K73" s="176"/>
      <c r="L73" s="177"/>
      <c r="M73" s="157">
        <v>1</v>
      </c>
      <c r="N73" s="503">
        <v>22690</v>
      </c>
      <c r="O73" s="173">
        <v>0.72</v>
      </c>
      <c r="P73" s="503">
        <f t="shared" ref="P73:P75" si="9">N73*(1-O73)</f>
        <v>6353.2000000000007</v>
      </c>
      <c r="Q73" s="503">
        <f t="shared" ref="Q73:Q77" si="10">P73*M73*G73</f>
        <v>76238.400000000009</v>
      </c>
      <c r="R73" s="1473">
        <f t="shared" ref="R73:R79" si="11">Q73/$Q$85</f>
        <v>0.2204571166214353</v>
      </c>
      <c r="S73" s="166">
        <f>Q73*4</f>
        <v>304953.60000000003</v>
      </c>
      <c r="T73" s="303">
        <f>S73</f>
        <v>304953.60000000003</v>
      </c>
      <c r="Y73" s="1474">
        <f>S73</f>
        <v>304953.60000000003</v>
      </c>
      <c r="Z73" s="286"/>
      <c r="AA73" s="303">
        <f>S73</f>
        <v>304953.60000000003</v>
      </c>
      <c r="AE73" s="286"/>
    </row>
    <row r="74" spans="1:31" x14ac:dyDescent="0.3">
      <c r="A74" s="157" t="s">
        <v>970</v>
      </c>
      <c r="B74" s="157" t="s">
        <v>189</v>
      </c>
      <c r="C74" s="1416" t="s">
        <v>972</v>
      </c>
      <c r="D74" s="157" t="s">
        <v>192</v>
      </c>
      <c r="E74" s="157" t="s">
        <v>518</v>
      </c>
      <c r="F74" s="158" t="s">
        <v>522</v>
      </c>
      <c r="G74" s="157">
        <v>30</v>
      </c>
      <c r="H74" s="157" t="s">
        <v>106</v>
      </c>
      <c r="I74" s="285">
        <v>30</v>
      </c>
      <c r="J74" s="285">
        <v>30</v>
      </c>
      <c r="K74" s="179"/>
      <c r="L74" s="180"/>
      <c r="M74" s="157">
        <v>2</v>
      </c>
      <c r="N74" s="503">
        <f>12439.21*60%</f>
        <v>7463.5259999999989</v>
      </c>
      <c r="O74" s="173">
        <v>0.72</v>
      </c>
      <c r="P74" s="503">
        <f t="shared" si="9"/>
        <v>2089.78728</v>
      </c>
      <c r="Q74" s="503">
        <f t="shared" si="10"/>
        <v>125387.2368</v>
      </c>
      <c r="R74" s="815">
        <f t="shared" si="11"/>
        <v>0.36257986377018825</v>
      </c>
      <c r="S74" s="166">
        <f t="shared" ref="S74:S79" si="12">Q74*4</f>
        <v>501548.9472</v>
      </c>
      <c r="U74" s="303">
        <f>S74</f>
        <v>501548.9472</v>
      </c>
      <c r="Y74" s="188"/>
      <c r="Z74" s="1475">
        <f>S74</f>
        <v>501548.9472</v>
      </c>
      <c r="AA74" s="303">
        <f>S74</f>
        <v>501548.9472</v>
      </c>
      <c r="AE74" s="286"/>
    </row>
    <row r="75" spans="1:31" x14ac:dyDescent="0.3">
      <c r="A75" s="157" t="s">
        <v>970</v>
      </c>
      <c r="B75" s="157" t="s">
        <v>183</v>
      </c>
      <c r="C75" s="1416" t="s">
        <v>972</v>
      </c>
      <c r="D75" s="157" t="s">
        <v>193</v>
      </c>
      <c r="E75" s="157" t="s">
        <v>518</v>
      </c>
      <c r="F75" s="158" t="s">
        <v>522</v>
      </c>
      <c r="G75" s="157">
        <v>1</v>
      </c>
      <c r="H75" s="157" t="s">
        <v>22</v>
      </c>
      <c r="I75" s="772"/>
      <c r="K75" s="285">
        <v>22</v>
      </c>
      <c r="L75" s="180"/>
      <c r="M75" s="163">
        <v>1</v>
      </c>
      <c r="N75" s="503">
        <v>63900</v>
      </c>
      <c r="O75" s="173">
        <v>0.45</v>
      </c>
      <c r="P75" s="503">
        <f t="shared" si="9"/>
        <v>35145</v>
      </c>
      <c r="Q75" s="503">
        <f t="shared" si="10"/>
        <v>35145</v>
      </c>
      <c r="R75" s="815">
        <f t="shared" si="11"/>
        <v>0.10162812130973818</v>
      </c>
      <c r="S75" s="166">
        <f t="shared" si="12"/>
        <v>140580</v>
      </c>
      <c r="U75" s="303">
        <f>S75</f>
        <v>140580</v>
      </c>
      <c r="Y75" s="188"/>
      <c r="Z75" s="1475">
        <f>S75</f>
        <v>140580</v>
      </c>
      <c r="AB75" s="303">
        <f>S75</f>
        <v>140580</v>
      </c>
      <c r="AE75" s="286"/>
    </row>
    <row r="76" spans="1:31" x14ac:dyDescent="0.3">
      <c r="A76" s="157" t="s">
        <v>970</v>
      </c>
      <c r="B76" s="157" t="s">
        <v>194</v>
      </c>
      <c r="C76" s="1416" t="s">
        <v>971</v>
      </c>
      <c r="D76" s="157" t="s">
        <v>102</v>
      </c>
      <c r="E76" s="157" t="s">
        <v>518</v>
      </c>
      <c r="F76" s="158" t="s">
        <v>591</v>
      </c>
      <c r="G76" s="157">
        <v>2</v>
      </c>
      <c r="H76" s="157" t="s">
        <v>24</v>
      </c>
      <c r="I76" s="175">
        <v>2</v>
      </c>
      <c r="J76" s="176"/>
      <c r="K76" s="176"/>
      <c r="L76" s="177"/>
      <c r="M76" s="163">
        <v>1</v>
      </c>
      <c r="N76" s="503">
        <f>2500*(1+20%)*(1+45%)</f>
        <v>4350</v>
      </c>
      <c r="O76" s="173">
        <v>0.4</v>
      </c>
      <c r="P76" s="503">
        <f>N76*(1-O76)</f>
        <v>2610</v>
      </c>
      <c r="Q76" s="503">
        <f t="shared" si="10"/>
        <v>5220</v>
      </c>
      <c r="R76" s="815">
        <f t="shared" si="11"/>
        <v>1.5094573715658935E-2</v>
      </c>
      <c r="S76" s="166">
        <f t="shared" si="12"/>
        <v>20880</v>
      </c>
      <c r="T76" s="303">
        <f>S76</f>
        <v>20880</v>
      </c>
      <c r="Y76" s="188"/>
      <c r="Z76" s="1475">
        <f>S76</f>
        <v>20880</v>
      </c>
      <c r="AC76" s="303">
        <f>S76</f>
        <v>20880</v>
      </c>
      <c r="AE76" s="286"/>
    </row>
    <row r="77" spans="1:31" x14ac:dyDescent="0.3">
      <c r="A77" s="157" t="s">
        <v>970</v>
      </c>
      <c r="B77" s="157" t="s">
        <v>195</v>
      </c>
      <c r="C77" s="1416" t="s">
        <v>972</v>
      </c>
      <c r="D77" s="157" t="s">
        <v>196</v>
      </c>
      <c r="E77" s="157" t="s">
        <v>520</v>
      </c>
      <c r="F77" s="158" t="s">
        <v>303</v>
      </c>
      <c r="G77" s="157">
        <v>1</v>
      </c>
      <c r="H77" s="157" t="s">
        <v>22</v>
      </c>
      <c r="K77" s="688">
        <v>100</v>
      </c>
      <c r="L77" s="774"/>
      <c r="M77" s="163">
        <v>1</v>
      </c>
      <c r="N77" s="166">
        <v>202300</v>
      </c>
      <c r="O77" s="173">
        <v>0.7</v>
      </c>
      <c r="P77" s="166">
        <f t="shared" ref="P77:P79" si="13">N77*(1-O77)</f>
        <v>60690.000000000007</v>
      </c>
      <c r="Q77" s="166">
        <f t="shared" si="10"/>
        <v>60690.000000000007</v>
      </c>
      <c r="R77" s="1473">
        <f t="shared" si="11"/>
        <v>0.17549610705044844</v>
      </c>
      <c r="S77" s="166">
        <f t="shared" si="12"/>
        <v>242760.00000000003</v>
      </c>
      <c r="U77" s="303">
        <f>S77</f>
        <v>242760.00000000003</v>
      </c>
      <c r="Y77" s="1474">
        <f>S77</f>
        <v>242760.00000000003</v>
      </c>
      <c r="Z77" s="286"/>
      <c r="AD77" s="303">
        <f>S77</f>
        <v>242760.00000000003</v>
      </c>
      <c r="AE77" s="286"/>
    </row>
    <row r="78" spans="1:31" x14ac:dyDescent="0.3">
      <c r="A78" s="157" t="s">
        <v>970</v>
      </c>
      <c r="B78" s="157" t="s">
        <v>197</v>
      </c>
      <c r="C78" s="1416" t="s">
        <v>971</v>
      </c>
      <c r="D78" s="157" t="s">
        <v>102</v>
      </c>
      <c r="E78" s="157" t="s">
        <v>518</v>
      </c>
      <c r="F78" s="158" t="s">
        <v>591</v>
      </c>
      <c r="G78" s="157">
        <v>1</v>
      </c>
      <c r="H78" s="157" t="s">
        <v>22</v>
      </c>
      <c r="I78" s="285">
        <v>10</v>
      </c>
      <c r="M78" s="157">
        <v>1</v>
      </c>
      <c r="N78" s="166">
        <v>26220</v>
      </c>
      <c r="O78" s="173">
        <v>0.55000000000000004</v>
      </c>
      <c r="P78" s="166">
        <f t="shared" si="13"/>
        <v>11798.999999999998</v>
      </c>
      <c r="Q78" s="166">
        <f>P78*M78*G78</f>
        <v>11798.999999999998</v>
      </c>
      <c r="R78" s="815">
        <f t="shared" si="11"/>
        <v>3.4118941622808381E-2</v>
      </c>
      <c r="S78" s="166">
        <f t="shared" si="12"/>
        <v>47195.999999999993</v>
      </c>
      <c r="T78" s="303">
        <f>S78</f>
        <v>47195.999999999993</v>
      </c>
      <c r="Y78" s="188"/>
      <c r="Z78" s="1475">
        <f>S78</f>
        <v>47195.999999999993</v>
      </c>
      <c r="AE78" s="1475">
        <f>S78</f>
        <v>47195.999999999993</v>
      </c>
    </row>
    <row r="79" spans="1:31" x14ac:dyDescent="0.3">
      <c r="A79" s="157" t="s">
        <v>970</v>
      </c>
      <c r="B79" s="157" t="s">
        <v>197</v>
      </c>
      <c r="C79" s="1416" t="s">
        <v>971</v>
      </c>
      <c r="D79" s="157" t="s">
        <v>26</v>
      </c>
      <c r="E79" s="157" t="s">
        <v>520</v>
      </c>
      <c r="F79" s="158" t="s">
        <v>640</v>
      </c>
      <c r="G79" s="157">
        <v>2</v>
      </c>
      <c r="H79" s="157" t="s">
        <v>24</v>
      </c>
      <c r="I79" s="175">
        <v>2</v>
      </c>
      <c r="J79" s="176"/>
      <c r="K79" s="176"/>
      <c r="L79" s="177"/>
      <c r="M79" s="157">
        <v>1</v>
      </c>
      <c r="N79" s="166">
        <v>12600</v>
      </c>
      <c r="O79" s="173">
        <v>0.55000000000000004</v>
      </c>
      <c r="P79" s="166">
        <f t="shared" si="13"/>
        <v>5669.9999999999991</v>
      </c>
      <c r="Q79" s="166">
        <f>P79*M79*G79</f>
        <v>11339.999999999998</v>
      </c>
      <c r="R79" s="1473">
        <f t="shared" si="11"/>
        <v>3.2791660140914232E-2</v>
      </c>
      <c r="S79" s="166">
        <f t="shared" si="12"/>
        <v>45359.999999999993</v>
      </c>
      <c r="T79" s="303">
        <f>S79</f>
        <v>45359.999999999993</v>
      </c>
      <c r="Y79" s="1474">
        <f>S79</f>
        <v>45359.999999999993</v>
      </c>
      <c r="Z79" s="286"/>
      <c r="AE79" s="1475">
        <f>S79</f>
        <v>45359.999999999993</v>
      </c>
    </row>
    <row r="80" spans="1:31" x14ac:dyDescent="0.3">
      <c r="A80" s="157"/>
      <c r="B80" s="157"/>
      <c r="C80" s="157"/>
      <c r="D80" s="157"/>
      <c r="E80" s="157"/>
      <c r="F80" s="158"/>
      <c r="G80" s="157"/>
      <c r="H80" s="157"/>
      <c r="M80" s="157"/>
      <c r="N80" s="166"/>
      <c r="O80" s="173"/>
      <c r="P80" s="166"/>
      <c r="Q80" s="166"/>
      <c r="R80" s="815"/>
      <c r="S80" s="166"/>
      <c r="Y80" s="188"/>
      <c r="Z80" s="286"/>
      <c r="AE80" s="286"/>
    </row>
    <row r="81" spans="1:31" x14ac:dyDescent="0.3">
      <c r="A81" s="172"/>
      <c r="B81" s="157"/>
      <c r="C81" s="157"/>
      <c r="D81" s="157"/>
      <c r="E81" s="157"/>
      <c r="F81" s="158"/>
      <c r="G81" s="157"/>
      <c r="H81" s="157"/>
      <c r="M81" s="157"/>
      <c r="N81" s="166"/>
      <c r="O81" s="173"/>
      <c r="P81" s="166"/>
      <c r="Q81" s="166"/>
      <c r="R81" s="173"/>
      <c r="S81" s="166"/>
      <c r="Y81" s="188"/>
      <c r="Z81" s="286"/>
      <c r="AE81" s="286"/>
    </row>
    <row r="82" spans="1:31" x14ac:dyDescent="0.3">
      <c r="A82" s="108" t="s">
        <v>970</v>
      </c>
      <c r="B82" s="108" t="s">
        <v>528</v>
      </c>
      <c r="C82" s="289"/>
      <c r="D82" s="252"/>
      <c r="E82" s="252"/>
      <c r="F82" s="253"/>
      <c r="G82" s="252"/>
      <c r="H82" s="252"/>
      <c r="I82" s="254"/>
      <c r="J82" s="254"/>
      <c r="K82" s="254"/>
      <c r="L82" s="254"/>
      <c r="M82" s="252"/>
      <c r="N82" s="255"/>
      <c r="O82" s="256"/>
      <c r="P82" s="290"/>
      <c r="Q82" s="257"/>
      <c r="R82" s="109"/>
      <c r="S82" s="166"/>
      <c r="Y82" s="188"/>
      <c r="Z82" s="286"/>
      <c r="AE82" s="286"/>
    </row>
    <row r="83" spans="1:31" x14ac:dyDescent="0.3">
      <c r="A83" s="108" t="s">
        <v>970</v>
      </c>
      <c r="B83" s="108" t="s">
        <v>529</v>
      </c>
      <c r="C83" s="289"/>
      <c r="D83" s="252"/>
      <c r="E83" s="252"/>
      <c r="F83" s="253"/>
      <c r="G83" s="252"/>
      <c r="H83" s="252"/>
      <c r="I83" s="254"/>
      <c r="J83" s="254"/>
      <c r="K83" s="254"/>
      <c r="L83" s="254"/>
      <c r="M83" s="252"/>
      <c r="N83" s="255"/>
      <c r="O83" s="256"/>
      <c r="P83" s="290"/>
      <c r="Q83" s="257">
        <v>20000</v>
      </c>
      <c r="R83" s="109">
        <f>Q83/Q85</f>
        <v>5.7833615768808182E-2</v>
      </c>
      <c r="S83" s="166">
        <f t="shared" ref="S83" si="14">Q83*4</f>
        <v>80000</v>
      </c>
      <c r="X83" s="303">
        <f>S83</f>
        <v>80000</v>
      </c>
      <c r="Y83" s="188"/>
      <c r="Z83" s="286"/>
      <c r="AE83" s="286"/>
    </row>
    <row r="84" spans="1:31" x14ac:dyDescent="0.3">
      <c r="I84" s="115">
        <f>I85/$M$85</f>
        <v>0.26923076923076922</v>
      </c>
      <c r="J84" s="115">
        <f t="shared" ref="J84:K84" si="15">J85/$M$85</f>
        <v>0.14423076923076922</v>
      </c>
      <c r="K84" s="115">
        <f t="shared" si="15"/>
        <v>0.58653846153846156</v>
      </c>
      <c r="R84" s="361"/>
      <c r="S84" s="166"/>
      <c r="Y84" s="1476"/>
      <c r="Z84" s="1452"/>
      <c r="AA84" s="208"/>
      <c r="AB84" s="208"/>
      <c r="AC84" s="208"/>
      <c r="AD84" s="208"/>
      <c r="AE84" s="1452"/>
    </row>
    <row r="85" spans="1:31" x14ac:dyDescent="0.3">
      <c r="A85" s="326" t="s">
        <v>531</v>
      </c>
      <c r="B85" s="327"/>
      <c r="C85" s="327"/>
      <c r="D85" s="327"/>
      <c r="E85" s="327"/>
      <c r="F85" s="328"/>
      <c r="G85" s="327"/>
      <c r="H85" s="327"/>
      <c r="I85" s="697">
        <f>I79+I78+I75+I73+I77+I74+I76</f>
        <v>56</v>
      </c>
      <c r="J85" s="697">
        <f>J74</f>
        <v>30</v>
      </c>
      <c r="K85" s="697">
        <f>K77+K75</f>
        <v>122</v>
      </c>
      <c r="L85" s="697"/>
      <c r="M85" s="327">
        <f>SUM(I85:L85)</f>
        <v>208</v>
      </c>
      <c r="N85" s="329"/>
      <c r="O85" s="330"/>
      <c r="P85" s="329"/>
      <c r="Q85" s="331">
        <f>SUM(Q72:Q84)</f>
        <v>345819.63680000004</v>
      </c>
      <c r="R85" s="332">
        <f>SUM(R73:R83)</f>
        <v>1</v>
      </c>
      <c r="S85" s="745">
        <f>SUM(S71:S84)</f>
        <v>1383278.5472000001</v>
      </c>
      <c r="T85" s="619">
        <f>SUM(T71:T83)</f>
        <v>418389.60000000003</v>
      </c>
      <c r="U85" s="620">
        <f>SUM(U71:U83)</f>
        <v>884888.94720000005</v>
      </c>
      <c r="V85" s="620">
        <f t="shared" ref="V85:X85" si="16">SUM(V71:V83)</f>
        <v>0</v>
      </c>
      <c r="W85" s="620">
        <f t="shared" si="16"/>
        <v>0</v>
      </c>
      <c r="X85" s="620">
        <f t="shared" si="16"/>
        <v>80000</v>
      </c>
      <c r="Y85" s="336">
        <f>SUM(Y73:Y83)</f>
        <v>593073.60000000009</v>
      </c>
      <c r="Z85" s="335">
        <f>SUM(Z73:Z83)</f>
        <v>710204.94720000005</v>
      </c>
      <c r="AA85" s="334">
        <f>SUM(AA70:AA84)</f>
        <v>806502.54720000003</v>
      </c>
      <c r="AB85" s="335">
        <f>SUM(AB70:AB84)</f>
        <v>140580</v>
      </c>
      <c r="AC85" s="335">
        <f>SUM(AC70:AC84)</f>
        <v>20880</v>
      </c>
      <c r="AD85" s="335">
        <f>SUM(AD70:AD84)</f>
        <v>242760.00000000003</v>
      </c>
      <c r="AE85" s="337">
        <f>SUM(AE70:AE84)</f>
        <v>92555.999999999985</v>
      </c>
    </row>
    <row r="86" spans="1:31" x14ac:dyDescent="0.3">
      <c r="A86" s="342" t="s">
        <v>532</v>
      </c>
      <c r="B86" s="343"/>
      <c r="C86" s="343"/>
      <c r="D86" s="343"/>
      <c r="E86" s="343"/>
      <c r="F86" s="344"/>
      <c r="G86" s="343"/>
      <c r="H86" s="343"/>
      <c r="I86" s="700">
        <f>I79+I78+I75+I73+I77+I74+I76</f>
        <v>56</v>
      </c>
      <c r="J86" s="700">
        <f>I79+I76+J74+I73</f>
        <v>46</v>
      </c>
      <c r="K86" s="700">
        <f>I79+K77+I76+K75+I73</f>
        <v>138</v>
      </c>
      <c r="L86" s="700"/>
      <c r="M86" s="343">
        <f>SUM(I86:L86)</f>
        <v>240</v>
      </c>
      <c r="N86" s="345"/>
      <c r="O86" s="346"/>
      <c r="P86" s="345"/>
      <c r="Q86" s="345"/>
      <c r="R86" s="347"/>
      <c r="S86" s="746"/>
      <c r="T86" s="349">
        <f>T85/S85</f>
        <v>0.30246229210081688</v>
      </c>
      <c r="U86" s="350">
        <f>U85/S85</f>
        <v>0.63970409213037494</v>
      </c>
      <c r="V86" s="524"/>
      <c r="W86" s="350">
        <f>W85/S85</f>
        <v>0</v>
      </c>
      <c r="X86" s="350">
        <f>X85/S85</f>
        <v>5.7833615768808182E-2</v>
      </c>
      <c r="Y86" s="351">
        <f>Y85/S85</f>
        <v>0.42874488381279802</v>
      </c>
      <c r="Z86" s="350">
        <f>Z85/S85</f>
        <v>0.51342150041839385</v>
      </c>
      <c r="AA86" s="747"/>
      <c r="AB86" s="524"/>
      <c r="AC86" s="524"/>
      <c r="AD86" s="524"/>
      <c r="AE86" s="356"/>
    </row>
    <row r="87" spans="1:31" x14ac:dyDescent="0.3">
      <c r="A87" s="243" t="s">
        <v>533</v>
      </c>
      <c r="B87" s="193"/>
      <c r="C87" s="193"/>
      <c r="D87" s="193"/>
      <c r="E87" s="193"/>
      <c r="F87" s="244"/>
      <c r="G87" s="193"/>
      <c r="H87" s="193"/>
      <c r="I87" s="2182">
        <f>I86/$M$86</f>
        <v>0.23333333333333334</v>
      </c>
      <c r="J87" s="2182">
        <f t="shared" ref="J87:K87" si="17">J86/$M$86</f>
        <v>0.19166666666666668</v>
      </c>
      <c r="K87" s="2182">
        <f t="shared" si="17"/>
        <v>0.57499999999999996</v>
      </c>
      <c r="L87" s="245"/>
      <c r="M87" s="193"/>
      <c r="N87" s="246"/>
      <c r="O87" s="1463"/>
      <c r="P87" s="196"/>
      <c r="Q87" s="194">
        <f>T85/4</f>
        <v>104597.40000000001</v>
      </c>
      <c r="R87" s="247">
        <f>Q87/Q92</f>
        <v>0.30246229210081688</v>
      </c>
      <c r="Y87" s="761">
        <f>I72+K77+I79</f>
        <v>102</v>
      </c>
      <c r="Z87" s="761">
        <f>I71+I73+I74+J74+K75+I76+I78</f>
        <v>106</v>
      </c>
      <c r="AB87" s="1464"/>
      <c r="AC87" s="143"/>
      <c r="AD87" s="143"/>
      <c r="AE87" s="143"/>
    </row>
    <row r="88" spans="1:31" x14ac:dyDescent="0.3">
      <c r="A88" s="251" t="s">
        <v>11</v>
      </c>
      <c r="B88" s="252"/>
      <c r="C88" s="252"/>
      <c r="D88" s="252"/>
      <c r="E88" s="252"/>
      <c r="F88" s="253"/>
      <c r="G88" s="252"/>
      <c r="H88" s="252"/>
      <c r="I88" s="254"/>
      <c r="J88" s="254"/>
      <c r="K88" s="254"/>
      <c r="L88" s="254"/>
      <c r="M88" s="252"/>
      <c r="N88" s="255"/>
      <c r="O88" s="1465"/>
      <c r="P88" s="256"/>
      <c r="Q88" s="257">
        <f>U85/4</f>
        <v>221222.23680000001</v>
      </c>
      <c r="R88" s="256">
        <f>Q88/Q92</f>
        <v>0.63970409213037494</v>
      </c>
      <c r="S88" s="1477">
        <f>Q85/M85</f>
        <v>1662.5944076923079</v>
      </c>
      <c r="T88" s="1478" t="s">
        <v>973</v>
      </c>
      <c r="Y88" s="195">
        <f>Y87/M85</f>
        <v>0.49038461538461536</v>
      </c>
      <c r="Z88" s="195">
        <f>Z87/M85</f>
        <v>0.50961538461538458</v>
      </c>
    </row>
    <row r="89" spans="1:31" x14ac:dyDescent="0.3">
      <c r="A89" s="251" t="s">
        <v>536</v>
      </c>
      <c r="B89" s="252"/>
      <c r="C89" s="252"/>
      <c r="D89" s="252"/>
      <c r="E89" s="252"/>
      <c r="F89" s="253"/>
      <c r="G89" s="252"/>
      <c r="H89" s="252"/>
      <c r="I89" s="254"/>
      <c r="J89" s="254"/>
      <c r="K89" s="254"/>
      <c r="L89" s="254"/>
      <c r="M89" s="252"/>
      <c r="N89" s="255"/>
      <c r="O89" s="1465"/>
      <c r="P89" s="256"/>
      <c r="Q89" s="257">
        <f>V85/4</f>
        <v>0</v>
      </c>
      <c r="R89" s="109"/>
      <c r="Y89" s="2728" t="s">
        <v>537</v>
      </c>
      <c r="Z89" s="2729"/>
    </row>
    <row r="90" spans="1:31" x14ac:dyDescent="0.3">
      <c r="A90" s="251" t="s">
        <v>528</v>
      </c>
      <c r="B90" s="252"/>
      <c r="C90" s="252"/>
      <c r="D90" s="252"/>
      <c r="E90" s="252"/>
      <c r="F90" s="253"/>
      <c r="G90" s="252"/>
      <c r="H90" s="252"/>
      <c r="I90" s="254"/>
      <c r="J90" s="254"/>
      <c r="K90" s="254"/>
      <c r="L90" s="254"/>
      <c r="M90" s="252"/>
      <c r="N90" s="255"/>
      <c r="O90" s="1465"/>
      <c r="P90" s="256"/>
      <c r="Q90" s="257">
        <f>R82/4</f>
        <v>0</v>
      </c>
      <c r="R90" s="262"/>
    </row>
    <row r="91" spans="1:31" x14ac:dyDescent="0.3">
      <c r="A91" s="251" t="s">
        <v>529</v>
      </c>
      <c r="B91" s="252"/>
      <c r="C91" s="252"/>
      <c r="D91" s="252"/>
      <c r="E91" s="252"/>
      <c r="F91" s="253"/>
      <c r="G91" s="252"/>
      <c r="H91" s="252"/>
      <c r="I91" s="254"/>
      <c r="J91" s="254"/>
      <c r="K91" s="254"/>
      <c r="L91" s="254"/>
      <c r="M91" s="252"/>
      <c r="N91" s="255"/>
      <c r="O91" s="1465"/>
      <c r="P91" s="256"/>
      <c r="Q91" s="257">
        <f>X85/4</f>
        <v>20000</v>
      </c>
      <c r="R91" s="262">
        <f>Q91/Q92</f>
        <v>5.7833615768808182E-2</v>
      </c>
    </row>
    <row r="92" spans="1:31" x14ac:dyDescent="0.3">
      <c r="A92" s="243"/>
      <c r="B92" s="193"/>
      <c r="C92" s="193"/>
      <c r="D92" s="193"/>
      <c r="E92" s="193"/>
      <c r="F92" s="244"/>
      <c r="G92" s="193"/>
      <c r="H92" s="193"/>
      <c r="I92" s="245"/>
      <c r="J92" s="245"/>
      <c r="K92" s="245"/>
      <c r="L92" s="245"/>
      <c r="M92" s="193"/>
      <c r="N92" s="246"/>
      <c r="O92" s="1465"/>
      <c r="P92" s="196"/>
      <c r="Q92" s="194">
        <f>SUM(Q87:Q91)</f>
        <v>345819.63680000004</v>
      </c>
      <c r="R92" s="247">
        <f>SUM(R87:R91)</f>
        <v>1</v>
      </c>
    </row>
    <row r="95" spans="1:31" x14ac:dyDescent="0.3">
      <c r="E95" s="1" t="s">
        <v>562</v>
      </c>
      <c r="F95" s="2" t="s">
        <v>906</v>
      </c>
    </row>
    <row r="96" spans="1:31" x14ac:dyDescent="0.3">
      <c r="E96" s="1" t="s">
        <v>473</v>
      </c>
      <c r="F96" s="2" t="s">
        <v>52</v>
      </c>
    </row>
    <row r="97" spans="1:31" x14ac:dyDescent="0.3">
      <c r="E97" s="1" t="s">
        <v>475</v>
      </c>
      <c r="F97" s="2" t="s">
        <v>980</v>
      </c>
    </row>
    <row r="98" spans="1:31" x14ac:dyDescent="0.3">
      <c r="E98" s="1" t="s">
        <v>477</v>
      </c>
      <c r="F98" s="2" t="s">
        <v>981</v>
      </c>
    </row>
    <row r="100" spans="1:31" ht="18" x14ac:dyDescent="0.35">
      <c r="A100" s="1037" t="s">
        <v>567</v>
      </c>
    </row>
    <row r="101" spans="1:31" ht="18" x14ac:dyDescent="0.35">
      <c r="A101" s="1037"/>
    </row>
    <row r="102" spans="1:31" x14ac:dyDescent="0.3">
      <c r="A102" s="2587" t="s">
        <v>480</v>
      </c>
      <c r="B102" s="2588"/>
      <c r="C102" s="2588"/>
      <c r="D102" s="2588"/>
      <c r="E102" s="2588"/>
      <c r="F102" s="2588"/>
      <c r="G102" s="2588"/>
      <c r="H102" s="2588"/>
      <c r="I102" s="2588"/>
      <c r="J102" s="2588"/>
      <c r="K102" s="2588"/>
      <c r="L102" s="2588"/>
      <c r="M102" s="2588"/>
      <c r="N102" s="2588"/>
      <c r="O102" s="2588"/>
      <c r="P102" s="2588"/>
      <c r="Q102" s="2588"/>
      <c r="R102" s="2589"/>
      <c r="S102" s="2563" t="s">
        <v>584</v>
      </c>
      <c r="T102" s="2564"/>
      <c r="U102" s="2564"/>
      <c r="V102" s="2564"/>
      <c r="W102" s="2564"/>
      <c r="X102" s="2564"/>
      <c r="Y102" s="2564"/>
      <c r="Z102" s="2564"/>
      <c r="AA102" s="2564"/>
      <c r="AB102" s="2564"/>
      <c r="AC102" s="2564"/>
      <c r="AD102" s="2564"/>
      <c r="AE102" s="2576"/>
    </row>
    <row r="103" spans="1:31" ht="28.8" x14ac:dyDescent="0.3">
      <c r="A103" s="2737" t="s">
        <v>482</v>
      </c>
      <c r="B103" s="2730" t="s">
        <v>483</v>
      </c>
      <c r="C103" s="2730" t="s">
        <v>484</v>
      </c>
      <c r="D103" s="2730" t="s">
        <v>485</v>
      </c>
      <c r="E103" s="2730" t="s">
        <v>486</v>
      </c>
      <c r="F103" s="2730" t="s">
        <v>487</v>
      </c>
      <c r="G103" s="2730" t="s">
        <v>488</v>
      </c>
      <c r="H103" s="2730" t="s">
        <v>489</v>
      </c>
      <c r="I103" s="2732" t="s">
        <v>490</v>
      </c>
      <c r="J103" s="2732"/>
      <c r="K103" s="2732"/>
      <c r="L103" s="2733"/>
      <c r="M103" s="1479" t="s">
        <v>491</v>
      </c>
      <c r="N103" s="1480" t="s">
        <v>964</v>
      </c>
      <c r="O103" s="1479" t="s">
        <v>493</v>
      </c>
      <c r="P103" s="1480" t="s">
        <v>964</v>
      </c>
      <c r="Q103" s="1480" t="s">
        <v>965</v>
      </c>
      <c r="R103" s="2734" t="s">
        <v>495</v>
      </c>
      <c r="S103" s="1073" t="s">
        <v>496</v>
      </c>
      <c r="T103" s="2736" t="s">
        <v>497</v>
      </c>
      <c r="U103" s="2736"/>
      <c r="V103" s="2736"/>
      <c r="W103" s="2736"/>
      <c r="X103" s="2736"/>
      <c r="Y103" s="2554" t="s">
        <v>498</v>
      </c>
      <c r="Z103" s="2555"/>
      <c r="AA103" s="2552" t="s">
        <v>499</v>
      </c>
      <c r="AB103" s="2553"/>
      <c r="AC103" s="2553"/>
      <c r="AD103" s="2553"/>
      <c r="AE103" s="2725"/>
    </row>
    <row r="104" spans="1:31" ht="43.2" x14ac:dyDescent="0.3">
      <c r="A104" s="2738"/>
      <c r="B104" s="2731"/>
      <c r="C104" s="2731"/>
      <c r="D104" s="2731"/>
      <c r="E104" s="2731"/>
      <c r="F104" s="2731"/>
      <c r="G104" s="2731"/>
      <c r="H104" s="2731"/>
      <c r="I104" s="1481" t="s">
        <v>500</v>
      </c>
      <c r="J104" s="1481" t="s">
        <v>501</v>
      </c>
      <c r="K104" s="1481" t="s">
        <v>502</v>
      </c>
      <c r="L104" s="1481" t="s">
        <v>503</v>
      </c>
      <c r="M104" s="1481" t="s">
        <v>504</v>
      </c>
      <c r="N104" s="1482" t="s">
        <v>966</v>
      </c>
      <c r="O104" s="1481" t="s">
        <v>506</v>
      </c>
      <c r="P104" s="1482" t="s">
        <v>967</v>
      </c>
      <c r="Q104" s="1482" t="s">
        <v>967</v>
      </c>
      <c r="R104" s="2735"/>
      <c r="S104" s="1098" t="s">
        <v>508</v>
      </c>
      <c r="T104" s="2555"/>
      <c r="U104" s="2555"/>
      <c r="V104" s="2555"/>
      <c r="W104" s="2555"/>
      <c r="X104" s="2555"/>
      <c r="Y104" s="2554"/>
      <c r="Z104" s="2555"/>
      <c r="AA104" s="2557"/>
      <c r="AB104" s="2558"/>
      <c r="AC104" s="2558"/>
      <c r="AD104" s="2558"/>
      <c r="AE104" s="2726"/>
    </row>
    <row r="105" spans="1:31" ht="18" x14ac:dyDescent="0.35">
      <c r="A105" s="2727" t="s">
        <v>568</v>
      </c>
      <c r="B105" s="2380"/>
      <c r="C105" s="2380"/>
      <c r="D105" s="2380"/>
      <c r="E105" s="2380"/>
      <c r="F105" s="2380"/>
      <c r="G105" s="2380"/>
      <c r="H105" s="2380"/>
      <c r="I105" s="2380"/>
      <c r="J105" s="2380"/>
      <c r="K105" s="2380"/>
      <c r="L105" s="2380"/>
      <c r="M105" s="2380"/>
      <c r="N105" s="2380"/>
      <c r="O105" s="2380"/>
      <c r="P105" s="2380"/>
      <c r="Q105" s="2380"/>
      <c r="R105" s="2380"/>
      <c r="S105" s="2381"/>
      <c r="T105" s="563" t="s">
        <v>510</v>
      </c>
      <c r="U105" s="561" t="s">
        <v>11</v>
      </c>
      <c r="V105" s="561" t="s">
        <v>511</v>
      </c>
      <c r="W105" s="561" t="s">
        <v>512</v>
      </c>
      <c r="X105" s="561" t="s">
        <v>513</v>
      </c>
      <c r="Y105" s="563" t="s">
        <v>514</v>
      </c>
      <c r="Z105" s="561" t="s">
        <v>515</v>
      </c>
      <c r="AA105" s="563" t="s">
        <v>302</v>
      </c>
      <c r="AB105" s="561" t="s">
        <v>6</v>
      </c>
      <c r="AC105" s="561" t="s">
        <v>194</v>
      </c>
      <c r="AD105" s="561" t="s">
        <v>693</v>
      </c>
      <c r="AE105" s="1472" t="s">
        <v>7</v>
      </c>
    </row>
    <row r="106" spans="1:31" x14ac:dyDescent="0.3">
      <c r="A106" s="154"/>
      <c r="B106" s="462"/>
      <c r="C106" s="462"/>
      <c r="D106" s="462"/>
      <c r="E106" s="462"/>
      <c r="F106" s="463"/>
      <c r="G106" s="462"/>
      <c r="H106" s="462"/>
      <c r="I106" s="465"/>
      <c r="J106" s="465"/>
      <c r="K106" s="465"/>
      <c r="L106" s="465"/>
      <c r="M106" s="462"/>
      <c r="N106" s="468"/>
      <c r="O106" s="469"/>
      <c r="P106" s="468"/>
      <c r="Q106" s="468"/>
      <c r="R106" s="469"/>
      <c r="S106" s="468"/>
      <c r="T106" s="464"/>
      <c r="U106" s="465"/>
      <c r="V106" s="465"/>
      <c r="W106" s="465"/>
      <c r="X106" s="466"/>
      <c r="Y106" s="464"/>
      <c r="Z106" s="466"/>
      <c r="AA106" s="464"/>
      <c r="AB106" s="465"/>
      <c r="AC106" s="465"/>
      <c r="AD106" s="465"/>
      <c r="AE106" s="466"/>
    </row>
    <row r="107" spans="1:31" x14ac:dyDescent="0.3">
      <c r="A107" s="157" t="s">
        <v>970</v>
      </c>
      <c r="B107" s="157" t="s">
        <v>189</v>
      </c>
      <c r="C107" s="1416" t="s">
        <v>971</v>
      </c>
      <c r="D107" s="157" t="s">
        <v>190</v>
      </c>
      <c r="E107" s="157" t="s">
        <v>520</v>
      </c>
      <c r="F107" s="158" t="s">
        <v>895</v>
      </c>
      <c r="G107" s="157">
        <v>2</v>
      </c>
      <c r="H107" s="157" t="s">
        <v>24</v>
      </c>
      <c r="I107" s="175">
        <v>2</v>
      </c>
      <c r="J107" s="176"/>
      <c r="K107" s="176"/>
      <c r="L107" s="177"/>
      <c r="M107" s="157">
        <v>1</v>
      </c>
      <c r="N107" s="503">
        <v>22690</v>
      </c>
      <c r="O107" s="173">
        <v>0.72</v>
      </c>
      <c r="P107" s="503">
        <f t="shared" ref="P107:P111" si="18">N107*(1-O107)</f>
        <v>6353.2000000000007</v>
      </c>
      <c r="Q107" s="503">
        <f t="shared" ref="Q107:Q110" si="19">P107*M107*G107</f>
        <v>12706.400000000001</v>
      </c>
      <c r="R107" s="815">
        <f>Q107/$Q$116</f>
        <v>7.6897438981218896E-2</v>
      </c>
      <c r="S107" s="166">
        <f>Q107*4</f>
        <v>50825.600000000006</v>
      </c>
      <c r="T107" s="1474">
        <f>S107</f>
        <v>50825.600000000006</v>
      </c>
      <c r="X107" s="286"/>
      <c r="Y107" s="188"/>
      <c r="Z107" s="1475">
        <f>S107</f>
        <v>50825.600000000006</v>
      </c>
      <c r="AA107" s="1474">
        <f>S107</f>
        <v>50825.600000000006</v>
      </c>
      <c r="AE107" s="286"/>
    </row>
    <row r="108" spans="1:31" x14ac:dyDescent="0.3">
      <c r="A108" s="157" t="s">
        <v>970</v>
      </c>
      <c r="B108" s="157" t="s">
        <v>189</v>
      </c>
      <c r="C108" s="1416" t="s">
        <v>972</v>
      </c>
      <c r="D108" s="157" t="s">
        <v>192</v>
      </c>
      <c r="E108" s="157" t="s">
        <v>518</v>
      </c>
      <c r="F108" s="158" t="s">
        <v>552</v>
      </c>
      <c r="G108" s="157">
        <v>10</v>
      </c>
      <c r="H108" s="157" t="s">
        <v>106</v>
      </c>
      <c r="I108" s="285">
        <v>10</v>
      </c>
      <c r="J108" s="179"/>
      <c r="K108" s="179"/>
      <c r="L108" s="180"/>
      <c r="M108" s="157">
        <v>1</v>
      </c>
      <c r="N108" s="503">
        <f>12439.21*60%</f>
        <v>7463.5259999999989</v>
      </c>
      <c r="O108" s="173">
        <v>0.72</v>
      </c>
      <c r="P108" s="503">
        <f t="shared" si="18"/>
        <v>2089.78728</v>
      </c>
      <c r="Q108" s="503">
        <f t="shared" si="19"/>
        <v>20897.872800000001</v>
      </c>
      <c r="R108" s="1473">
        <f t="shared" ref="R108:R111" si="20">Q108/$Q$116</f>
        <v>0.12647114040761143</v>
      </c>
      <c r="S108" s="166">
        <f t="shared" ref="S108:S111" si="21">Q108*4</f>
        <v>83591.491200000004</v>
      </c>
      <c r="T108" s="188"/>
      <c r="U108" s="303">
        <f>S108</f>
        <v>83591.491200000004</v>
      </c>
      <c r="X108" s="286"/>
      <c r="Y108" s="1474">
        <f>S108</f>
        <v>83591.491200000004</v>
      </c>
      <c r="Z108" s="286"/>
      <c r="AA108" s="1474">
        <f>S108</f>
        <v>83591.491200000004</v>
      </c>
      <c r="AE108" s="286"/>
    </row>
    <row r="109" spans="1:31" x14ac:dyDescent="0.3">
      <c r="A109" s="157" t="s">
        <v>970</v>
      </c>
      <c r="B109" s="157" t="s">
        <v>183</v>
      </c>
      <c r="C109" s="1416" t="s">
        <v>972</v>
      </c>
      <c r="D109" s="157" t="s">
        <v>193</v>
      </c>
      <c r="E109" s="157" t="s">
        <v>518</v>
      </c>
      <c r="F109" s="158" t="s">
        <v>552</v>
      </c>
      <c r="G109" s="157">
        <v>1</v>
      </c>
      <c r="H109" s="157" t="s">
        <v>22</v>
      </c>
      <c r="I109" s="772"/>
      <c r="K109" s="285">
        <v>22</v>
      </c>
      <c r="L109" s="180"/>
      <c r="M109" s="163">
        <v>1</v>
      </c>
      <c r="N109" s="503">
        <v>63900</v>
      </c>
      <c r="O109" s="173">
        <v>0.45</v>
      </c>
      <c r="P109" s="503">
        <f t="shared" si="18"/>
        <v>35145</v>
      </c>
      <c r="Q109" s="503">
        <f t="shared" si="19"/>
        <v>35145</v>
      </c>
      <c r="R109" s="1473">
        <f t="shared" si="20"/>
        <v>0.21269285501754528</v>
      </c>
      <c r="S109" s="166">
        <f t="shared" si="21"/>
        <v>140580</v>
      </c>
      <c r="T109" s="188"/>
      <c r="U109" s="303">
        <f>S109</f>
        <v>140580</v>
      </c>
      <c r="X109" s="286"/>
      <c r="Y109" s="1474">
        <f>S109</f>
        <v>140580</v>
      </c>
      <c r="Z109" s="286"/>
      <c r="AA109" s="188"/>
      <c r="AB109" s="303">
        <f>S109</f>
        <v>140580</v>
      </c>
      <c r="AE109" s="286"/>
    </row>
    <row r="110" spans="1:31" x14ac:dyDescent="0.3">
      <c r="A110" s="157" t="s">
        <v>970</v>
      </c>
      <c r="B110" s="157" t="s">
        <v>195</v>
      </c>
      <c r="C110" s="1416" t="s">
        <v>972</v>
      </c>
      <c r="D110" s="157" t="s">
        <v>196</v>
      </c>
      <c r="E110" s="157" t="s">
        <v>520</v>
      </c>
      <c r="F110" s="158" t="s">
        <v>303</v>
      </c>
      <c r="G110" s="157">
        <v>1</v>
      </c>
      <c r="H110" s="157" t="s">
        <v>22</v>
      </c>
      <c r="J110" s="688">
        <v>100</v>
      </c>
      <c r="L110" s="774"/>
      <c r="M110" s="163">
        <v>1</v>
      </c>
      <c r="N110" s="166">
        <v>202300</v>
      </c>
      <c r="O110" s="173">
        <v>0.7</v>
      </c>
      <c r="P110" s="166">
        <f t="shared" si="18"/>
        <v>60690.000000000007</v>
      </c>
      <c r="Q110" s="166">
        <f t="shared" si="19"/>
        <v>60690.000000000007</v>
      </c>
      <c r="R110" s="815">
        <f t="shared" si="20"/>
        <v>0.36728778975714399</v>
      </c>
      <c r="S110" s="166">
        <f t="shared" si="21"/>
        <v>242760.00000000003</v>
      </c>
      <c r="T110" s="188"/>
      <c r="U110" s="303">
        <f>S110</f>
        <v>242760.00000000003</v>
      </c>
      <c r="X110" s="286"/>
      <c r="Y110" s="188"/>
      <c r="Z110" s="1475">
        <f>S110</f>
        <v>242760.00000000003</v>
      </c>
      <c r="AA110" s="188"/>
      <c r="AD110" s="303">
        <f>S110</f>
        <v>242760.00000000003</v>
      </c>
      <c r="AE110" s="286"/>
    </row>
    <row r="111" spans="1:31" x14ac:dyDescent="0.3">
      <c r="A111" s="157" t="s">
        <v>970</v>
      </c>
      <c r="B111" s="157" t="s">
        <v>197</v>
      </c>
      <c r="C111" s="1416" t="s">
        <v>971</v>
      </c>
      <c r="D111" s="157" t="s">
        <v>102</v>
      </c>
      <c r="E111" s="157" t="s">
        <v>518</v>
      </c>
      <c r="F111" s="158" t="s">
        <v>640</v>
      </c>
      <c r="G111" s="157">
        <v>1</v>
      </c>
      <c r="H111" s="157" t="s">
        <v>22</v>
      </c>
      <c r="I111" s="285">
        <v>10</v>
      </c>
      <c r="M111" s="157">
        <v>1</v>
      </c>
      <c r="N111" s="166">
        <v>26220</v>
      </c>
      <c r="O111" s="173">
        <v>0.55000000000000004</v>
      </c>
      <c r="P111" s="166">
        <f t="shared" si="18"/>
        <v>11798.999999999998</v>
      </c>
      <c r="Q111" s="166">
        <f>P111*M111*G111</f>
        <v>11798.999999999998</v>
      </c>
      <c r="R111" s="1473">
        <f t="shared" si="20"/>
        <v>7.1405975141613787E-2</v>
      </c>
      <c r="S111" s="166">
        <f t="shared" si="21"/>
        <v>47195.999999999993</v>
      </c>
      <c r="T111" s="1474">
        <f>S111</f>
        <v>47195.999999999993</v>
      </c>
      <c r="X111" s="286"/>
      <c r="Y111" s="1474">
        <f>S111</f>
        <v>47195.999999999993</v>
      </c>
      <c r="Z111" s="286"/>
      <c r="AA111" s="188"/>
      <c r="AE111" s="1475">
        <f>S111</f>
        <v>47195.999999999993</v>
      </c>
    </row>
    <row r="112" spans="1:31" x14ac:dyDescent="0.3">
      <c r="A112" s="172"/>
      <c r="B112" s="157"/>
      <c r="C112" s="157"/>
      <c r="D112" s="157"/>
      <c r="E112" s="157"/>
      <c r="F112" s="158"/>
      <c r="G112" s="157"/>
      <c r="H112" s="157"/>
      <c r="M112" s="157"/>
      <c r="N112" s="166"/>
      <c r="O112" s="173"/>
      <c r="P112" s="166"/>
      <c r="Q112" s="166"/>
      <c r="R112" s="173"/>
      <c r="S112" s="166"/>
      <c r="T112" s="188"/>
      <c r="X112" s="286"/>
      <c r="Y112" s="188"/>
      <c r="Z112" s="286"/>
      <c r="AA112" s="188"/>
      <c r="AE112" s="286"/>
    </row>
    <row r="113" spans="1:31" x14ac:dyDescent="0.3">
      <c r="A113" s="108" t="s">
        <v>970</v>
      </c>
      <c r="B113" s="108" t="s">
        <v>528</v>
      </c>
      <c r="C113" s="289"/>
      <c r="D113" s="252"/>
      <c r="E113" s="252"/>
      <c r="F113" s="253"/>
      <c r="G113" s="252"/>
      <c r="H113" s="252"/>
      <c r="I113" s="254"/>
      <c r="J113" s="254"/>
      <c r="K113" s="254"/>
      <c r="L113" s="254"/>
      <c r="M113" s="252"/>
      <c r="N113" s="255"/>
      <c r="O113" s="256"/>
      <c r="P113" s="290"/>
      <c r="Q113" s="257"/>
      <c r="R113" s="109"/>
      <c r="S113" s="166"/>
      <c r="T113" s="188"/>
      <c r="X113" s="286"/>
      <c r="Y113" s="188"/>
      <c r="Z113" s="286"/>
      <c r="AA113" s="188"/>
      <c r="AE113" s="286"/>
    </row>
    <row r="114" spans="1:31" x14ac:dyDescent="0.3">
      <c r="A114" s="108" t="s">
        <v>970</v>
      </c>
      <c r="B114" s="108" t="s">
        <v>529</v>
      </c>
      <c r="C114" s="289"/>
      <c r="D114" s="252"/>
      <c r="E114" s="252"/>
      <c r="F114" s="253"/>
      <c r="G114" s="252"/>
      <c r="H114" s="252"/>
      <c r="I114" s="254"/>
      <c r="J114" s="254"/>
      <c r="K114" s="254"/>
      <c r="L114" s="254"/>
      <c r="M114" s="252"/>
      <c r="N114" s="255"/>
      <c r="O114" s="256"/>
      <c r="P114" s="290"/>
      <c r="Q114" s="257">
        <v>24000</v>
      </c>
      <c r="R114" s="109">
        <f>Q114/Q116</f>
        <v>0.14524480069486662</v>
      </c>
      <c r="S114" s="166">
        <f t="shared" ref="S114" si="22">Q114*4</f>
        <v>96000</v>
      </c>
      <c r="T114" s="188"/>
      <c r="X114" s="1475">
        <f>S114</f>
        <v>96000</v>
      </c>
      <c r="Y114" s="188"/>
      <c r="Z114" s="286"/>
      <c r="AA114" s="188"/>
      <c r="AE114" s="286"/>
    </row>
    <row r="115" spans="1:31" x14ac:dyDescent="0.3">
      <c r="I115" s="115">
        <f>I116/$M$116</f>
        <v>0.15277777777777779</v>
      </c>
      <c r="J115" s="115">
        <f t="shared" ref="J115:K115" si="23">J116/$M$116</f>
        <v>0.69444444444444442</v>
      </c>
      <c r="K115" s="115">
        <f t="shared" si="23"/>
        <v>0.15277777777777779</v>
      </c>
      <c r="R115" s="361"/>
      <c r="S115" s="166"/>
      <c r="T115" s="188"/>
      <c r="X115" s="286"/>
      <c r="Y115" s="188"/>
      <c r="Z115" s="286"/>
      <c r="AA115" s="188"/>
      <c r="AE115" s="286"/>
    </row>
    <row r="116" spans="1:31" x14ac:dyDescent="0.3">
      <c r="A116" s="396" t="s">
        <v>531</v>
      </c>
      <c r="B116" s="373"/>
      <c r="C116" s="373"/>
      <c r="D116" s="373"/>
      <c r="E116" s="373"/>
      <c r="F116" s="397"/>
      <c r="G116" s="373"/>
      <c r="H116" s="373"/>
      <c r="I116" s="705">
        <f>I111+I108+I107</f>
        <v>22</v>
      </c>
      <c r="J116" s="705">
        <f>J110</f>
        <v>100</v>
      </c>
      <c r="K116" s="705">
        <f>K109</f>
        <v>22</v>
      </c>
      <c r="L116" s="705"/>
      <c r="M116" s="373">
        <f>SUM(I116:L116)</f>
        <v>144</v>
      </c>
      <c r="N116" s="398"/>
      <c r="O116" s="399"/>
      <c r="P116" s="398"/>
      <c r="Q116" s="400">
        <f>SUM(Q103:Q115)</f>
        <v>165238.27280000001</v>
      </c>
      <c r="R116" s="401">
        <f>SUM(R104:R114)</f>
        <v>1</v>
      </c>
      <c r="S116" s="1483">
        <f>SUM(S102:S115)</f>
        <v>660953.09120000002</v>
      </c>
      <c r="T116" s="706">
        <f>SUM(T102:T114)</f>
        <v>98021.6</v>
      </c>
      <c r="U116" s="1484">
        <f>SUM(U102:U114)</f>
        <v>466931.49120000005</v>
      </c>
      <c r="V116" s="1484">
        <f t="shared" ref="V116:X116" si="24">SUM(V102:V114)</f>
        <v>0</v>
      </c>
      <c r="W116" s="1484">
        <f t="shared" si="24"/>
        <v>0</v>
      </c>
      <c r="X116" s="1484">
        <f t="shared" si="24"/>
        <v>96000</v>
      </c>
      <c r="Y116" s="406">
        <f>SUM(Y106:Y114)</f>
        <v>271367.49119999999</v>
      </c>
      <c r="Z116" s="404">
        <f>SUM(Z106:Z114)</f>
        <v>293585.60000000003</v>
      </c>
      <c r="AA116" s="403">
        <f>SUM(AA101:AA115)</f>
        <v>134417.09120000002</v>
      </c>
      <c r="AB116" s="404">
        <f>SUM(AB101:AB115)</f>
        <v>140580</v>
      </c>
      <c r="AC116" s="404">
        <f>SUM(AC101:AC115)</f>
        <v>0</v>
      </c>
      <c r="AD116" s="404">
        <f>SUM(AD101:AD115)</f>
        <v>242760.00000000003</v>
      </c>
      <c r="AE116" s="405">
        <f>SUM(AE101:AE115)</f>
        <v>47195.999999999993</v>
      </c>
    </row>
    <row r="117" spans="1:31" x14ac:dyDescent="0.3">
      <c r="A117" s="410" t="s">
        <v>532</v>
      </c>
      <c r="B117" s="411"/>
      <c r="C117" s="411"/>
      <c r="D117" s="411"/>
      <c r="E117" s="411"/>
      <c r="F117" s="412"/>
      <c r="G117" s="411"/>
      <c r="H117" s="411"/>
      <c r="I117" s="707">
        <f>I111+I108+I107</f>
        <v>22</v>
      </c>
      <c r="J117" s="707">
        <f>J110+I107</f>
        <v>102</v>
      </c>
      <c r="K117" s="707">
        <f>K109+I107</f>
        <v>24</v>
      </c>
      <c r="L117" s="707"/>
      <c r="M117" s="411">
        <f>SUM(I117:L117)</f>
        <v>148</v>
      </c>
      <c r="N117" s="413"/>
      <c r="O117" s="414"/>
      <c r="P117" s="413"/>
      <c r="Q117" s="413"/>
      <c r="R117" s="415"/>
      <c r="S117" s="1034"/>
      <c r="T117" s="417">
        <f>T116/S116</f>
        <v>0.14830341412283268</v>
      </c>
      <c r="U117" s="418">
        <f>U116/S116</f>
        <v>0.70645178518230078</v>
      </c>
      <c r="V117" s="550"/>
      <c r="W117" s="418">
        <f>W116/S116</f>
        <v>0</v>
      </c>
      <c r="X117" s="418">
        <f>X116/S116</f>
        <v>0.14524480069486662</v>
      </c>
      <c r="Y117" s="420">
        <f>Y116/S116</f>
        <v>0.41056997056677053</v>
      </c>
      <c r="Z117" s="418">
        <f>Z116/S116</f>
        <v>0.44418522873836286</v>
      </c>
      <c r="AA117" s="760"/>
      <c r="AB117" s="550"/>
      <c r="AC117" s="550"/>
      <c r="AD117" s="550"/>
      <c r="AE117" s="424"/>
    </row>
    <row r="118" spans="1:31" x14ac:dyDescent="0.3">
      <c r="A118" s="243" t="s">
        <v>533</v>
      </c>
      <c r="B118" s="193"/>
      <c r="C118" s="193"/>
      <c r="D118" s="193"/>
      <c r="E118" s="193"/>
      <c r="F118" s="244"/>
      <c r="G118" s="193"/>
      <c r="H118" s="193"/>
      <c r="I118" s="2182">
        <f>I117/$M$117</f>
        <v>0.14864864864864866</v>
      </c>
      <c r="J118" s="2182">
        <f t="shared" ref="J118:K118" si="25">J117/$M$117</f>
        <v>0.68918918918918914</v>
      </c>
      <c r="K118" s="2182">
        <f t="shared" si="25"/>
        <v>0.16216216216216217</v>
      </c>
      <c r="L118" s="245"/>
      <c r="M118" s="193"/>
      <c r="N118" s="246"/>
      <c r="O118" s="1463"/>
      <c r="P118" s="196"/>
      <c r="Q118" s="194">
        <f>T116/4</f>
        <v>24505.4</v>
      </c>
      <c r="R118" s="247">
        <f>Q118/Q123</f>
        <v>0.14830341412283268</v>
      </c>
      <c r="Y118" s="761">
        <f>I108+K109+I111</f>
        <v>42</v>
      </c>
      <c r="Z118" s="761">
        <f>I107+J110</f>
        <v>102</v>
      </c>
      <c r="AB118" s="1464"/>
      <c r="AC118" s="143"/>
      <c r="AD118" s="143"/>
      <c r="AE118" s="143"/>
    </row>
    <row r="119" spans="1:31" x14ac:dyDescent="0.3">
      <c r="A119" s="251" t="s">
        <v>11</v>
      </c>
      <c r="B119" s="252"/>
      <c r="C119" s="252"/>
      <c r="D119" s="252"/>
      <c r="E119" s="252"/>
      <c r="F119" s="253"/>
      <c r="G119" s="252"/>
      <c r="H119" s="252"/>
      <c r="I119" s="254"/>
      <c r="J119" s="254"/>
      <c r="K119" s="254"/>
      <c r="L119" s="254"/>
      <c r="M119" s="252"/>
      <c r="N119" s="255"/>
      <c r="O119" s="1465"/>
      <c r="P119" s="256"/>
      <c r="Q119" s="257">
        <f>U116/4</f>
        <v>116732.87280000001</v>
      </c>
      <c r="R119" s="256">
        <f>Q119/Q123</f>
        <v>0.70645178518230078</v>
      </c>
      <c r="S119" s="1485">
        <f>Q116/M116</f>
        <v>1147.4880055555557</v>
      </c>
      <c r="T119" s="1486" t="s">
        <v>973</v>
      </c>
      <c r="Y119" s="195">
        <f>Y118/M116</f>
        <v>0.29166666666666669</v>
      </c>
      <c r="Z119" s="195">
        <f>Z118/M116</f>
        <v>0.70833333333333337</v>
      </c>
    </row>
    <row r="120" spans="1:31" x14ac:dyDescent="0.3">
      <c r="A120" s="251" t="s">
        <v>536</v>
      </c>
      <c r="B120" s="252"/>
      <c r="C120" s="252"/>
      <c r="D120" s="252"/>
      <c r="E120" s="252"/>
      <c r="F120" s="253"/>
      <c r="G120" s="252"/>
      <c r="H120" s="252"/>
      <c r="I120" s="254"/>
      <c r="J120" s="254"/>
      <c r="K120" s="254"/>
      <c r="L120" s="254"/>
      <c r="M120" s="252"/>
      <c r="N120" s="255"/>
      <c r="O120" s="1465"/>
      <c r="P120" s="256"/>
      <c r="Q120" s="257">
        <f>V116/4</f>
        <v>0</v>
      </c>
      <c r="R120" s="109"/>
      <c r="Y120" s="2728" t="s">
        <v>537</v>
      </c>
      <c r="Z120" s="2729"/>
    </row>
    <row r="121" spans="1:31" x14ac:dyDescent="0.3">
      <c r="A121" s="251" t="s">
        <v>528</v>
      </c>
      <c r="B121" s="252"/>
      <c r="C121" s="252"/>
      <c r="D121" s="252"/>
      <c r="E121" s="252"/>
      <c r="F121" s="253"/>
      <c r="G121" s="252"/>
      <c r="H121" s="252"/>
      <c r="I121" s="254"/>
      <c r="J121" s="254"/>
      <c r="K121" s="254"/>
      <c r="L121" s="254"/>
      <c r="M121" s="252"/>
      <c r="N121" s="255"/>
      <c r="O121" s="1465"/>
      <c r="P121" s="256"/>
      <c r="Q121" s="257">
        <f>R113/4</f>
        <v>0</v>
      </c>
      <c r="R121" s="262"/>
    </row>
    <row r="122" spans="1:31" x14ac:dyDescent="0.3">
      <c r="A122" s="251" t="s">
        <v>529</v>
      </c>
      <c r="B122" s="252"/>
      <c r="C122" s="252"/>
      <c r="D122" s="252"/>
      <c r="E122" s="252"/>
      <c r="F122" s="253"/>
      <c r="G122" s="252"/>
      <c r="H122" s="252"/>
      <c r="I122" s="254"/>
      <c r="J122" s="254"/>
      <c r="K122" s="254"/>
      <c r="L122" s="254"/>
      <c r="M122" s="252"/>
      <c r="N122" s="255"/>
      <c r="O122" s="1465"/>
      <c r="P122" s="256"/>
      <c r="Q122" s="257">
        <f>X116/4</f>
        <v>24000</v>
      </c>
      <c r="R122" s="262">
        <f>Q122/Q123</f>
        <v>0.14524480069486662</v>
      </c>
    </row>
    <row r="123" spans="1:31" x14ac:dyDescent="0.3">
      <c r="A123" s="243"/>
      <c r="B123" s="193"/>
      <c r="C123" s="193"/>
      <c r="D123" s="193"/>
      <c r="E123" s="193"/>
      <c r="F123" s="244"/>
      <c r="G123" s="193"/>
      <c r="H123" s="193"/>
      <c r="I123" s="245"/>
      <c r="J123" s="245"/>
      <c r="K123" s="245"/>
      <c r="L123" s="245"/>
      <c r="M123" s="193"/>
      <c r="N123" s="246"/>
      <c r="O123" s="1465"/>
      <c r="P123" s="196"/>
      <c r="Q123" s="194">
        <f>SUM(Q118:Q122)</f>
        <v>165238.27280000001</v>
      </c>
      <c r="R123" s="247">
        <f>SUM(R118:R122)</f>
        <v>1</v>
      </c>
    </row>
    <row r="124" spans="1:31" x14ac:dyDescent="0.3">
      <c r="Z124" s="303">
        <f>SUM(AA125:AE125)</f>
        <v>3003826.3088000002</v>
      </c>
      <c r="AA124" s="1404" t="s">
        <v>302</v>
      </c>
      <c r="AB124" s="1405" t="s">
        <v>6</v>
      </c>
      <c r="AC124" s="1405" t="s">
        <v>194</v>
      </c>
      <c r="AD124" s="1405" t="s">
        <v>693</v>
      </c>
      <c r="AE124" s="1406" t="s">
        <v>7</v>
      </c>
    </row>
    <row r="125" spans="1:31" ht="18" x14ac:dyDescent="0.35">
      <c r="A125" s="430" t="s">
        <v>569</v>
      </c>
      <c r="B125" s="431"/>
      <c r="C125" s="431"/>
      <c r="D125" s="432"/>
      <c r="E125" s="432"/>
      <c r="F125" s="433"/>
      <c r="G125" s="432"/>
      <c r="H125" s="432"/>
      <c r="I125" s="434"/>
      <c r="J125" s="434"/>
      <c r="K125" s="434"/>
      <c r="L125" s="434"/>
      <c r="M125" s="431"/>
      <c r="N125" s="435"/>
      <c r="O125" s="436"/>
      <c r="P125" s="435"/>
      <c r="Q125" s="435"/>
      <c r="R125" s="763"/>
      <c r="S125" s="763">
        <f>S116+S85+S51</f>
        <v>3293826.3088000002</v>
      </c>
      <c r="Z125" s="137" t="s">
        <v>601</v>
      </c>
      <c r="AA125" s="1083">
        <f>AA116+AA85+AA51</f>
        <v>1688272.3088000002</v>
      </c>
      <c r="AB125" s="1035">
        <f t="shared" ref="AB125:AE125" si="26">AB116+AB85+AB51</f>
        <v>386595</v>
      </c>
      <c r="AC125" s="1035">
        <f t="shared" si="26"/>
        <v>52200</v>
      </c>
      <c r="AD125" s="1035">
        <f t="shared" si="26"/>
        <v>667590.00000000012</v>
      </c>
      <c r="AE125" s="1084">
        <f t="shared" si="26"/>
        <v>209168.99999999994</v>
      </c>
    </row>
    <row r="126" spans="1:31" x14ac:dyDescent="0.3">
      <c r="R126" s="3" t="s">
        <v>571</v>
      </c>
      <c r="S126" s="99">
        <f>D19-S125</f>
        <v>-7736.4962999993004</v>
      </c>
    </row>
    <row r="128" spans="1:31" x14ac:dyDescent="0.3">
      <c r="A128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F53"/>
  <sheetViews>
    <sheetView workbookViewId="0">
      <selection activeCell="H20" sqref="H20:H24"/>
    </sheetView>
  </sheetViews>
  <sheetFormatPr defaultRowHeight="14.4" x14ac:dyDescent="0.3"/>
  <sheetData>
    <row r="1" spans="1:32" x14ac:dyDescent="0.3">
      <c r="A1" s="43" t="s">
        <v>309</v>
      </c>
      <c r="B1" s="43" t="s">
        <v>334</v>
      </c>
      <c r="C1" s="43" t="s">
        <v>310</v>
      </c>
      <c r="D1" s="43" t="s">
        <v>311</v>
      </c>
      <c r="E1" s="43" t="s">
        <v>312</v>
      </c>
      <c r="F1" s="43" t="s">
        <v>313</v>
      </c>
      <c r="G1" s="2185" t="s">
        <v>1167</v>
      </c>
      <c r="H1" s="2185" t="s">
        <v>1169</v>
      </c>
      <c r="I1" s="43" t="s">
        <v>314</v>
      </c>
      <c r="J1" s="43" t="s">
        <v>315</v>
      </c>
      <c r="K1" s="43" t="s">
        <v>335</v>
      </c>
      <c r="L1" s="43" t="s">
        <v>336</v>
      </c>
      <c r="M1" s="43" t="s">
        <v>316</v>
      </c>
      <c r="N1" s="43" t="s">
        <v>317</v>
      </c>
      <c r="O1" s="43" t="s">
        <v>318</v>
      </c>
      <c r="P1" s="43" t="s">
        <v>319</v>
      </c>
      <c r="Q1" s="43" t="s">
        <v>320</v>
      </c>
      <c r="R1" s="43" t="s">
        <v>321</v>
      </c>
      <c r="S1" s="43" t="s">
        <v>341</v>
      </c>
      <c r="T1" s="44" t="s">
        <v>337</v>
      </c>
      <c r="U1" s="43" t="s">
        <v>322</v>
      </c>
      <c r="V1" s="44" t="s">
        <v>338</v>
      </c>
      <c r="W1" s="44" t="s">
        <v>339</v>
      </c>
      <c r="X1" s="45"/>
      <c r="Y1" s="45"/>
      <c r="AB1" s="43"/>
      <c r="AD1" s="43"/>
    </row>
    <row r="2" spans="1:32" x14ac:dyDescent="0.3">
      <c r="A2" s="47" t="s">
        <v>382</v>
      </c>
      <c r="B2" s="47" t="s">
        <v>323</v>
      </c>
      <c r="C2" s="47" t="s">
        <v>324</v>
      </c>
      <c r="D2" s="47" t="s">
        <v>325</v>
      </c>
      <c r="E2" s="19" t="s">
        <v>189</v>
      </c>
      <c r="F2" s="19" t="s">
        <v>26</v>
      </c>
      <c r="G2" s="2198">
        <v>5</v>
      </c>
      <c r="H2" s="2186">
        <f>VLOOKUP(G2,Pesos!A:B,2,0)</f>
        <v>0.5</v>
      </c>
      <c r="I2" s="48"/>
      <c r="J2" s="48" t="s">
        <v>305</v>
      </c>
      <c r="K2" s="19">
        <v>3</v>
      </c>
      <c r="L2" s="48">
        <v>7</v>
      </c>
      <c r="M2" s="19">
        <v>4</v>
      </c>
      <c r="N2" s="19" t="s">
        <v>24</v>
      </c>
      <c r="O2" s="48">
        <v>4</v>
      </c>
      <c r="P2" s="48"/>
      <c r="Q2" s="48"/>
      <c r="R2" s="48"/>
      <c r="S2" s="48">
        <v>1</v>
      </c>
      <c r="T2" s="7">
        <v>19108</v>
      </c>
      <c r="U2" s="19">
        <v>0.72</v>
      </c>
      <c r="V2" s="49">
        <f>T2*(1-U2)</f>
        <v>5350.2400000000007</v>
      </c>
      <c r="W2" s="49">
        <f>V2*S2*M2</f>
        <v>21400.960000000003</v>
      </c>
      <c r="X2" s="50"/>
      <c r="Y2" s="51"/>
      <c r="Z2" s="48"/>
      <c r="AA2" s="47"/>
      <c r="AB2" s="43"/>
      <c r="AC2" s="43"/>
      <c r="AD2" s="43"/>
      <c r="AE2" s="43"/>
      <c r="AF2" s="43"/>
    </row>
    <row r="3" spans="1:32" x14ac:dyDescent="0.3">
      <c r="A3" s="47" t="s">
        <v>382</v>
      </c>
      <c r="B3" s="47" t="s">
        <v>323</v>
      </c>
      <c r="C3" s="47" t="s">
        <v>324</v>
      </c>
      <c r="D3" s="47" t="s">
        <v>325</v>
      </c>
      <c r="E3" s="19" t="s">
        <v>189</v>
      </c>
      <c r="F3" s="19" t="s">
        <v>190</v>
      </c>
      <c r="G3" s="2198">
        <v>1</v>
      </c>
      <c r="H3" s="2186">
        <f>VLOOKUP(G3,Pesos!A:B,2,0)</f>
        <v>0.9</v>
      </c>
      <c r="I3" s="48" t="s">
        <v>305</v>
      </c>
      <c r="K3" s="19">
        <v>10</v>
      </c>
      <c r="L3" s="48">
        <v>25</v>
      </c>
      <c r="M3" s="19">
        <v>15</v>
      </c>
      <c r="N3" s="19" t="s">
        <v>24</v>
      </c>
      <c r="O3" s="48">
        <v>15</v>
      </c>
      <c r="S3" s="48">
        <v>1</v>
      </c>
      <c r="T3" s="7">
        <v>22690</v>
      </c>
      <c r="U3" s="19">
        <v>0.72</v>
      </c>
      <c r="V3" s="49">
        <f t="shared" ref="V3:V9" si="0">T3*(1-U3)</f>
        <v>6353.2000000000007</v>
      </c>
      <c r="W3" s="49">
        <f t="shared" ref="W3:W9" si="1">V3*S3*M3</f>
        <v>95298.000000000015</v>
      </c>
      <c r="X3" s="52"/>
      <c r="Y3" s="53"/>
      <c r="Z3" s="48"/>
    </row>
    <row r="4" spans="1:32" x14ac:dyDescent="0.3">
      <c r="A4" s="47" t="s">
        <v>382</v>
      </c>
      <c r="B4" s="47" t="s">
        <v>323</v>
      </c>
      <c r="C4" s="47" t="s">
        <v>324</v>
      </c>
      <c r="D4" s="47" t="s">
        <v>325</v>
      </c>
      <c r="E4" s="19" t="s">
        <v>189</v>
      </c>
      <c r="F4" s="19" t="s">
        <v>191</v>
      </c>
      <c r="G4" s="2198">
        <v>4</v>
      </c>
      <c r="H4" s="2186">
        <f>VLOOKUP(G4,Pesos!A:B,2,0)</f>
        <v>0.6</v>
      </c>
      <c r="J4" s="48" t="s">
        <v>305</v>
      </c>
      <c r="K4" s="19">
        <v>1</v>
      </c>
      <c r="L4" s="48">
        <v>1</v>
      </c>
      <c r="M4" s="19">
        <v>1</v>
      </c>
      <c r="N4" s="19" t="s">
        <v>24</v>
      </c>
      <c r="O4" s="48">
        <v>1</v>
      </c>
      <c r="S4" s="48">
        <v>1</v>
      </c>
      <c r="T4" s="7">
        <v>25112</v>
      </c>
      <c r="U4" s="19">
        <v>0.72</v>
      </c>
      <c r="V4" s="49">
        <f t="shared" si="0"/>
        <v>7031.3600000000006</v>
      </c>
      <c r="W4" s="49">
        <f t="shared" si="1"/>
        <v>7031.3600000000006</v>
      </c>
      <c r="X4" s="52"/>
      <c r="Y4" s="53"/>
      <c r="Z4" s="48"/>
    </row>
    <row r="5" spans="1:32" x14ac:dyDescent="0.3">
      <c r="A5" s="47" t="s">
        <v>382</v>
      </c>
      <c r="B5" s="47" t="s">
        <v>323</v>
      </c>
      <c r="C5" s="47" t="s">
        <v>324</v>
      </c>
      <c r="D5" s="47" t="s">
        <v>325</v>
      </c>
      <c r="E5" s="19" t="s">
        <v>189</v>
      </c>
      <c r="F5" s="19" t="s">
        <v>192</v>
      </c>
      <c r="G5" s="2198">
        <v>3</v>
      </c>
      <c r="H5" s="2186">
        <f>VLOOKUP(G5,Pesos!A:B,2,0)</f>
        <v>0.7</v>
      </c>
      <c r="J5" s="48" t="s">
        <v>305</v>
      </c>
      <c r="K5" s="19">
        <v>20</v>
      </c>
      <c r="L5" s="54" t="s">
        <v>128</v>
      </c>
      <c r="M5" s="19">
        <v>30</v>
      </c>
      <c r="N5" s="19" t="s">
        <v>106</v>
      </c>
      <c r="O5" s="48">
        <v>30</v>
      </c>
      <c r="P5" s="48">
        <v>30</v>
      </c>
      <c r="S5" s="48">
        <v>2</v>
      </c>
      <c r="T5" s="73">
        <f>12439.21*60%</f>
        <v>7463.5259999999989</v>
      </c>
      <c r="U5" s="19">
        <v>0.72</v>
      </c>
      <c r="V5" s="49">
        <f t="shared" si="0"/>
        <v>2089.78728</v>
      </c>
      <c r="W5" s="49">
        <f t="shared" si="1"/>
        <v>125387.2368</v>
      </c>
      <c r="X5" s="50"/>
      <c r="Y5" s="53"/>
      <c r="Z5" s="48"/>
    </row>
    <row r="6" spans="1:32" x14ac:dyDescent="0.3">
      <c r="A6" s="47" t="s">
        <v>382</v>
      </c>
      <c r="B6" s="47" t="s">
        <v>323</v>
      </c>
      <c r="C6" s="47" t="s">
        <v>324</v>
      </c>
      <c r="D6" s="47" t="s">
        <v>325</v>
      </c>
      <c r="E6" s="19" t="s">
        <v>183</v>
      </c>
      <c r="F6" s="19" t="s">
        <v>193</v>
      </c>
      <c r="G6" s="2198">
        <v>3</v>
      </c>
      <c r="H6" s="2186">
        <f>VLOOKUP(G6,Pesos!A:B,2,0)</f>
        <v>0.7</v>
      </c>
      <c r="J6" s="48" t="s">
        <v>305</v>
      </c>
      <c r="K6" s="19">
        <v>22</v>
      </c>
      <c r="L6" s="54" t="s">
        <v>162</v>
      </c>
      <c r="M6" s="19">
        <v>1</v>
      </c>
      <c r="N6" s="19" t="s">
        <v>22</v>
      </c>
      <c r="Q6" s="48">
        <v>22</v>
      </c>
      <c r="S6" s="48">
        <v>1</v>
      </c>
      <c r="T6" s="7">
        <v>63900</v>
      </c>
      <c r="U6" s="19">
        <v>0.45</v>
      </c>
      <c r="V6" s="49">
        <f t="shared" si="0"/>
        <v>35145</v>
      </c>
      <c r="W6" s="49">
        <f t="shared" si="1"/>
        <v>35145</v>
      </c>
      <c r="X6" s="52"/>
      <c r="Y6" s="53"/>
      <c r="Z6" s="48"/>
    </row>
    <row r="7" spans="1:32" x14ac:dyDescent="0.3">
      <c r="A7" s="47" t="s">
        <v>382</v>
      </c>
      <c r="B7" s="47" t="s">
        <v>323</v>
      </c>
      <c r="C7" s="47" t="s">
        <v>324</v>
      </c>
      <c r="D7" s="47" t="s">
        <v>325</v>
      </c>
      <c r="E7" s="19" t="s">
        <v>194</v>
      </c>
      <c r="F7" s="19" t="s">
        <v>102</v>
      </c>
      <c r="G7" s="2198">
        <v>2</v>
      </c>
      <c r="H7" s="2186">
        <f>VLOOKUP(G7,Pesos!A:B,2,0)</f>
        <v>0.8</v>
      </c>
      <c r="J7" s="48" t="s">
        <v>305</v>
      </c>
      <c r="K7" s="19">
        <v>4</v>
      </c>
      <c r="L7" s="54" t="s">
        <v>203</v>
      </c>
      <c r="M7" s="19">
        <v>4</v>
      </c>
      <c r="N7" s="19" t="s">
        <v>24</v>
      </c>
      <c r="O7" s="48">
        <v>4</v>
      </c>
      <c r="S7" s="48">
        <v>1</v>
      </c>
      <c r="T7" s="7">
        <v>4350</v>
      </c>
      <c r="U7" s="19">
        <v>0.4</v>
      </c>
      <c r="V7" s="49">
        <f t="shared" si="0"/>
        <v>2610</v>
      </c>
      <c r="W7" s="49">
        <f t="shared" si="1"/>
        <v>10440</v>
      </c>
      <c r="X7" s="52"/>
      <c r="Y7" s="53"/>
      <c r="Z7" s="48"/>
    </row>
    <row r="8" spans="1:32" x14ac:dyDescent="0.3">
      <c r="A8" s="47" t="s">
        <v>382</v>
      </c>
      <c r="B8" s="47" t="s">
        <v>323</v>
      </c>
      <c r="C8" s="47" t="s">
        <v>324</v>
      </c>
      <c r="D8" s="47" t="s">
        <v>325</v>
      </c>
      <c r="E8" s="19" t="s">
        <v>195</v>
      </c>
      <c r="F8" s="19" t="s">
        <v>196</v>
      </c>
      <c r="G8" s="2198">
        <v>3</v>
      </c>
      <c r="H8" s="2186">
        <f>VLOOKUP(G8,Pesos!A:B,2,0)</f>
        <v>0.7</v>
      </c>
      <c r="I8" s="48" t="s">
        <v>305</v>
      </c>
      <c r="K8" s="19">
        <v>100</v>
      </c>
      <c r="L8" s="54" t="s">
        <v>303</v>
      </c>
      <c r="M8" s="19">
        <v>1</v>
      </c>
      <c r="N8" s="19" t="s">
        <v>22</v>
      </c>
      <c r="Q8" s="48">
        <v>100</v>
      </c>
      <c r="S8" s="48">
        <v>1</v>
      </c>
      <c r="T8" s="7">
        <v>202300</v>
      </c>
      <c r="U8" s="19">
        <v>0.7</v>
      </c>
      <c r="V8" s="49">
        <f t="shared" si="0"/>
        <v>60690.000000000007</v>
      </c>
      <c r="W8" s="49">
        <f t="shared" si="1"/>
        <v>60690.000000000007</v>
      </c>
      <c r="X8" s="52"/>
      <c r="Y8" s="53"/>
      <c r="Z8" s="48"/>
    </row>
    <row r="9" spans="1:32" x14ac:dyDescent="0.3">
      <c r="A9" s="47" t="s">
        <v>382</v>
      </c>
      <c r="B9" s="47" t="s">
        <v>323</v>
      </c>
      <c r="C9" s="47" t="s">
        <v>324</v>
      </c>
      <c r="D9" s="47" t="s">
        <v>325</v>
      </c>
      <c r="E9" s="19" t="s">
        <v>197</v>
      </c>
      <c r="F9" s="19" t="s">
        <v>102</v>
      </c>
      <c r="G9" s="2198">
        <v>2</v>
      </c>
      <c r="H9" s="2186">
        <f>VLOOKUP(G9,Pesos!A:B,2,0)</f>
        <v>0.8</v>
      </c>
      <c r="J9" s="48" t="s">
        <v>305</v>
      </c>
      <c r="K9" s="19">
        <v>4</v>
      </c>
      <c r="L9" s="54" t="s">
        <v>203</v>
      </c>
      <c r="M9" s="19">
        <v>1</v>
      </c>
      <c r="N9" s="19" t="s">
        <v>22</v>
      </c>
      <c r="O9" s="48">
        <v>10</v>
      </c>
      <c r="S9" s="48">
        <v>1</v>
      </c>
      <c r="T9" s="7">
        <v>26220</v>
      </c>
      <c r="U9" s="19">
        <v>0.55000000000000004</v>
      </c>
      <c r="V9" s="49">
        <f t="shared" si="0"/>
        <v>11798.999999999998</v>
      </c>
      <c r="W9" s="49">
        <f t="shared" si="1"/>
        <v>11798.999999999998</v>
      </c>
      <c r="X9" s="52"/>
      <c r="Y9" s="53"/>
      <c r="Z9" s="48"/>
    </row>
    <row r="10" spans="1:32" x14ac:dyDescent="0.3">
      <c r="A10" s="47" t="s">
        <v>382</v>
      </c>
      <c r="B10" s="47" t="s">
        <v>323</v>
      </c>
      <c r="C10" s="47" t="s">
        <v>324</v>
      </c>
      <c r="D10" s="47" t="s">
        <v>325</v>
      </c>
      <c r="E10" s="19" t="s">
        <v>197</v>
      </c>
      <c r="F10" s="19" t="s">
        <v>26</v>
      </c>
      <c r="G10" s="2198">
        <v>5</v>
      </c>
      <c r="H10" s="2186">
        <f>VLOOKUP(G10,Pesos!A:B,2,0)</f>
        <v>0.5</v>
      </c>
      <c r="I10" s="48" t="s">
        <v>305</v>
      </c>
      <c r="K10" s="19">
        <v>3</v>
      </c>
      <c r="L10" s="48">
        <v>7</v>
      </c>
      <c r="M10" s="19">
        <v>2</v>
      </c>
      <c r="N10" s="19" t="s">
        <v>24</v>
      </c>
      <c r="O10" s="48">
        <v>2</v>
      </c>
      <c r="R10" s="52"/>
      <c r="S10" s="48">
        <v>1</v>
      </c>
      <c r="T10" s="7">
        <v>12600</v>
      </c>
      <c r="U10" s="19">
        <v>0.55000000000000004</v>
      </c>
      <c r="V10" s="49">
        <f t="shared" ref="V10" si="2">T10*(1-U10)</f>
        <v>5669.9999999999991</v>
      </c>
      <c r="W10" s="49">
        <f t="shared" ref="W10" si="3">V10*S10*M10</f>
        <v>11339.999999999998</v>
      </c>
      <c r="X10" s="52"/>
    </row>
    <row r="11" spans="1:32" x14ac:dyDescent="0.3">
      <c r="E11" s="1"/>
      <c r="F11" s="1"/>
      <c r="G11" s="2186"/>
      <c r="H11" s="2186"/>
      <c r="K11" s="1"/>
      <c r="M11" s="1"/>
      <c r="N11" s="1"/>
      <c r="R11" s="52"/>
      <c r="T11" s="7"/>
      <c r="U11" s="24"/>
      <c r="V11" s="57"/>
      <c r="X11" s="52"/>
    </row>
    <row r="12" spans="1:32" x14ac:dyDescent="0.3">
      <c r="A12" s="47" t="s">
        <v>383</v>
      </c>
      <c r="B12" s="47" t="s">
        <v>323</v>
      </c>
      <c r="C12" s="47" t="s">
        <v>324</v>
      </c>
      <c r="D12" s="47" t="s">
        <v>325</v>
      </c>
      <c r="E12" s="1" t="s">
        <v>189</v>
      </c>
      <c r="F12" s="1" t="s">
        <v>190</v>
      </c>
      <c r="G12" s="2186">
        <v>1</v>
      </c>
      <c r="H12" s="2186">
        <f>VLOOKUP(G12,Pesos!A:B,2,0)</f>
        <v>0.9</v>
      </c>
      <c r="I12" s="48" t="s">
        <v>305</v>
      </c>
      <c r="K12" s="1">
        <v>8</v>
      </c>
      <c r="L12" s="48">
        <v>20</v>
      </c>
      <c r="M12" s="1">
        <v>12</v>
      </c>
      <c r="N12" s="1" t="s">
        <v>24</v>
      </c>
      <c r="O12" s="48">
        <v>12</v>
      </c>
      <c r="S12" s="48">
        <v>1</v>
      </c>
      <c r="T12" s="7">
        <v>22690</v>
      </c>
      <c r="U12" s="24">
        <v>0.72</v>
      </c>
      <c r="V12" s="57">
        <f t="shared" ref="V12:V18" si="4">T12*(1-U12)</f>
        <v>6353.2000000000007</v>
      </c>
      <c r="W12" s="57">
        <f t="shared" ref="W12:W18" si="5">V12*S12*M12</f>
        <v>76238.400000000009</v>
      </c>
    </row>
    <row r="13" spans="1:32" x14ac:dyDescent="0.3">
      <c r="A13" s="47" t="s">
        <v>383</v>
      </c>
      <c r="B13" s="47" t="s">
        <v>323</v>
      </c>
      <c r="C13" s="47" t="s">
        <v>324</v>
      </c>
      <c r="D13" s="47" t="s">
        <v>325</v>
      </c>
      <c r="E13" s="1" t="s">
        <v>189</v>
      </c>
      <c r="F13" s="1" t="s">
        <v>192</v>
      </c>
      <c r="G13" s="2186">
        <v>3</v>
      </c>
      <c r="H13" s="2186">
        <f>VLOOKUP(G13,Pesos!A:B,2,0)</f>
        <v>0.7</v>
      </c>
      <c r="J13" s="48" t="s">
        <v>305</v>
      </c>
      <c r="K13" s="1">
        <v>15</v>
      </c>
      <c r="L13" s="48">
        <v>30</v>
      </c>
      <c r="M13" s="1">
        <v>30</v>
      </c>
      <c r="N13" s="1" t="s">
        <v>106</v>
      </c>
      <c r="O13" s="48">
        <v>30</v>
      </c>
      <c r="P13" s="48">
        <v>30</v>
      </c>
      <c r="S13" s="48">
        <v>2</v>
      </c>
      <c r="T13" s="7">
        <f>12439.21*60%</f>
        <v>7463.5259999999989</v>
      </c>
      <c r="U13" s="24">
        <v>0.72</v>
      </c>
      <c r="V13" s="57">
        <f t="shared" si="4"/>
        <v>2089.78728</v>
      </c>
      <c r="W13" s="57">
        <f t="shared" si="5"/>
        <v>125387.2368</v>
      </c>
    </row>
    <row r="14" spans="1:32" x14ac:dyDescent="0.3">
      <c r="A14" s="47" t="s">
        <v>383</v>
      </c>
      <c r="B14" s="47" t="s">
        <v>323</v>
      </c>
      <c r="C14" s="47" t="s">
        <v>324</v>
      </c>
      <c r="D14" s="47" t="s">
        <v>325</v>
      </c>
      <c r="E14" s="1" t="s">
        <v>183</v>
      </c>
      <c r="F14" s="1" t="s">
        <v>193</v>
      </c>
      <c r="G14" s="2186">
        <v>3</v>
      </c>
      <c r="H14" s="2186">
        <f>VLOOKUP(G14,Pesos!A:B,2,0)</f>
        <v>0.7</v>
      </c>
      <c r="J14" s="48" t="s">
        <v>305</v>
      </c>
      <c r="K14" s="1">
        <v>15</v>
      </c>
      <c r="L14" s="48">
        <v>30</v>
      </c>
      <c r="M14" s="1">
        <v>1</v>
      </c>
      <c r="N14" s="1" t="s">
        <v>22</v>
      </c>
      <c r="Q14" s="48">
        <v>22</v>
      </c>
      <c r="S14" s="48">
        <v>1</v>
      </c>
      <c r="T14" s="7">
        <v>63900</v>
      </c>
      <c r="U14" s="24">
        <v>0.45</v>
      </c>
      <c r="V14" s="57">
        <f t="shared" si="4"/>
        <v>35145</v>
      </c>
      <c r="W14" s="57">
        <f t="shared" si="5"/>
        <v>35145</v>
      </c>
    </row>
    <row r="15" spans="1:32" x14ac:dyDescent="0.3">
      <c r="A15" s="47" t="s">
        <v>383</v>
      </c>
      <c r="B15" s="47" t="s">
        <v>323</v>
      </c>
      <c r="C15" s="47" t="s">
        <v>324</v>
      </c>
      <c r="D15" s="47" t="s">
        <v>325</v>
      </c>
      <c r="E15" s="1" t="s">
        <v>194</v>
      </c>
      <c r="F15" s="1" t="s">
        <v>102</v>
      </c>
      <c r="G15" s="2186">
        <v>2</v>
      </c>
      <c r="H15" s="2186">
        <f>VLOOKUP(G15,Pesos!A:B,2,0)</f>
        <v>0.8</v>
      </c>
      <c r="J15" s="48" t="s">
        <v>305</v>
      </c>
      <c r="K15" s="1">
        <v>2</v>
      </c>
      <c r="L15" s="48">
        <v>6</v>
      </c>
      <c r="M15" s="1">
        <v>2</v>
      </c>
      <c r="N15" s="1" t="s">
        <v>24</v>
      </c>
      <c r="O15" s="48">
        <v>2</v>
      </c>
      <c r="S15" s="48">
        <v>1</v>
      </c>
      <c r="T15" s="7">
        <f>2500*(1+20%)*(1+45%)</f>
        <v>4350</v>
      </c>
      <c r="U15" s="24">
        <v>0.4</v>
      </c>
      <c r="V15" s="57">
        <f t="shared" si="4"/>
        <v>2610</v>
      </c>
      <c r="W15" s="57">
        <f t="shared" si="5"/>
        <v>5220</v>
      </c>
    </row>
    <row r="16" spans="1:32" x14ac:dyDescent="0.3">
      <c r="A16" s="47" t="s">
        <v>383</v>
      </c>
      <c r="B16" s="47" t="s">
        <v>323</v>
      </c>
      <c r="C16" s="47" t="s">
        <v>324</v>
      </c>
      <c r="D16" s="47" t="s">
        <v>325</v>
      </c>
      <c r="E16" s="1" t="s">
        <v>195</v>
      </c>
      <c r="F16" s="1" t="s">
        <v>196</v>
      </c>
      <c r="G16" s="2186">
        <v>3</v>
      </c>
      <c r="H16" s="2186">
        <f>VLOOKUP(G16,Pesos!A:B,2,0)</f>
        <v>0.7</v>
      </c>
      <c r="I16" s="48" t="s">
        <v>305</v>
      </c>
      <c r="K16" s="1">
        <v>100</v>
      </c>
      <c r="L16" s="48">
        <v>100</v>
      </c>
      <c r="M16" s="1">
        <v>1</v>
      </c>
      <c r="N16" s="1" t="s">
        <v>22</v>
      </c>
      <c r="Q16" s="48">
        <v>100</v>
      </c>
      <c r="S16" s="48">
        <v>1</v>
      </c>
      <c r="T16" s="5">
        <v>202300</v>
      </c>
      <c r="U16" s="24">
        <v>0.7</v>
      </c>
      <c r="V16" s="57">
        <f t="shared" si="4"/>
        <v>60690.000000000007</v>
      </c>
      <c r="W16" s="57">
        <f t="shared" si="5"/>
        <v>60690.000000000007</v>
      </c>
    </row>
    <row r="17" spans="1:30" x14ac:dyDescent="0.3">
      <c r="A17" s="47" t="s">
        <v>383</v>
      </c>
      <c r="B17" s="47" t="s">
        <v>323</v>
      </c>
      <c r="C17" s="47" t="s">
        <v>324</v>
      </c>
      <c r="D17" s="47" t="s">
        <v>325</v>
      </c>
      <c r="E17" s="1" t="s">
        <v>197</v>
      </c>
      <c r="F17" s="1" t="s">
        <v>102</v>
      </c>
      <c r="G17" s="2186">
        <v>2</v>
      </c>
      <c r="H17" s="2186">
        <f>VLOOKUP(G17,Pesos!A:B,2,0)</f>
        <v>0.8</v>
      </c>
      <c r="J17" s="48" t="s">
        <v>305</v>
      </c>
      <c r="K17" s="1">
        <v>2</v>
      </c>
      <c r="L17" s="48">
        <v>6</v>
      </c>
      <c r="M17" s="1">
        <v>1</v>
      </c>
      <c r="N17" s="1" t="s">
        <v>22</v>
      </c>
      <c r="O17" s="48">
        <v>10</v>
      </c>
      <c r="S17" s="48">
        <v>1</v>
      </c>
      <c r="T17" s="5">
        <v>26220</v>
      </c>
      <c r="U17" s="24">
        <v>0.55000000000000004</v>
      </c>
      <c r="V17" s="57">
        <f t="shared" si="4"/>
        <v>11798.999999999998</v>
      </c>
      <c r="W17" s="57">
        <f t="shared" si="5"/>
        <v>11798.999999999998</v>
      </c>
    </row>
    <row r="18" spans="1:30" x14ac:dyDescent="0.3">
      <c r="A18" s="47" t="s">
        <v>383</v>
      </c>
      <c r="B18" s="47" t="s">
        <v>323</v>
      </c>
      <c r="C18" s="47" t="s">
        <v>324</v>
      </c>
      <c r="D18" s="47" t="s">
        <v>325</v>
      </c>
      <c r="E18" s="1" t="s">
        <v>197</v>
      </c>
      <c r="F18" s="1" t="s">
        <v>26</v>
      </c>
      <c r="G18" s="2186">
        <v>4</v>
      </c>
      <c r="H18" s="2186">
        <f>VLOOKUP(G18,Pesos!A:B,2,0)</f>
        <v>0.6</v>
      </c>
      <c r="I18" s="48" t="s">
        <v>305</v>
      </c>
      <c r="K18" s="1">
        <v>2</v>
      </c>
      <c r="L18" s="48">
        <v>6</v>
      </c>
      <c r="M18" s="1">
        <v>2</v>
      </c>
      <c r="N18" s="1" t="s">
        <v>24</v>
      </c>
      <c r="O18" s="48">
        <v>2</v>
      </c>
      <c r="S18" s="48">
        <v>1</v>
      </c>
      <c r="T18" s="5">
        <v>12600</v>
      </c>
      <c r="U18" s="24">
        <v>0.55000000000000004</v>
      </c>
      <c r="V18" s="57">
        <f t="shared" si="4"/>
        <v>5669.9999999999991</v>
      </c>
      <c r="W18" s="57">
        <f t="shared" si="5"/>
        <v>11339.999999999998</v>
      </c>
    </row>
    <row r="19" spans="1:30" x14ac:dyDescent="0.3">
      <c r="E19" s="10"/>
      <c r="F19" s="10"/>
      <c r="G19" s="2197"/>
      <c r="H19" s="2197"/>
      <c r="K19" s="10"/>
      <c r="M19" s="10"/>
      <c r="N19" s="10"/>
      <c r="T19" s="61"/>
      <c r="U19" s="71"/>
      <c r="V19" s="57"/>
      <c r="W19" s="57"/>
    </row>
    <row r="20" spans="1:30" x14ac:dyDescent="0.3">
      <c r="A20" s="47" t="s">
        <v>326</v>
      </c>
      <c r="B20" s="47" t="s">
        <v>323</v>
      </c>
      <c r="C20" s="47" t="s">
        <v>324</v>
      </c>
      <c r="D20" s="47" t="s">
        <v>325</v>
      </c>
      <c r="E20" s="1" t="s">
        <v>189</v>
      </c>
      <c r="F20" s="1" t="s">
        <v>190</v>
      </c>
      <c r="G20" s="2186">
        <v>3</v>
      </c>
      <c r="H20" s="2186">
        <f>VLOOKUP(G20,Pesos!A:B,2,0)</f>
        <v>0.7</v>
      </c>
      <c r="I20" s="48" t="s">
        <v>305</v>
      </c>
      <c r="K20" s="20">
        <v>5</v>
      </c>
      <c r="L20" s="48">
        <v>12</v>
      </c>
      <c r="M20" s="1">
        <v>2</v>
      </c>
      <c r="N20" s="1" t="s">
        <v>24</v>
      </c>
      <c r="O20" s="48">
        <v>2</v>
      </c>
      <c r="S20" s="1">
        <v>1</v>
      </c>
      <c r="T20" s="7">
        <v>22690</v>
      </c>
      <c r="U20" s="24">
        <v>0.72</v>
      </c>
      <c r="V20" s="57">
        <f t="shared" ref="V20:V24" si="6">T20*(1-U20)</f>
        <v>6353.2000000000007</v>
      </c>
      <c r="W20" s="57">
        <f t="shared" ref="W20:W24" si="7">V20*S20*M20</f>
        <v>12706.400000000001</v>
      </c>
    </row>
    <row r="21" spans="1:30" x14ac:dyDescent="0.3">
      <c r="A21" s="47" t="s">
        <v>326</v>
      </c>
      <c r="B21" s="47" t="s">
        <v>323</v>
      </c>
      <c r="C21" s="47" t="s">
        <v>324</v>
      </c>
      <c r="D21" s="47" t="s">
        <v>325</v>
      </c>
      <c r="E21" s="1" t="s">
        <v>189</v>
      </c>
      <c r="F21" s="1" t="s">
        <v>192</v>
      </c>
      <c r="G21" s="2186">
        <v>2</v>
      </c>
      <c r="H21" s="2186">
        <f>VLOOKUP(G21,Pesos!A:B,2,0)</f>
        <v>0.8</v>
      </c>
      <c r="J21" s="48" t="s">
        <v>305</v>
      </c>
      <c r="K21" s="48">
        <v>10</v>
      </c>
      <c r="L21" s="48">
        <v>20</v>
      </c>
      <c r="M21" s="1">
        <v>10</v>
      </c>
      <c r="N21" s="1" t="s">
        <v>106</v>
      </c>
      <c r="O21" s="48">
        <v>10</v>
      </c>
      <c r="S21" s="1">
        <v>1</v>
      </c>
      <c r="T21" s="7">
        <f>12439.21*60%</f>
        <v>7463.5259999999989</v>
      </c>
      <c r="U21" s="24">
        <v>0.72</v>
      </c>
      <c r="V21" s="57">
        <f t="shared" si="6"/>
        <v>2089.78728</v>
      </c>
      <c r="W21" s="57">
        <f t="shared" si="7"/>
        <v>20897.872800000001</v>
      </c>
    </row>
    <row r="22" spans="1:30" x14ac:dyDescent="0.3">
      <c r="A22" s="47" t="s">
        <v>326</v>
      </c>
      <c r="B22" s="47" t="s">
        <v>323</v>
      </c>
      <c r="C22" s="47" t="s">
        <v>324</v>
      </c>
      <c r="D22" s="47" t="s">
        <v>325</v>
      </c>
      <c r="E22" s="1" t="s">
        <v>183</v>
      </c>
      <c r="F22" s="1" t="s">
        <v>193</v>
      </c>
      <c r="G22" s="2186">
        <v>2</v>
      </c>
      <c r="H22" s="2186">
        <f>VLOOKUP(G22,Pesos!A:B,2,0)</f>
        <v>0.8</v>
      </c>
      <c r="J22" s="48" t="s">
        <v>305</v>
      </c>
      <c r="K22" s="48">
        <v>10</v>
      </c>
      <c r="L22" s="48">
        <v>20</v>
      </c>
      <c r="M22" s="1">
        <v>1</v>
      </c>
      <c r="N22" s="1" t="s">
        <v>22</v>
      </c>
      <c r="Q22" s="48">
        <v>22</v>
      </c>
      <c r="S22" s="1">
        <v>1</v>
      </c>
      <c r="T22" s="7">
        <v>63900</v>
      </c>
      <c r="U22" s="24">
        <v>0.45</v>
      </c>
      <c r="V22" s="57">
        <f t="shared" si="6"/>
        <v>35145</v>
      </c>
      <c r="W22" s="57">
        <f t="shared" si="7"/>
        <v>35145</v>
      </c>
    </row>
    <row r="23" spans="1:30" x14ac:dyDescent="0.3">
      <c r="A23" s="47" t="s">
        <v>326</v>
      </c>
      <c r="B23" s="47" t="s">
        <v>323</v>
      </c>
      <c r="C23" s="47" t="s">
        <v>324</v>
      </c>
      <c r="D23" s="47" t="s">
        <v>325</v>
      </c>
      <c r="E23" s="1" t="s">
        <v>195</v>
      </c>
      <c r="F23" s="1" t="s">
        <v>196</v>
      </c>
      <c r="G23" s="2186">
        <v>2</v>
      </c>
      <c r="H23" s="2186">
        <f>VLOOKUP(G23,Pesos!A:B,2,0)</f>
        <v>0.8</v>
      </c>
      <c r="I23" s="48" t="s">
        <v>305</v>
      </c>
      <c r="K23" s="48">
        <v>100</v>
      </c>
      <c r="L23" s="48">
        <v>100</v>
      </c>
      <c r="M23" s="1">
        <v>1</v>
      </c>
      <c r="N23" s="1" t="s">
        <v>22</v>
      </c>
      <c r="P23" s="48">
        <v>100</v>
      </c>
      <c r="S23" s="1">
        <v>1</v>
      </c>
      <c r="T23" s="5">
        <v>202300</v>
      </c>
      <c r="U23" s="24">
        <v>0.7</v>
      </c>
      <c r="V23" s="57">
        <f t="shared" si="6"/>
        <v>60690.000000000007</v>
      </c>
      <c r="W23" s="57">
        <f t="shared" si="7"/>
        <v>60690.000000000007</v>
      </c>
    </row>
    <row r="24" spans="1:30" x14ac:dyDescent="0.3">
      <c r="A24" s="47" t="s">
        <v>326</v>
      </c>
      <c r="B24" s="47" t="s">
        <v>323</v>
      </c>
      <c r="C24" s="47" t="s">
        <v>324</v>
      </c>
      <c r="D24" s="47" t="s">
        <v>325</v>
      </c>
      <c r="E24" s="1" t="s">
        <v>197</v>
      </c>
      <c r="F24" s="1" t="s">
        <v>102</v>
      </c>
      <c r="G24" s="2186">
        <v>1</v>
      </c>
      <c r="H24" s="2186">
        <f>VLOOKUP(G24,Pesos!A:B,2,0)</f>
        <v>0.9</v>
      </c>
      <c r="J24" s="48" t="s">
        <v>305</v>
      </c>
      <c r="K24" s="48">
        <v>2</v>
      </c>
      <c r="L24" s="48">
        <v>6</v>
      </c>
      <c r="M24" s="1">
        <v>1</v>
      </c>
      <c r="N24" s="1" t="s">
        <v>22</v>
      </c>
      <c r="O24" s="48">
        <v>10</v>
      </c>
      <c r="S24" s="1">
        <v>1</v>
      </c>
      <c r="T24" s="5">
        <v>26220</v>
      </c>
      <c r="U24" s="24">
        <v>0.55000000000000004</v>
      </c>
      <c r="V24" s="57">
        <f t="shared" si="6"/>
        <v>11798.999999999998</v>
      </c>
      <c r="W24" s="57">
        <f t="shared" si="7"/>
        <v>11798.999999999998</v>
      </c>
    </row>
    <row r="31" spans="1:30" x14ac:dyDescent="0.3">
      <c r="A31" s="47"/>
      <c r="D31" s="43" t="s">
        <v>1158</v>
      </c>
      <c r="E31" s="43" t="s">
        <v>1159</v>
      </c>
      <c r="F31" s="43" t="s">
        <v>1160</v>
      </c>
      <c r="G31" s="43"/>
      <c r="H31" s="1"/>
      <c r="I31" s="1"/>
      <c r="J31" s="1"/>
      <c r="K31" s="1"/>
      <c r="L31" s="1"/>
      <c r="N31" s="1"/>
      <c r="O31" s="1"/>
      <c r="P31" s="1"/>
      <c r="Q31" s="1"/>
      <c r="R31" s="1"/>
      <c r="S31" s="1"/>
      <c r="T31" s="25"/>
      <c r="U31" s="1"/>
      <c r="V31" s="25"/>
      <c r="W31" s="25"/>
      <c r="X31" s="16"/>
      <c r="Y31" s="16"/>
      <c r="AB31" s="1"/>
      <c r="AD31" s="1"/>
    </row>
    <row r="32" spans="1:30" x14ac:dyDescent="0.3">
      <c r="A32" s="47" t="s">
        <v>1161</v>
      </c>
      <c r="B32" s="2174"/>
      <c r="C32" s="2174"/>
      <c r="D32" s="2181">
        <f>E32*(1-10%)</f>
        <v>1719.6256932110093</v>
      </c>
      <c r="E32" s="427">
        <f>'CURITIBA '!S54</f>
        <v>1910.6952146788992</v>
      </c>
      <c r="F32" s="427">
        <f>E32*(1+15%)</f>
        <v>2197.2994968807338</v>
      </c>
      <c r="G32" s="427"/>
      <c r="H32" s="1"/>
      <c r="I32" s="1"/>
      <c r="J32" s="1"/>
      <c r="K32" s="1"/>
      <c r="L32" s="1"/>
      <c r="N32" s="1"/>
      <c r="O32" s="1"/>
      <c r="P32" s="1"/>
      <c r="Q32" s="1"/>
      <c r="R32" s="1"/>
      <c r="S32" s="1"/>
      <c r="T32" s="25"/>
      <c r="U32" s="1"/>
      <c r="V32" s="25"/>
      <c r="W32" s="25"/>
      <c r="X32" s="16"/>
      <c r="Y32" s="16"/>
      <c r="AB32" s="1"/>
      <c r="AD32" s="1"/>
    </row>
    <row r="33" spans="1:30" x14ac:dyDescent="0.3">
      <c r="A33" s="47" t="s">
        <v>1162</v>
      </c>
      <c r="B33" s="2174"/>
      <c r="C33" s="2174"/>
      <c r="D33" s="2181">
        <f>E33*(1-25%)</f>
        <v>1246.9458057692309</v>
      </c>
      <c r="E33" s="427">
        <f>'CURITIBA '!S88</f>
        <v>1662.5944076923079</v>
      </c>
      <c r="F33" s="427">
        <f>E33*(1+5%)</f>
        <v>1745.7241280769233</v>
      </c>
      <c r="G33" s="427"/>
      <c r="H33" s="1"/>
      <c r="I33" s="1"/>
      <c r="J33" s="1"/>
      <c r="K33" s="1"/>
      <c r="L33" s="1"/>
      <c r="N33" s="1"/>
      <c r="O33" s="1"/>
      <c r="P33" s="1"/>
      <c r="Q33" s="1"/>
      <c r="R33" s="1"/>
      <c r="S33" s="1"/>
      <c r="T33" s="25"/>
      <c r="U33" s="1"/>
      <c r="V33" s="25"/>
      <c r="W33" s="25"/>
      <c r="X33" s="16"/>
      <c r="Y33" s="16"/>
      <c r="AB33" s="1"/>
      <c r="AD33" s="1"/>
    </row>
    <row r="34" spans="1:30" x14ac:dyDescent="0.3">
      <c r="A34" s="47" t="s">
        <v>550</v>
      </c>
      <c r="B34" s="2174"/>
      <c r="C34" s="2174"/>
      <c r="D34" s="2181">
        <f>E34*(1-15%)</f>
        <v>975.36480472222229</v>
      </c>
      <c r="E34" s="427">
        <f>'CURITIBA '!S119</f>
        <v>1147.4880055555557</v>
      </c>
      <c r="F34" s="427">
        <f>E34*(1+15%)</f>
        <v>1319.6112063888888</v>
      </c>
      <c r="G34" s="427"/>
      <c r="H34" s="1"/>
      <c r="I34" s="1"/>
      <c r="J34" s="1"/>
      <c r="K34" s="1"/>
      <c r="L34" s="1"/>
      <c r="N34" s="1"/>
      <c r="O34" s="1"/>
      <c r="P34" s="1"/>
      <c r="Q34" s="1"/>
      <c r="R34" s="1"/>
      <c r="S34" s="1"/>
      <c r="T34" s="25"/>
      <c r="U34" s="1"/>
      <c r="V34" s="25"/>
      <c r="W34" s="25"/>
      <c r="X34" s="16"/>
      <c r="Y34" s="16"/>
      <c r="AB34" s="1"/>
      <c r="AD34" s="1"/>
    </row>
    <row r="35" spans="1:30" x14ac:dyDescent="0.3">
      <c r="A35" s="47" t="s">
        <v>679</v>
      </c>
      <c r="B35" s="2174"/>
      <c r="C35" s="2174"/>
      <c r="D35" s="2181">
        <f>E35*(1-25%)</f>
        <v>0</v>
      </c>
      <c r="E35" s="427"/>
      <c r="F35" s="427">
        <f>E35*(1+5%)</f>
        <v>0</v>
      </c>
      <c r="G35" s="427"/>
      <c r="H35" s="1"/>
      <c r="I35" s="1"/>
      <c r="J35" s="1"/>
      <c r="K35" s="1"/>
      <c r="L35" s="1"/>
      <c r="N35" s="1"/>
      <c r="O35" s="1"/>
      <c r="P35" s="1"/>
      <c r="Q35" s="1"/>
      <c r="R35" s="1"/>
      <c r="S35" s="1"/>
      <c r="T35" s="25"/>
      <c r="U35" s="1"/>
      <c r="V35" s="25"/>
      <c r="W35" s="25"/>
      <c r="X35" s="16"/>
      <c r="Y35" s="16"/>
      <c r="AB35" s="1"/>
      <c r="AD35" s="1"/>
    </row>
    <row r="36" spans="1:30" x14ac:dyDescent="0.3">
      <c r="A36" s="47" t="s">
        <v>568</v>
      </c>
      <c r="B36" s="2174"/>
      <c r="C36" s="2174"/>
      <c r="D36" s="2181">
        <f>E36*(1-25%)</f>
        <v>0</v>
      </c>
      <c r="E36" s="427"/>
      <c r="F36" s="427">
        <f>E36*(1+5%)</f>
        <v>0</v>
      </c>
      <c r="G36" s="427"/>
      <c r="H36" s="1"/>
      <c r="I36" s="1"/>
      <c r="J36" s="1"/>
      <c r="K36" s="1"/>
      <c r="L36" s="1"/>
      <c r="N36" s="1"/>
      <c r="O36" s="1"/>
      <c r="P36" s="1"/>
      <c r="Q36" s="1"/>
      <c r="R36" s="1"/>
      <c r="S36" s="1"/>
      <c r="T36" s="25"/>
      <c r="U36" s="1"/>
      <c r="V36" s="25"/>
      <c r="W36" s="25"/>
      <c r="X36" s="16"/>
      <c r="Y36" s="16"/>
      <c r="AB36" s="1"/>
      <c r="AD36" s="1"/>
    </row>
    <row r="37" spans="1:30" x14ac:dyDescent="0.3">
      <c r="A37" s="47"/>
      <c r="B37" s="47"/>
      <c r="C37" s="47"/>
      <c r="D37" s="48"/>
      <c r="E37" s="1"/>
      <c r="F37" s="1"/>
      <c r="G37" s="1"/>
      <c r="H37" s="1"/>
      <c r="I37" s="1"/>
      <c r="J37" s="1"/>
      <c r="K37" s="1"/>
      <c r="L37" s="1"/>
      <c r="N37" s="1"/>
      <c r="O37" s="1"/>
      <c r="P37" s="1"/>
      <c r="Q37" s="1"/>
      <c r="R37" s="1"/>
      <c r="S37" s="1"/>
      <c r="T37" s="25"/>
      <c r="U37" s="1"/>
      <c r="V37" s="25"/>
      <c r="W37" s="25"/>
      <c r="X37" s="16"/>
      <c r="Y37" s="16"/>
      <c r="AB37" s="1"/>
      <c r="AD37" s="1"/>
    </row>
    <row r="38" spans="1:30" x14ac:dyDescent="0.3">
      <c r="A38" s="47"/>
      <c r="B38" s="46"/>
      <c r="C38" s="46"/>
      <c r="D38" s="2314" t="s">
        <v>1163</v>
      </c>
      <c r="E38" s="2315"/>
      <c r="F38" s="2315"/>
      <c r="G38" s="2316"/>
      <c r="H38" s="1"/>
      <c r="I38" s="1"/>
      <c r="J38" s="1"/>
      <c r="K38" s="1"/>
      <c r="L38" s="1"/>
      <c r="N38" s="1"/>
      <c r="O38" s="1"/>
      <c r="P38" s="1"/>
      <c r="Q38" s="1"/>
      <c r="R38" s="1"/>
      <c r="S38" s="1"/>
      <c r="T38" s="25"/>
      <c r="U38" s="1"/>
      <c r="V38" s="25"/>
      <c r="W38" s="25"/>
      <c r="X38" s="16"/>
      <c r="Y38" s="16"/>
      <c r="AB38" s="1"/>
      <c r="AD38" s="1"/>
    </row>
    <row r="39" spans="1:30" x14ac:dyDescent="0.3">
      <c r="A39" s="47" t="s">
        <v>1161</v>
      </c>
      <c r="B39" s="2175"/>
      <c r="C39" s="2175"/>
      <c r="D39" s="3">
        <v>0.30275229357798167</v>
      </c>
      <c r="E39" s="3">
        <v>0.13761467889908258</v>
      </c>
      <c r="F39" s="3">
        <v>0.55963302752293576</v>
      </c>
      <c r="G39" s="3"/>
      <c r="H39" s="1"/>
      <c r="I39" s="1"/>
      <c r="J39" s="1"/>
      <c r="K39" s="1"/>
      <c r="L39" s="1"/>
      <c r="N39" s="1"/>
      <c r="O39" s="1"/>
      <c r="P39" s="1"/>
      <c r="Q39" s="1"/>
      <c r="R39" s="1"/>
      <c r="S39" s="1"/>
      <c r="T39" s="25"/>
      <c r="U39" s="1"/>
      <c r="V39" s="25"/>
      <c r="W39" s="25"/>
      <c r="X39" s="16"/>
      <c r="Y39" s="16"/>
      <c r="AB39" s="1"/>
      <c r="AD39" s="1"/>
    </row>
    <row r="40" spans="1:30" x14ac:dyDescent="0.3">
      <c r="A40" s="47" t="s">
        <v>1162</v>
      </c>
      <c r="B40" s="2175"/>
      <c r="C40" s="2175"/>
      <c r="D40" s="2175">
        <v>0.26923076923076922</v>
      </c>
      <c r="E40" s="304">
        <v>0.14423076923076922</v>
      </c>
      <c r="F40" s="304">
        <v>0.58653846153846156</v>
      </c>
      <c r="G40" s="304"/>
      <c r="H40" s="1"/>
      <c r="I40" s="1"/>
      <c r="J40" s="1"/>
      <c r="K40" s="1"/>
      <c r="L40" s="1"/>
      <c r="N40" s="1"/>
      <c r="O40" s="1"/>
      <c r="P40" s="1"/>
      <c r="Q40" s="1"/>
      <c r="R40" s="1"/>
      <c r="S40" s="1"/>
      <c r="T40" s="25"/>
      <c r="U40" s="1"/>
      <c r="V40" s="25"/>
      <c r="W40" s="25"/>
      <c r="X40" s="16"/>
      <c r="Y40" s="16"/>
      <c r="AB40" s="1"/>
      <c r="AD40" s="1"/>
    </row>
    <row r="41" spans="1:30" x14ac:dyDescent="0.3">
      <c r="A41" s="47" t="s">
        <v>550</v>
      </c>
      <c r="B41" s="2175"/>
      <c r="C41" s="2175"/>
      <c r="D41" s="2175">
        <v>0.15277777777777779</v>
      </c>
      <c r="E41" s="304">
        <v>0.69444444444444442</v>
      </c>
      <c r="F41" s="304">
        <v>0.15277777777777779</v>
      </c>
      <c r="G41" s="304"/>
      <c r="H41" s="1"/>
      <c r="I41" s="1"/>
      <c r="J41" s="1"/>
      <c r="K41" s="1"/>
      <c r="L41" s="1"/>
      <c r="N41" s="1"/>
      <c r="O41" s="1"/>
      <c r="P41" s="1"/>
      <c r="Q41" s="1"/>
      <c r="R41" s="1"/>
      <c r="S41" s="1"/>
      <c r="T41" s="25"/>
      <c r="U41" s="1"/>
      <c r="V41" s="25"/>
      <c r="W41" s="25"/>
      <c r="X41" s="16"/>
      <c r="Y41" s="16"/>
      <c r="AB41" s="1"/>
      <c r="AD41" s="1"/>
    </row>
    <row r="42" spans="1:30" x14ac:dyDescent="0.3">
      <c r="A42" s="47" t="s">
        <v>679</v>
      </c>
      <c r="B42" s="2175"/>
      <c r="C42" s="2175"/>
      <c r="D42" s="2175"/>
      <c r="E42" s="304"/>
      <c r="F42" s="304"/>
      <c r="G42" s="304"/>
      <c r="H42" s="1"/>
      <c r="I42" s="1"/>
      <c r="J42" s="1"/>
      <c r="K42" s="1"/>
      <c r="L42" s="1"/>
      <c r="N42" s="1"/>
      <c r="O42" s="1"/>
      <c r="P42" s="1"/>
      <c r="Q42" s="1"/>
      <c r="R42" s="1"/>
      <c r="S42" s="1"/>
      <c r="T42" s="25"/>
      <c r="U42" s="1"/>
      <c r="V42" s="25"/>
      <c r="W42" s="25"/>
      <c r="X42" s="16"/>
      <c r="Y42" s="16"/>
      <c r="AB42" s="1"/>
      <c r="AD42" s="1"/>
    </row>
    <row r="43" spans="1:30" x14ac:dyDescent="0.3">
      <c r="A43" s="47" t="s">
        <v>568</v>
      </c>
      <c r="B43" s="47"/>
      <c r="C43" s="47"/>
      <c r="D43" s="2175"/>
      <c r="E43" s="3"/>
      <c r="F43" s="304"/>
      <c r="G43" s="1"/>
      <c r="H43" s="1"/>
      <c r="I43" s="1"/>
      <c r="J43" s="1"/>
      <c r="K43" s="1"/>
      <c r="L43" s="1"/>
      <c r="N43" s="1"/>
      <c r="O43" s="1"/>
      <c r="P43" s="1"/>
      <c r="Q43" s="1"/>
      <c r="R43" s="1"/>
      <c r="S43" s="1"/>
      <c r="T43" s="25"/>
      <c r="U43" s="1"/>
      <c r="V43" s="25"/>
      <c r="W43" s="25"/>
      <c r="X43" s="16"/>
      <c r="Y43" s="16"/>
      <c r="AB43" s="1"/>
      <c r="AD43" s="1"/>
    </row>
    <row r="44" spans="1:30" x14ac:dyDescent="0.3">
      <c r="A44" s="47"/>
      <c r="B44" s="47"/>
      <c r="C44" s="47"/>
      <c r="D44" s="48"/>
      <c r="E44" s="1"/>
      <c r="F44" s="1"/>
      <c r="G44" s="1"/>
      <c r="H44" s="1"/>
      <c r="I44" s="1"/>
      <c r="J44" s="1"/>
      <c r="K44" s="1"/>
      <c r="L44" s="1"/>
      <c r="N44" s="1"/>
      <c r="O44" s="1"/>
      <c r="P44" s="1"/>
      <c r="Q44" s="1"/>
      <c r="R44" s="1"/>
      <c r="S44" s="1"/>
      <c r="T44" s="25"/>
      <c r="U44" s="1"/>
      <c r="V44" s="25"/>
      <c r="W44" s="25"/>
      <c r="X44" s="16"/>
      <c r="Y44" s="16"/>
      <c r="AB44" s="1"/>
      <c r="AD44" s="1"/>
    </row>
    <row r="45" spans="1:30" x14ac:dyDescent="0.3">
      <c r="A45" s="47"/>
      <c r="B45" s="47"/>
      <c r="C45" s="47"/>
      <c r="D45" s="48"/>
      <c r="E45" s="1"/>
      <c r="F45" s="1"/>
      <c r="G45" s="1"/>
      <c r="H45" s="1"/>
      <c r="I45" s="1"/>
      <c r="J45" s="1"/>
      <c r="K45" s="1"/>
      <c r="L45" s="1"/>
      <c r="N45" s="1"/>
      <c r="O45" s="1"/>
      <c r="P45" s="1"/>
      <c r="Q45" s="1"/>
      <c r="R45" s="1"/>
      <c r="S45" s="1"/>
      <c r="T45" s="25"/>
      <c r="U45" s="1"/>
      <c r="V45" s="25"/>
      <c r="W45" s="25"/>
      <c r="X45" s="16"/>
      <c r="Y45" s="16"/>
      <c r="AB45" s="1"/>
      <c r="AD45" s="1"/>
    </row>
    <row r="46" spans="1:30" x14ac:dyDescent="0.3">
      <c r="A46" s="47"/>
      <c r="B46" s="47"/>
      <c r="C46" s="47"/>
      <c r="D46" s="48"/>
      <c r="E46" s="1"/>
      <c r="F46" s="1"/>
      <c r="G46" s="1"/>
      <c r="H46" s="1"/>
      <c r="I46" s="1"/>
      <c r="J46" s="1"/>
      <c r="K46" s="1"/>
      <c r="L46" s="1"/>
      <c r="N46" s="1"/>
      <c r="O46" s="1"/>
      <c r="P46" s="1"/>
      <c r="Q46" s="1"/>
      <c r="R46" s="1"/>
      <c r="S46" s="1"/>
      <c r="T46" s="25"/>
      <c r="U46" s="1"/>
      <c r="V46" s="25"/>
      <c r="W46" s="25"/>
      <c r="X46" s="16"/>
      <c r="Y46" s="16"/>
      <c r="AB46" s="1"/>
      <c r="AD46" s="1"/>
    </row>
    <row r="47" spans="1:30" x14ac:dyDescent="0.3">
      <c r="A47" s="47"/>
      <c r="B47" s="46"/>
      <c r="C47" s="46"/>
      <c r="D47" s="2314" t="s">
        <v>1164</v>
      </c>
      <c r="E47" s="2315"/>
      <c r="F47" s="2315"/>
      <c r="G47" s="2316"/>
      <c r="H47" s="1"/>
      <c r="I47" s="1"/>
      <c r="J47" s="1"/>
      <c r="K47" s="1"/>
      <c r="L47" s="1"/>
      <c r="N47" s="1"/>
      <c r="O47" s="1"/>
      <c r="P47" s="1"/>
      <c r="Q47" s="1"/>
      <c r="R47" s="1"/>
      <c r="S47" s="1"/>
      <c r="T47" s="25"/>
      <c r="U47" s="1"/>
      <c r="V47" s="25"/>
      <c r="W47" s="25"/>
      <c r="X47" s="16"/>
      <c r="Y47" s="16"/>
      <c r="AB47" s="1"/>
      <c r="AD47" s="1"/>
    </row>
    <row r="48" spans="1:30" x14ac:dyDescent="0.3">
      <c r="A48" s="47" t="s">
        <v>1161</v>
      </c>
      <c r="B48" s="2175"/>
      <c r="C48" s="2175"/>
      <c r="D48" s="2175">
        <v>0.22297297297297297</v>
      </c>
      <c r="E48" s="2175">
        <v>0.1891891891891892</v>
      </c>
      <c r="F48" s="2175">
        <v>0.5</v>
      </c>
      <c r="G48" s="2175">
        <v>8.7837837837837843E-2</v>
      </c>
      <c r="H48" s="1"/>
      <c r="I48" s="1"/>
      <c r="J48" s="1"/>
      <c r="K48" s="1"/>
      <c r="L48" s="1"/>
      <c r="N48" s="1"/>
      <c r="O48" s="1"/>
      <c r="P48" s="1"/>
      <c r="Q48" s="1"/>
      <c r="R48" s="1"/>
      <c r="S48" s="1"/>
      <c r="T48" s="25"/>
      <c r="U48" s="1"/>
      <c r="V48" s="25"/>
      <c r="W48" s="25"/>
      <c r="X48" s="16"/>
      <c r="Y48" s="16"/>
      <c r="AB48" s="1"/>
      <c r="AD48" s="1"/>
    </row>
    <row r="49" spans="1:30" x14ac:dyDescent="0.3">
      <c r="A49" s="47" t="s">
        <v>1162</v>
      </c>
      <c r="B49" s="6"/>
      <c r="C49" s="6"/>
      <c r="D49" s="6">
        <v>0.23333333333333334</v>
      </c>
      <c r="E49" s="2175">
        <v>0.19166666666666668</v>
      </c>
      <c r="F49" s="2175">
        <v>0.57499999999999996</v>
      </c>
      <c r="G49" s="2175"/>
      <c r="H49" s="1"/>
      <c r="I49" s="1"/>
      <c r="J49" s="1"/>
      <c r="K49" s="1"/>
      <c r="L49" s="1"/>
      <c r="N49" s="1"/>
      <c r="O49" s="1"/>
      <c r="P49" s="1"/>
      <c r="Q49" s="1"/>
      <c r="R49" s="1"/>
      <c r="S49" s="1"/>
      <c r="T49" s="25"/>
      <c r="U49" s="1"/>
      <c r="V49" s="25"/>
      <c r="W49" s="25"/>
      <c r="X49" s="16"/>
      <c r="Y49" s="16"/>
      <c r="AB49" s="1"/>
      <c r="AD49" s="1"/>
    </row>
    <row r="50" spans="1:30" x14ac:dyDescent="0.3">
      <c r="A50" s="47" t="s">
        <v>550</v>
      </c>
      <c r="B50" s="2175"/>
      <c r="C50" s="2175"/>
      <c r="D50" s="2175">
        <v>0.14864864864864866</v>
      </c>
      <c r="E50" s="2175">
        <v>0.68918918918918914</v>
      </c>
      <c r="F50" s="2175">
        <v>0.16216216216216217</v>
      </c>
      <c r="G50" s="2175"/>
      <c r="H50" s="1"/>
      <c r="I50" s="1"/>
      <c r="J50" s="1"/>
      <c r="K50" s="1"/>
      <c r="L50" s="1"/>
      <c r="N50" s="1"/>
      <c r="O50" s="1"/>
      <c r="P50" s="1"/>
      <c r="Q50" s="1"/>
      <c r="R50" s="1"/>
      <c r="S50" s="1"/>
      <c r="T50" s="25"/>
      <c r="U50" s="1"/>
      <c r="V50" s="25"/>
      <c r="W50" s="25"/>
      <c r="X50" s="16"/>
      <c r="Y50" s="16"/>
      <c r="AB50" s="1"/>
      <c r="AD50" s="1"/>
    </row>
    <row r="51" spans="1:30" x14ac:dyDescent="0.3">
      <c r="A51" s="47" t="s">
        <v>679</v>
      </c>
      <c r="B51" s="2175"/>
      <c r="C51" s="2175"/>
      <c r="D51" s="6"/>
      <c r="E51" s="2175"/>
      <c r="F51" s="2175"/>
      <c r="G51" s="2175"/>
      <c r="H51" s="1"/>
      <c r="I51" s="1"/>
      <c r="J51" s="1"/>
      <c r="K51" s="1"/>
      <c r="L51" s="1"/>
      <c r="N51" s="1"/>
      <c r="O51" s="1"/>
      <c r="P51" s="1"/>
      <c r="Q51" s="1"/>
      <c r="R51" s="1"/>
      <c r="S51" s="1"/>
      <c r="T51" s="25"/>
      <c r="U51" s="1"/>
      <c r="V51" s="25"/>
      <c r="W51" s="25"/>
      <c r="X51" s="16"/>
      <c r="Y51" s="16"/>
      <c r="AB51" s="1"/>
      <c r="AD51" s="1"/>
    </row>
    <row r="52" spans="1:30" x14ac:dyDescent="0.3">
      <c r="A52" s="47" t="s">
        <v>568</v>
      </c>
      <c r="B52" s="47"/>
      <c r="C52" s="47"/>
      <c r="D52" s="6"/>
      <c r="E52" s="2175"/>
      <c r="F52" s="2175"/>
      <c r="G52" s="2175"/>
      <c r="H52" s="1"/>
      <c r="I52" s="1"/>
      <c r="J52" s="1"/>
      <c r="K52" s="1"/>
      <c r="L52" s="1"/>
      <c r="N52" s="1"/>
      <c r="O52" s="1"/>
      <c r="P52" s="1"/>
      <c r="Q52" s="1"/>
      <c r="R52" s="1"/>
      <c r="S52" s="1"/>
      <c r="T52" s="25"/>
      <c r="U52" s="1"/>
      <c r="V52" s="25"/>
      <c r="W52" s="25"/>
      <c r="X52" s="16"/>
      <c r="Y52" s="16"/>
      <c r="AB52" s="1"/>
      <c r="AD52" s="1"/>
    </row>
    <row r="53" spans="1:30" x14ac:dyDescent="0.3">
      <c r="E53" s="1"/>
      <c r="F53" s="1"/>
      <c r="G53" s="1"/>
      <c r="H53" s="1"/>
      <c r="I53" s="1"/>
      <c r="J53" s="1"/>
      <c r="K53" s="1"/>
      <c r="L53" s="1"/>
      <c r="N53" s="1"/>
      <c r="O53" s="1"/>
      <c r="P53" s="1"/>
      <c r="Q53" s="1"/>
      <c r="R53" s="1"/>
      <c r="S53" s="1"/>
      <c r="T53" s="25"/>
      <c r="U53" s="1"/>
      <c r="V53" s="25"/>
      <c r="W53" s="25"/>
      <c r="X53" s="16"/>
      <c r="Y53" s="16"/>
      <c r="AB53" s="1"/>
      <c r="AD53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H195"/>
  <sheetViews>
    <sheetView workbookViewId="0"/>
  </sheetViews>
  <sheetFormatPr defaultRowHeight="14.4" x14ac:dyDescent="0.3"/>
  <sheetData>
    <row r="1" spans="1:5" ht="21" x14ac:dyDescent="0.4">
      <c r="A1" s="92" t="s">
        <v>982</v>
      </c>
    </row>
    <row r="2" spans="1:5" x14ac:dyDescent="0.3">
      <c r="A2" t="s">
        <v>452</v>
      </c>
    </row>
    <row r="3" spans="1:5" x14ac:dyDescent="0.3">
      <c r="B3" s="94"/>
    </row>
    <row r="6" spans="1:5" x14ac:dyDescent="0.3">
      <c r="B6" s="95"/>
    </row>
    <row r="8" spans="1:5" x14ac:dyDescent="0.3">
      <c r="A8" s="100" t="s">
        <v>983</v>
      </c>
      <c r="B8" s="101">
        <v>1237297.94</v>
      </c>
      <c r="C8" s="661"/>
    </row>
    <row r="9" spans="1:5" x14ac:dyDescent="0.3">
      <c r="A9" s="100" t="s">
        <v>984</v>
      </c>
      <c r="B9" s="101">
        <v>2698125.7099999995</v>
      </c>
    </row>
    <row r="11" spans="1:5" x14ac:dyDescent="0.3">
      <c r="A11" s="103" t="s">
        <v>985</v>
      </c>
      <c r="B11" s="104">
        <v>3175122.125</v>
      </c>
      <c r="C11" s="662"/>
    </row>
    <row r="12" spans="1:5" x14ac:dyDescent="0.3">
      <c r="A12" s="100" t="s">
        <v>986</v>
      </c>
      <c r="B12" s="101">
        <v>4535888.75</v>
      </c>
      <c r="C12" s="3"/>
    </row>
    <row r="15" spans="1:5" x14ac:dyDescent="0.3">
      <c r="A15" s="4" t="s">
        <v>457</v>
      </c>
    </row>
    <row r="16" spans="1:5" x14ac:dyDescent="0.3">
      <c r="A16" s="106" t="s">
        <v>458</v>
      </c>
      <c r="B16" s="106"/>
      <c r="C16" s="106" t="s">
        <v>459</v>
      </c>
      <c r="D16" s="106" t="s">
        <v>460</v>
      </c>
      <c r="E16" s="106" t="s">
        <v>461</v>
      </c>
    </row>
    <row r="17" spans="1:34" x14ac:dyDescent="0.3">
      <c r="A17" s="107" t="s">
        <v>606</v>
      </c>
      <c r="B17" s="108" t="s">
        <v>463</v>
      </c>
      <c r="C17" s="109">
        <v>0.38</v>
      </c>
      <c r="D17" s="110">
        <v>1206546.4075</v>
      </c>
      <c r="E17" s="110">
        <v>402182.1358333333</v>
      </c>
    </row>
    <row r="18" spans="1:34" x14ac:dyDescent="0.3">
      <c r="A18" s="107" t="s">
        <v>607</v>
      </c>
      <c r="B18" s="108" t="s">
        <v>688</v>
      </c>
      <c r="C18" s="109">
        <v>0.4</v>
      </c>
      <c r="D18" s="110">
        <v>1270048.8500000001</v>
      </c>
      <c r="E18" s="110">
        <v>317512.21250000002</v>
      </c>
    </row>
    <row r="19" spans="1:34" x14ac:dyDescent="0.3">
      <c r="A19" s="107" t="s">
        <v>608</v>
      </c>
      <c r="B19" s="108">
        <v>4</v>
      </c>
      <c r="C19" s="109">
        <v>0.22</v>
      </c>
      <c r="D19" s="110">
        <v>698526.86750000005</v>
      </c>
      <c r="E19" s="110">
        <v>174631.71687500001</v>
      </c>
    </row>
    <row r="20" spans="1:34" x14ac:dyDescent="0.3">
      <c r="B20" s="1" t="s">
        <v>467</v>
      </c>
      <c r="C20" s="3">
        <v>1</v>
      </c>
      <c r="D20" s="112">
        <v>3175122.1250000005</v>
      </c>
    </row>
    <row r="23" spans="1:34" x14ac:dyDescent="0.3">
      <c r="A23" s="100" t="s">
        <v>769</v>
      </c>
      <c r="B23" s="769">
        <v>2417678</v>
      </c>
      <c r="Q23" s="115"/>
    </row>
    <row r="24" spans="1:34" x14ac:dyDescent="0.3">
      <c r="A24" s="714" t="s">
        <v>579</v>
      </c>
      <c r="B24" s="770">
        <v>1129304</v>
      </c>
      <c r="D24" s="1" t="s">
        <v>987</v>
      </c>
      <c r="E24" s="1"/>
      <c r="F24" s="2" t="s">
        <v>988</v>
      </c>
      <c r="H24" s="1" t="s">
        <v>472</v>
      </c>
      <c r="I24" s="1"/>
      <c r="J24" s="1"/>
      <c r="K24" s="304">
        <v>0.74</v>
      </c>
      <c r="L24" s="304"/>
      <c r="M24" s="304"/>
    </row>
    <row r="25" spans="1:34" x14ac:dyDescent="0.3">
      <c r="D25" s="1" t="s">
        <v>473</v>
      </c>
      <c r="E25" s="1"/>
      <c r="F25" s="2" t="s">
        <v>989</v>
      </c>
      <c r="H25" s="1" t="s">
        <v>473</v>
      </c>
      <c r="I25" s="1"/>
      <c r="J25" s="1"/>
      <c r="K25" s="1">
        <v>74</v>
      </c>
      <c r="L25" s="1"/>
      <c r="M25" s="1"/>
    </row>
    <row r="26" spans="1:34" x14ac:dyDescent="0.3">
      <c r="D26" s="1" t="s">
        <v>475</v>
      </c>
      <c r="E26" s="1"/>
      <c r="F26" s="2" t="s">
        <v>990</v>
      </c>
      <c r="H26" s="1" t="s">
        <v>475</v>
      </c>
      <c r="I26" s="1"/>
      <c r="J26" s="1"/>
      <c r="K26" s="1">
        <v>5485</v>
      </c>
      <c r="L26" s="1"/>
      <c r="M26" s="1"/>
      <c r="P26" s="115"/>
    </row>
    <row r="27" spans="1:34" x14ac:dyDescent="0.3">
      <c r="D27" s="1" t="s">
        <v>477</v>
      </c>
      <c r="E27" s="1"/>
      <c r="F27" s="2" t="s">
        <v>991</v>
      </c>
      <c r="H27" s="1" t="s">
        <v>477</v>
      </c>
      <c r="I27" s="1"/>
      <c r="J27" s="1"/>
      <c r="K27" s="95">
        <v>22302313</v>
      </c>
      <c r="L27" s="95"/>
      <c r="M27" s="95"/>
    </row>
    <row r="28" spans="1:34" x14ac:dyDescent="0.3">
      <c r="P28" s="115"/>
    </row>
    <row r="29" spans="1:34" ht="18" x14ac:dyDescent="0.35">
      <c r="A29" s="118" t="s">
        <v>479</v>
      </c>
      <c r="P29" s="115"/>
    </row>
    <row r="31" spans="1:34" x14ac:dyDescent="0.3">
      <c r="A31" s="2446" t="s">
        <v>480</v>
      </c>
      <c r="B31" s="2447"/>
      <c r="C31" s="2447"/>
      <c r="D31" s="2447"/>
      <c r="E31" s="2447"/>
      <c r="F31" s="2447"/>
      <c r="G31" s="2447"/>
      <c r="H31" s="2447"/>
      <c r="I31" s="2447"/>
      <c r="J31" s="2447"/>
      <c r="K31" s="2447"/>
      <c r="L31" s="2447"/>
      <c r="M31" s="2447"/>
      <c r="N31" s="2447"/>
      <c r="O31" s="2447"/>
      <c r="P31" s="2447"/>
      <c r="Q31" s="2447"/>
      <c r="R31" s="2447"/>
      <c r="S31" s="2448"/>
      <c r="T31" s="2374" t="s">
        <v>584</v>
      </c>
      <c r="U31" s="2375"/>
      <c r="V31" s="2375"/>
      <c r="W31" s="2375"/>
      <c r="X31" s="2375"/>
      <c r="Y31" s="2375"/>
      <c r="Z31" s="2375"/>
      <c r="AA31" s="2375"/>
      <c r="AB31" s="2375"/>
      <c r="AC31" s="2375"/>
      <c r="AD31" s="2375"/>
      <c r="AE31" s="2375"/>
      <c r="AF31" s="2375"/>
      <c r="AG31" s="2375"/>
      <c r="AH31" s="2376"/>
    </row>
    <row r="32" spans="1:34" ht="18" x14ac:dyDescent="0.35">
      <c r="A32" s="2284" t="s">
        <v>482</v>
      </c>
      <c r="B32" s="2286" t="s">
        <v>483</v>
      </c>
      <c r="C32" s="2286" t="s">
        <v>484</v>
      </c>
      <c r="D32" s="2286" t="s">
        <v>485</v>
      </c>
      <c r="E32" s="2286" t="s">
        <v>486</v>
      </c>
      <c r="F32" s="2288" t="s">
        <v>487</v>
      </c>
      <c r="G32" s="2286" t="s">
        <v>488</v>
      </c>
      <c r="H32" s="2286" t="s">
        <v>489</v>
      </c>
      <c r="I32" s="805" t="s">
        <v>490</v>
      </c>
      <c r="J32" s="213"/>
      <c r="K32" s="213"/>
      <c r="L32" s="2473"/>
      <c r="M32" s="265" t="s">
        <v>491</v>
      </c>
      <c r="N32" s="266" t="s">
        <v>492</v>
      </c>
      <c r="O32" s="266" t="s">
        <v>812</v>
      </c>
      <c r="P32" s="267" t="s">
        <v>493</v>
      </c>
      <c r="Q32" s="266" t="s">
        <v>492</v>
      </c>
      <c r="R32" s="266" t="s">
        <v>494</v>
      </c>
      <c r="S32" s="2267" t="s">
        <v>495</v>
      </c>
      <c r="T32" s="692" t="s">
        <v>496</v>
      </c>
      <c r="U32" s="2424" t="s">
        <v>497</v>
      </c>
      <c r="V32" s="2425"/>
      <c r="W32" s="2425"/>
      <c r="X32" s="2425"/>
      <c r="Y32" s="2425"/>
      <c r="Z32" s="2418" t="s">
        <v>498</v>
      </c>
      <c r="AA32" s="2419"/>
      <c r="AB32" s="2418" t="s">
        <v>499</v>
      </c>
      <c r="AC32" s="2422"/>
      <c r="AD32" s="2422"/>
      <c r="AE32" s="2422"/>
      <c r="AF32" s="2422"/>
      <c r="AG32" s="2422"/>
      <c r="AH32" s="2419"/>
    </row>
    <row r="33" spans="1:34" ht="18" x14ac:dyDescent="0.35">
      <c r="A33" s="2285"/>
      <c r="B33" s="2287"/>
      <c r="C33" s="2287"/>
      <c r="D33" s="2287"/>
      <c r="E33" s="2287"/>
      <c r="F33" s="2289"/>
      <c r="G33" s="2287"/>
      <c r="H33" s="2287"/>
      <c r="I33" s="269" t="s">
        <v>500</v>
      </c>
      <c r="J33" s="269" t="s">
        <v>501</v>
      </c>
      <c r="K33" s="269" t="s">
        <v>502</v>
      </c>
      <c r="L33" s="269" t="s">
        <v>503</v>
      </c>
      <c r="M33" s="270" t="s">
        <v>504</v>
      </c>
      <c r="N33" s="271" t="s">
        <v>505</v>
      </c>
      <c r="O33" s="271" t="s">
        <v>813</v>
      </c>
      <c r="P33" s="272" t="s">
        <v>506</v>
      </c>
      <c r="Q33" s="271" t="s">
        <v>507</v>
      </c>
      <c r="R33" s="271" t="s">
        <v>507</v>
      </c>
      <c r="S33" s="2268"/>
      <c r="T33" s="671" t="s">
        <v>508</v>
      </c>
      <c r="U33" s="2427"/>
      <c r="V33" s="2428"/>
      <c r="W33" s="2428"/>
      <c r="X33" s="2428"/>
      <c r="Y33" s="2428"/>
      <c r="Z33" s="2420"/>
      <c r="AA33" s="2421"/>
      <c r="AB33" s="2420"/>
      <c r="AC33" s="2423"/>
      <c r="AD33" s="2423"/>
      <c r="AE33" s="2423"/>
      <c r="AF33" s="2423"/>
      <c r="AG33" s="2423"/>
      <c r="AH33" s="2421"/>
    </row>
    <row r="34" spans="1:34" ht="18" x14ac:dyDescent="0.35">
      <c r="A34" s="2767" t="s">
        <v>509</v>
      </c>
      <c r="B34" s="2263"/>
      <c r="C34" s="2263"/>
      <c r="D34" s="2263"/>
      <c r="E34" s="2263"/>
      <c r="F34" s="2263"/>
      <c r="G34" s="2263"/>
      <c r="H34" s="2263"/>
      <c r="I34" s="2263"/>
      <c r="J34" s="2263"/>
      <c r="K34" s="2263"/>
      <c r="L34" s="2263"/>
      <c r="M34" s="2263"/>
      <c r="N34" s="2263"/>
      <c r="O34" s="2263"/>
      <c r="P34" s="2263"/>
      <c r="Q34" s="2263"/>
      <c r="R34" s="2263"/>
      <c r="S34" s="2264"/>
      <c r="T34" s="771"/>
      <c r="U34" s="719" t="s">
        <v>510</v>
      </c>
      <c r="V34" s="717" t="s">
        <v>11</v>
      </c>
      <c r="W34" s="717" t="s">
        <v>511</v>
      </c>
      <c r="X34" s="717" t="s">
        <v>512</v>
      </c>
      <c r="Y34" s="718" t="s">
        <v>513</v>
      </c>
      <c r="Z34" s="719" t="s">
        <v>514</v>
      </c>
      <c r="AA34" s="718" t="s">
        <v>515</v>
      </c>
      <c r="AB34" s="719" t="s">
        <v>298</v>
      </c>
      <c r="AC34" s="717" t="s">
        <v>299</v>
      </c>
      <c r="AD34" s="717" t="s">
        <v>300</v>
      </c>
      <c r="AE34" s="717" t="s">
        <v>301</v>
      </c>
      <c r="AF34" s="717" t="s">
        <v>6</v>
      </c>
      <c r="AG34" s="717"/>
      <c r="AH34" s="718"/>
    </row>
    <row r="35" spans="1:34" ht="18" x14ac:dyDescent="0.35">
      <c r="A35" s="154"/>
      <c r="B35" s="462"/>
      <c r="C35" s="462"/>
      <c r="D35" s="462"/>
      <c r="E35" s="462"/>
      <c r="F35" s="463"/>
      <c r="G35" s="462"/>
      <c r="H35" s="462"/>
      <c r="I35" s="465"/>
      <c r="J35" s="465"/>
      <c r="K35" s="465"/>
      <c r="L35" s="465"/>
      <c r="M35" s="462"/>
      <c r="N35" s="468"/>
      <c r="O35" s="469"/>
      <c r="P35" s="468"/>
      <c r="Q35" s="468"/>
      <c r="R35" s="1487"/>
      <c r="T35" s="166"/>
      <c r="U35" s="188"/>
      <c r="Y35" s="286"/>
      <c r="Z35" s="188"/>
      <c r="AA35" s="286"/>
      <c r="AB35" s="154"/>
      <c r="AC35" s="1488"/>
      <c r="AD35" s="154"/>
      <c r="AE35" s="154"/>
      <c r="AF35" s="154"/>
      <c r="AG35" s="154"/>
      <c r="AH35" s="154"/>
    </row>
    <row r="36" spans="1:34" x14ac:dyDescent="0.3">
      <c r="A36" s="157" t="s">
        <v>992</v>
      </c>
      <c r="B36" s="157" t="s">
        <v>198</v>
      </c>
      <c r="C36" s="157" t="s">
        <v>993</v>
      </c>
      <c r="D36" s="157" t="s">
        <v>26</v>
      </c>
      <c r="E36" s="157" t="s">
        <v>520</v>
      </c>
      <c r="F36" s="158" t="s">
        <v>895</v>
      </c>
      <c r="G36" s="157">
        <v>2</v>
      </c>
      <c r="H36" s="157" t="s">
        <v>24</v>
      </c>
      <c r="I36" s="175">
        <v>2</v>
      </c>
      <c r="J36" s="176"/>
      <c r="K36" s="176"/>
      <c r="L36" s="177"/>
      <c r="M36" s="157">
        <v>1</v>
      </c>
      <c r="N36" s="503">
        <v>20835</v>
      </c>
      <c r="O36" s="166">
        <f>N36*M36*G36</f>
        <v>41670</v>
      </c>
      <c r="P36" s="173">
        <v>0.65</v>
      </c>
      <c r="Q36" s="503">
        <f t="shared" ref="Q36:Q47" si="0">N36*(1-P36)</f>
        <v>7292.2499999999991</v>
      </c>
      <c r="R36" s="166">
        <f t="shared" ref="R36:R47" si="1">Q36*M36*G36</f>
        <v>14584.499999999998</v>
      </c>
      <c r="S36" s="504">
        <f t="shared" ref="S36:S47" si="2">R36/$R$53</f>
        <v>3.6277303213259421E-2</v>
      </c>
      <c r="T36" s="503">
        <f t="shared" ref="T36:T47" si="3">R36*2</f>
        <v>29168.999999999996</v>
      </c>
      <c r="U36" s="394">
        <f t="shared" ref="U36:U38" si="4">T36</f>
        <v>29168.999999999996</v>
      </c>
      <c r="V36" s="169"/>
      <c r="W36" s="169"/>
      <c r="X36" s="169"/>
      <c r="Y36" s="395"/>
      <c r="Z36" s="394">
        <f>T36</f>
        <v>29168.999999999996</v>
      </c>
      <c r="AA36" s="395"/>
      <c r="AB36" s="174">
        <f>T36</f>
        <v>29168.999999999996</v>
      </c>
      <c r="AC36" s="172"/>
      <c r="AD36" s="172"/>
      <c r="AE36" s="172"/>
      <c r="AF36" s="172"/>
      <c r="AG36" s="172"/>
      <c r="AH36" s="172"/>
    </row>
    <row r="37" spans="1:34" x14ac:dyDescent="0.3">
      <c r="A37" s="157" t="s">
        <v>992</v>
      </c>
      <c r="B37" s="157" t="s">
        <v>198</v>
      </c>
      <c r="C37" s="157" t="s">
        <v>993</v>
      </c>
      <c r="D37" s="157" t="s">
        <v>103</v>
      </c>
      <c r="E37" s="157" t="s">
        <v>520</v>
      </c>
      <c r="F37" s="158" t="s">
        <v>551</v>
      </c>
      <c r="G37" s="157">
        <v>1</v>
      </c>
      <c r="H37" s="157" t="s">
        <v>24</v>
      </c>
      <c r="I37" s="175">
        <v>1</v>
      </c>
      <c r="J37" s="176"/>
      <c r="K37" s="176"/>
      <c r="L37" s="177"/>
      <c r="M37" s="157">
        <v>1</v>
      </c>
      <c r="N37" s="503">
        <v>74550</v>
      </c>
      <c r="O37" s="166">
        <f t="shared" ref="O37:O47" si="5">N37*M37*G37</f>
        <v>74550</v>
      </c>
      <c r="P37" s="173">
        <v>0.65</v>
      </c>
      <c r="Q37" s="503">
        <f t="shared" si="0"/>
        <v>26092.5</v>
      </c>
      <c r="R37" s="166">
        <f t="shared" si="1"/>
        <v>26092.5</v>
      </c>
      <c r="S37" s="504">
        <f t="shared" si="2"/>
        <v>6.4902158736464849E-2</v>
      </c>
      <c r="T37" s="503">
        <f t="shared" si="3"/>
        <v>52185</v>
      </c>
      <c r="U37" s="394">
        <f t="shared" si="4"/>
        <v>52185</v>
      </c>
      <c r="V37" s="169"/>
      <c r="W37" s="169"/>
      <c r="X37" s="169"/>
      <c r="Y37" s="395"/>
      <c r="Z37" s="394">
        <f>T37</f>
        <v>52185</v>
      </c>
      <c r="AA37" s="395"/>
      <c r="AB37" s="174">
        <f>T37</f>
        <v>52185</v>
      </c>
      <c r="AC37" s="172"/>
      <c r="AD37" s="172"/>
      <c r="AE37" s="172"/>
      <c r="AF37" s="172"/>
      <c r="AG37" s="172"/>
      <c r="AH37" s="172"/>
    </row>
    <row r="38" spans="1:34" x14ac:dyDescent="0.3">
      <c r="A38" s="157" t="s">
        <v>992</v>
      </c>
      <c r="B38" s="157" t="s">
        <v>199</v>
      </c>
      <c r="C38" s="157" t="s">
        <v>993</v>
      </c>
      <c r="D38" s="157" t="s">
        <v>26</v>
      </c>
      <c r="E38" s="157" t="s">
        <v>520</v>
      </c>
      <c r="F38" s="158" t="s">
        <v>895</v>
      </c>
      <c r="G38" s="157">
        <v>2</v>
      </c>
      <c r="H38" s="157" t="s">
        <v>24</v>
      </c>
      <c r="I38" s="175">
        <v>2</v>
      </c>
      <c r="J38" s="176"/>
      <c r="K38" s="176"/>
      <c r="L38" s="177"/>
      <c r="M38" s="157">
        <v>1</v>
      </c>
      <c r="N38" s="503">
        <v>10000</v>
      </c>
      <c r="O38" s="166">
        <f t="shared" si="5"/>
        <v>20000</v>
      </c>
      <c r="P38" s="173">
        <v>0.42</v>
      </c>
      <c r="Q38" s="503">
        <f t="shared" si="0"/>
        <v>5800.0000000000009</v>
      </c>
      <c r="R38" s="166">
        <f t="shared" si="1"/>
        <v>11600.000000000002</v>
      </c>
      <c r="S38" s="504">
        <f t="shared" si="2"/>
        <v>2.8853695174590105E-2</v>
      </c>
      <c r="T38" s="503">
        <f t="shared" si="3"/>
        <v>23200.000000000004</v>
      </c>
      <c r="U38" s="394">
        <f t="shared" si="4"/>
        <v>23200.000000000004</v>
      </c>
      <c r="V38" s="169"/>
      <c r="W38" s="169"/>
      <c r="X38" s="169"/>
      <c r="Y38" s="395"/>
      <c r="Z38" s="394">
        <f>T38</f>
        <v>23200.000000000004</v>
      </c>
      <c r="AA38" s="395"/>
      <c r="AB38" s="172"/>
      <c r="AC38" s="174">
        <f>T38</f>
        <v>23200.000000000004</v>
      </c>
      <c r="AD38" s="172"/>
      <c r="AE38" s="172"/>
      <c r="AF38" s="172"/>
      <c r="AG38" s="172"/>
      <c r="AH38" s="172"/>
    </row>
    <row r="39" spans="1:34" x14ac:dyDescent="0.3">
      <c r="A39" s="157" t="s">
        <v>992</v>
      </c>
      <c r="B39" s="157" t="s">
        <v>199</v>
      </c>
      <c r="C39" s="157" t="s">
        <v>993</v>
      </c>
      <c r="D39" s="157" t="s">
        <v>21</v>
      </c>
      <c r="E39" s="157" t="s">
        <v>518</v>
      </c>
      <c r="F39" s="158" t="s">
        <v>994</v>
      </c>
      <c r="G39" s="157">
        <v>3</v>
      </c>
      <c r="H39" s="157" t="s">
        <v>147</v>
      </c>
      <c r="I39" s="175">
        <v>2</v>
      </c>
      <c r="J39" s="688"/>
      <c r="L39" s="180"/>
      <c r="M39" s="157">
        <v>1</v>
      </c>
      <c r="N39" s="503">
        <v>12511</v>
      </c>
      <c r="O39" s="166">
        <f t="shared" si="5"/>
        <v>37533</v>
      </c>
      <c r="P39" s="173">
        <v>0.69</v>
      </c>
      <c r="Q39" s="503">
        <f t="shared" si="0"/>
        <v>3878.4100000000008</v>
      </c>
      <c r="R39" s="166">
        <f t="shared" si="1"/>
        <v>11635.230000000003</v>
      </c>
      <c r="S39" s="167">
        <f t="shared" si="2"/>
        <v>2.894132583674535E-2</v>
      </c>
      <c r="T39" s="503">
        <f t="shared" si="3"/>
        <v>23270.460000000006</v>
      </c>
      <c r="U39" s="394">
        <f>T39</f>
        <v>23270.460000000006</v>
      </c>
      <c r="V39" s="169"/>
      <c r="W39" s="169"/>
      <c r="X39" s="169"/>
      <c r="Y39" s="395"/>
      <c r="Z39" s="394"/>
      <c r="AA39" s="395">
        <f>T39</f>
        <v>23270.460000000006</v>
      </c>
      <c r="AB39" s="172"/>
      <c r="AC39" s="174">
        <f>T39</f>
        <v>23270.460000000006</v>
      </c>
      <c r="AD39" s="172"/>
      <c r="AE39" s="172"/>
      <c r="AF39" s="172"/>
      <c r="AG39" s="172"/>
      <c r="AH39" s="172"/>
    </row>
    <row r="40" spans="1:34" x14ac:dyDescent="0.3">
      <c r="A40" s="157" t="s">
        <v>992</v>
      </c>
      <c r="B40" s="157" t="s">
        <v>200</v>
      </c>
      <c r="C40" s="157" t="s">
        <v>993</v>
      </c>
      <c r="D40" s="157" t="s">
        <v>103</v>
      </c>
      <c r="E40" s="157" t="s">
        <v>518</v>
      </c>
      <c r="F40" s="158" t="s">
        <v>523</v>
      </c>
      <c r="G40" s="157">
        <v>1</v>
      </c>
      <c r="H40" s="157" t="s">
        <v>24</v>
      </c>
      <c r="I40" s="175">
        <v>1</v>
      </c>
      <c r="J40" s="176"/>
      <c r="K40" s="176"/>
      <c r="L40" s="177"/>
      <c r="M40" s="163">
        <v>1</v>
      </c>
      <c r="N40" s="503">
        <v>138600</v>
      </c>
      <c r="O40" s="166">
        <f t="shared" si="5"/>
        <v>138600</v>
      </c>
      <c r="P40" s="173">
        <v>0.64</v>
      </c>
      <c r="Q40" s="503">
        <f t="shared" si="0"/>
        <v>49896</v>
      </c>
      <c r="R40" s="166">
        <f t="shared" si="1"/>
        <v>49896</v>
      </c>
      <c r="S40" s="167">
        <f t="shared" si="2"/>
        <v>0.12411068745097824</v>
      </c>
      <c r="T40" s="503">
        <f t="shared" si="3"/>
        <v>99792</v>
      </c>
      <c r="U40" s="394">
        <f>T40</f>
        <v>99792</v>
      </c>
      <c r="V40" s="169"/>
      <c r="W40" s="169"/>
      <c r="X40" s="169"/>
      <c r="Y40" s="395"/>
      <c r="Z40" s="394"/>
      <c r="AA40" s="395">
        <f>T40</f>
        <v>99792</v>
      </c>
      <c r="AB40" s="172"/>
      <c r="AC40" s="172"/>
      <c r="AD40" s="174">
        <f>T40</f>
        <v>99792</v>
      </c>
      <c r="AE40" s="172"/>
      <c r="AF40" s="172"/>
      <c r="AG40" s="172"/>
      <c r="AH40" s="172"/>
    </row>
    <row r="41" spans="1:34" x14ac:dyDescent="0.3">
      <c r="A41" s="157" t="s">
        <v>992</v>
      </c>
      <c r="B41" s="157" t="s">
        <v>200</v>
      </c>
      <c r="C41" s="157" t="s">
        <v>995</v>
      </c>
      <c r="D41" s="157" t="s">
        <v>201</v>
      </c>
      <c r="E41" s="157" t="s">
        <v>518</v>
      </c>
      <c r="F41" s="158" t="s">
        <v>581</v>
      </c>
      <c r="G41" s="157">
        <v>1</v>
      </c>
      <c r="H41" s="157" t="s">
        <v>22</v>
      </c>
      <c r="I41" s="772"/>
      <c r="J41" s="688">
        <v>26</v>
      </c>
      <c r="L41" s="774"/>
      <c r="M41" s="163">
        <v>1</v>
      </c>
      <c r="N41" s="503">
        <v>65000</v>
      </c>
      <c r="O41" s="166">
        <f t="shared" si="5"/>
        <v>65000</v>
      </c>
      <c r="P41" s="173">
        <v>0.36</v>
      </c>
      <c r="Q41" s="503">
        <f t="shared" si="0"/>
        <v>41600</v>
      </c>
      <c r="R41" s="166">
        <f t="shared" si="1"/>
        <v>41600</v>
      </c>
      <c r="S41" s="167">
        <f t="shared" si="2"/>
        <v>0.10347532062611622</v>
      </c>
      <c r="T41" s="503">
        <f t="shared" si="3"/>
        <v>83200</v>
      </c>
      <c r="U41" s="394"/>
      <c r="V41" s="169">
        <f>T41</f>
        <v>83200</v>
      </c>
      <c r="W41" s="169"/>
      <c r="X41" s="169"/>
      <c r="Y41" s="395"/>
      <c r="Z41" s="394"/>
      <c r="AA41" s="395">
        <f>T41</f>
        <v>83200</v>
      </c>
      <c r="AB41" s="172"/>
      <c r="AC41" s="172"/>
      <c r="AD41" s="174">
        <f>T41</f>
        <v>83200</v>
      </c>
      <c r="AE41" s="172"/>
      <c r="AF41" s="172"/>
      <c r="AG41" s="172"/>
      <c r="AH41" s="172"/>
    </row>
    <row r="42" spans="1:34" x14ac:dyDescent="0.3">
      <c r="A42" s="157" t="s">
        <v>992</v>
      </c>
      <c r="B42" s="157" t="s">
        <v>200</v>
      </c>
      <c r="C42" s="157" t="s">
        <v>995</v>
      </c>
      <c r="D42" s="157" t="s">
        <v>202</v>
      </c>
      <c r="E42" s="157" t="s">
        <v>520</v>
      </c>
      <c r="F42" s="158" t="s">
        <v>552</v>
      </c>
      <c r="G42" s="157">
        <v>1</v>
      </c>
      <c r="H42" s="157" t="s">
        <v>24</v>
      </c>
      <c r="I42" s="175">
        <v>10</v>
      </c>
      <c r="J42" s="176"/>
      <c r="K42" s="176"/>
      <c r="L42" s="177"/>
      <c r="M42" s="163">
        <v>1</v>
      </c>
      <c r="N42" s="503">
        <v>64800</v>
      </c>
      <c r="O42" s="166">
        <f t="shared" si="5"/>
        <v>64800</v>
      </c>
      <c r="P42" s="173">
        <v>0.7</v>
      </c>
      <c r="Q42" s="503">
        <f t="shared" si="0"/>
        <v>19440.000000000004</v>
      </c>
      <c r="R42" s="166">
        <f t="shared" si="1"/>
        <v>19440.000000000004</v>
      </c>
      <c r="S42" s="504">
        <f t="shared" si="2"/>
        <v>4.8354813292588936E-2</v>
      </c>
      <c r="T42" s="503">
        <f t="shared" si="3"/>
        <v>38880.000000000007</v>
      </c>
      <c r="U42" s="394"/>
      <c r="V42" s="169">
        <f>T42</f>
        <v>38880.000000000007</v>
      </c>
      <c r="W42" s="169"/>
      <c r="X42" s="169"/>
      <c r="Y42" s="395"/>
      <c r="Z42" s="394">
        <f>T42</f>
        <v>38880.000000000007</v>
      </c>
      <c r="AA42" s="395"/>
      <c r="AB42" s="172"/>
      <c r="AC42" s="172"/>
      <c r="AD42" s="174">
        <f>T42</f>
        <v>38880.000000000007</v>
      </c>
      <c r="AE42" s="172"/>
      <c r="AF42" s="172"/>
      <c r="AG42" s="172"/>
      <c r="AH42" s="172"/>
    </row>
    <row r="43" spans="1:34" x14ac:dyDescent="0.3">
      <c r="A43" s="157" t="s">
        <v>992</v>
      </c>
      <c r="B43" s="157" t="s">
        <v>195</v>
      </c>
      <c r="C43" s="157" t="s">
        <v>995</v>
      </c>
      <c r="D43" s="157" t="s">
        <v>11</v>
      </c>
      <c r="E43" s="157" t="s">
        <v>520</v>
      </c>
      <c r="F43" s="158" t="s">
        <v>151</v>
      </c>
      <c r="G43" s="157">
        <v>1</v>
      </c>
      <c r="H43" s="157" t="s">
        <v>22</v>
      </c>
      <c r="I43" s="285">
        <v>50</v>
      </c>
      <c r="J43" s="1489"/>
      <c r="K43" s="1489"/>
      <c r="L43" s="774"/>
      <c r="M43" s="163">
        <v>1</v>
      </c>
      <c r="N43" s="166">
        <v>115500</v>
      </c>
      <c r="O43" s="166">
        <f t="shared" si="5"/>
        <v>115500</v>
      </c>
      <c r="P43" s="173">
        <v>0.7</v>
      </c>
      <c r="Q43" s="166">
        <f t="shared" si="0"/>
        <v>34650.000000000007</v>
      </c>
      <c r="R43" s="166">
        <f t="shared" si="1"/>
        <v>34650.000000000007</v>
      </c>
      <c r="S43" s="504">
        <f t="shared" si="2"/>
        <v>8.6187977396512683E-2</v>
      </c>
      <c r="T43" s="503">
        <f t="shared" si="3"/>
        <v>69300.000000000015</v>
      </c>
      <c r="U43" s="394"/>
      <c r="V43" s="169">
        <f>T43</f>
        <v>69300.000000000015</v>
      </c>
      <c r="W43" s="169"/>
      <c r="X43" s="169"/>
      <c r="Y43" s="395"/>
      <c r="Z43" s="394">
        <f>T43</f>
        <v>69300.000000000015</v>
      </c>
      <c r="AA43" s="395"/>
      <c r="AB43" s="172"/>
      <c r="AC43" s="172"/>
      <c r="AD43" s="172"/>
      <c r="AE43" s="174">
        <f>T43</f>
        <v>69300.000000000015</v>
      </c>
      <c r="AF43" s="172"/>
      <c r="AG43" s="172"/>
      <c r="AH43" s="172"/>
    </row>
    <row r="44" spans="1:34" x14ac:dyDescent="0.3">
      <c r="A44" s="157" t="s">
        <v>992</v>
      </c>
      <c r="B44" s="157" t="s">
        <v>183</v>
      </c>
      <c r="C44" s="157" t="s">
        <v>996</v>
      </c>
      <c r="D44" s="157" t="s">
        <v>202</v>
      </c>
      <c r="E44" s="157" t="s">
        <v>518</v>
      </c>
      <c r="F44" s="158" t="s">
        <v>997</v>
      </c>
      <c r="G44" s="157">
        <v>1</v>
      </c>
      <c r="H44" s="157" t="s">
        <v>22</v>
      </c>
      <c r="K44" s="285">
        <v>65</v>
      </c>
      <c r="M44" s="157">
        <v>1</v>
      </c>
      <c r="N44" s="166">
        <v>92000</v>
      </c>
      <c r="O44" s="166">
        <f t="shared" si="5"/>
        <v>92000</v>
      </c>
      <c r="P44" s="173">
        <v>0.45</v>
      </c>
      <c r="Q44" s="166">
        <f t="shared" si="0"/>
        <v>50600.000000000007</v>
      </c>
      <c r="R44" s="166">
        <f t="shared" si="1"/>
        <v>50600.000000000007</v>
      </c>
      <c r="S44" s="167">
        <f t="shared" si="2"/>
        <v>0.12586180826157409</v>
      </c>
      <c r="T44" s="503">
        <f t="shared" si="3"/>
        <v>101200.00000000001</v>
      </c>
      <c r="U44" s="394"/>
      <c r="V44" s="169">
        <f>T44</f>
        <v>101200.00000000001</v>
      </c>
      <c r="Y44" s="286"/>
      <c r="Z44" s="188"/>
      <c r="AA44" s="395">
        <f>T44</f>
        <v>101200.00000000001</v>
      </c>
      <c r="AB44" s="172"/>
      <c r="AC44" s="174"/>
      <c r="AD44" s="172"/>
      <c r="AE44" s="172"/>
      <c r="AF44" s="174">
        <f>T44</f>
        <v>101200.00000000001</v>
      </c>
      <c r="AG44" s="172"/>
      <c r="AH44" s="172"/>
    </row>
    <row r="45" spans="1:34" x14ac:dyDescent="0.3">
      <c r="A45" s="157" t="s">
        <v>992</v>
      </c>
      <c r="B45" s="157" t="s">
        <v>183</v>
      </c>
      <c r="C45" s="157" t="s">
        <v>993</v>
      </c>
      <c r="D45" s="157" t="s">
        <v>21</v>
      </c>
      <c r="E45" s="157" t="s">
        <v>518</v>
      </c>
      <c r="F45" s="158" t="s">
        <v>994</v>
      </c>
      <c r="G45" s="157">
        <v>2</v>
      </c>
      <c r="H45" s="157" t="s">
        <v>22</v>
      </c>
      <c r="J45" s="1489"/>
      <c r="K45" s="1489"/>
      <c r="L45" s="285">
        <v>2</v>
      </c>
      <c r="M45" s="157">
        <v>1</v>
      </c>
      <c r="N45" s="166">
        <v>45000</v>
      </c>
      <c r="O45" s="166">
        <f t="shared" si="5"/>
        <v>90000</v>
      </c>
      <c r="P45" s="173">
        <v>0.45</v>
      </c>
      <c r="Q45" s="166">
        <f t="shared" si="0"/>
        <v>24750.000000000004</v>
      </c>
      <c r="R45" s="166">
        <f t="shared" si="1"/>
        <v>49500.000000000007</v>
      </c>
      <c r="S45" s="167">
        <f t="shared" si="2"/>
        <v>0.12312568199501811</v>
      </c>
      <c r="T45" s="503">
        <f t="shared" si="3"/>
        <v>99000.000000000015</v>
      </c>
      <c r="U45" s="394">
        <f>T45</f>
        <v>99000.000000000015</v>
      </c>
      <c r="Y45" s="286"/>
      <c r="Z45" s="188"/>
      <c r="AA45" s="395">
        <f>T45</f>
        <v>99000.000000000015</v>
      </c>
      <c r="AB45" s="172"/>
      <c r="AC45" s="174"/>
      <c r="AD45" s="172"/>
      <c r="AE45" s="172"/>
      <c r="AF45" s="174">
        <f t="shared" ref="AF45:AF47" si="6">T45</f>
        <v>99000.000000000015</v>
      </c>
      <c r="AG45" s="172"/>
      <c r="AH45" s="172"/>
    </row>
    <row r="46" spans="1:34" x14ac:dyDescent="0.3">
      <c r="A46" s="157" t="s">
        <v>992</v>
      </c>
      <c r="B46" s="157" t="s">
        <v>183</v>
      </c>
      <c r="C46" s="157" t="s">
        <v>993</v>
      </c>
      <c r="D46" s="157" t="s">
        <v>26</v>
      </c>
      <c r="E46" s="157" t="s">
        <v>520</v>
      </c>
      <c r="F46" s="158" t="s">
        <v>895</v>
      </c>
      <c r="G46" s="157">
        <v>2</v>
      </c>
      <c r="H46" s="157" t="s">
        <v>24</v>
      </c>
      <c r="I46" s="175">
        <v>2</v>
      </c>
      <c r="J46" s="176"/>
      <c r="K46" s="176"/>
      <c r="L46" s="177"/>
      <c r="M46" s="157">
        <v>1</v>
      </c>
      <c r="N46" s="166">
        <v>6300</v>
      </c>
      <c r="O46" s="166">
        <f t="shared" si="5"/>
        <v>12600</v>
      </c>
      <c r="P46" s="173">
        <v>0.45</v>
      </c>
      <c r="Q46" s="166">
        <f t="shared" si="0"/>
        <v>3465.0000000000005</v>
      </c>
      <c r="R46" s="166">
        <f t="shared" si="1"/>
        <v>6930.0000000000009</v>
      </c>
      <c r="S46" s="504">
        <f t="shared" si="2"/>
        <v>1.7237595479302537E-2</v>
      </c>
      <c r="T46" s="503">
        <f t="shared" si="3"/>
        <v>13860.000000000002</v>
      </c>
      <c r="U46" s="394">
        <f>T46</f>
        <v>13860.000000000002</v>
      </c>
      <c r="Y46" s="286"/>
      <c r="Z46" s="394">
        <f>T46</f>
        <v>13860.000000000002</v>
      </c>
      <c r="AA46" s="286"/>
      <c r="AB46" s="172"/>
      <c r="AC46" s="174"/>
      <c r="AD46" s="172"/>
      <c r="AE46" s="172"/>
      <c r="AF46" s="174">
        <f t="shared" si="6"/>
        <v>13860.000000000002</v>
      </c>
      <c r="AG46" s="172"/>
      <c r="AH46" s="172"/>
    </row>
    <row r="47" spans="1:34" x14ac:dyDescent="0.3">
      <c r="A47" s="157" t="s">
        <v>992</v>
      </c>
      <c r="B47" s="157" t="s">
        <v>183</v>
      </c>
      <c r="C47" s="157" t="s">
        <v>993</v>
      </c>
      <c r="D47" s="157" t="s">
        <v>103</v>
      </c>
      <c r="E47" s="157" t="s">
        <v>520</v>
      </c>
      <c r="F47" s="158" t="s">
        <v>551</v>
      </c>
      <c r="G47" s="157">
        <v>1</v>
      </c>
      <c r="H47" s="157" t="s">
        <v>24</v>
      </c>
      <c r="I47" s="175">
        <v>1</v>
      </c>
      <c r="J47" s="176"/>
      <c r="K47" s="176"/>
      <c r="L47" s="177"/>
      <c r="M47" s="157">
        <v>1</v>
      </c>
      <c r="N47" s="166">
        <v>110000</v>
      </c>
      <c r="O47" s="166">
        <f t="shared" si="5"/>
        <v>110000</v>
      </c>
      <c r="P47" s="173">
        <v>0.45</v>
      </c>
      <c r="Q47" s="166">
        <f t="shared" si="0"/>
        <v>60500.000000000007</v>
      </c>
      <c r="R47" s="166">
        <f t="shared" si="1"/>
        <v>60500.000000000007</v>
      </c>
      <c r="S47" s="504">
        <f t="shared" si="2"/>
        <v>0.15048694466057769</v>
      </c>
      <c r="T47" s="503">
        <f t="shared" si="3"/>
        <v>121000.00000000001</v>
      </c>
      <c r="U47" s="394">
        <f>T47</f>
        <v>121000.00000000001</v>
      </c>
      <c r="Y47" s="286"/>
      <c r="Z47" s="394">
        <f>T47</f>
        <v>121000.00000000001</v>
      </c>
      <c r="AA47" s="286"/>
      <c r="AB47" s="172"/>
      <c r="AC47" s="174"/>
      <c r="AD47" s="172"/>
      <c r="AE47" s="172"/>
      <c r="AF47" s="174">
        <f t="shared" si="6"/>
        <v>121000.00000000001</v>
      </c>
      <c r="AG47" s="172"/>
      <c r="AH47" s="172"/>
    </row>
    <row r="48" spans="1:34" x14ac:dyDescent="0.3">
      <c r="A48" s="157"/>
      <c r="B48" s="157"/>
      <c r="C48" s="157"/>
      <c r="D48" s="157"/>
      <c r="E48" s="157"/>
      <c r="F48" s="158"/>
      <c r="G48" s="157"/>
      <c r="H48" s="157"/>
      <c r="M48" s="157"/>
      <c r="N48" s="166"/>
      <c r="O48" s="166"/>
      <c r="P48" s="173"/>
      <c r="Q48" s="166"/>
      <c r="R48" s="166"/>
      <c r="S48" s="167"/>
      <c r="T48" s="503"/>
      <c r="U48" s="394"/>
      <c r="Y48" s="286"/>
      <c r="Z48" s="394"/>
      <c r="AA48" s="286"/>
      <c r="AB48" s="172"/>
      <c r="AC48" s="172"/>
      <c r="AD48" s="172"/>
      <c r="AE48" s="172"/>
      <c r="AF48" s="172"/>
      <c r="AG48" s="172"/>
      <c r="AH48" s="172"/>
    </row>
    <row r="49" spans="1:34" x14ac:dyDescent="0.3">
      <c r="A49" s="172"/>
      <c r="B49" s="157"/>
      <c r="C49" s="157"/>
      <c r="D49" s="157"/>
      <c r="E49" s="157"/>
      <c r="F49" s="158"/>
      <c r="G49" s="157"/>
      <c r="H49" s="157"/>
      <c r="M49" s="157"/>
      <c r="N49" s="166"/>
      <c r="O49" s="1490"/>
      <c r="P49" s="173"/>
      <c r="Q49" s="166"/>
      <c r="R49" s="166"/>
      <c r="S49" s="393"/>
      <c r="T49" s="166"/>
      <c r="U49" s="188"/>
      <c r="Y49" s="286"/>
      <c r="Z49" s="188"/>
      <c r="AA49" s="286"/>
      <c r="AB49" s="172"/>
      <c r="AC49" s="172"/>
      <c r="AD49" s="172"/>
      <c r="AE49" s="172"/>
      <c r="AF49" s="172"/>
      <c r="AG49" s="172"/>
      <c r="AH49" s="172"/>
    </row>
    <row r="50" spans="1:34" x14ac:dyDescent="0.3">
      <c r="A50" s="108" t="s">
        <v>992</v>
      </c>
      <c r="B50" s="108" t="s">
        <v>528</v>
      </c>
      <c r="C50" s="289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5"/>
      <c r="P50" s="256"/>
      <c r="Q50" s="290"/>
      <c r="R50" s="257"/>
      <c r="S50" s="291"/>
      <c r="T50" s="503"/>
      <c r="U50" s="188"/>
      <c r="X50" s="169"/>
      <c r="Y50" s="286"/>
      <c r="Z50" s="188"/>
      <c r="AA50" s="286"/>
      <c r="AB50" s="172"/>
      <c r="AC50" s="172"/>
      <c r="AD50" s="172"/>
      <c r="AE50" s="172"/>
      <c r="AF50" s="172"/>
      <c r="AG50" s="172"/>
      <c r="AH50" s="172"/>
    </row>
    <row r="51" spans="1:34" x14ac:dyDescent="0.3">
      <c r="A51" s="108" t="s">
        <v>992</v>
      </c>
      <c r="B51" s="108" t="s">
        <v>529</v>
      </c>
      <c r="C51" s="289"/>
      <c r="D51" s="252"/>
      <c r="E51" s="252"/>
      <c r="F51" s="253"/>
      <c r="G51" s="252"/>
      <c r="H51" s="252"/>
      <c r="I51" s="254"/>
      <c r="J51" s="254"/>
      <c r="K51" s="254"/>
      <c r="L51" s="254"/>
      <c r="M51" s="252"/>
      <c r="N51" s="255"/>
      <c r="O51" s="255"/>
      <c r="P51" s="256"/>
      <c r="Q51" s="290"/>
      <c r="R51" s="257">
        <v>25000</v>
      </c>
      <c r="S51" s="291">
        <f>R51/R53</f>
        <v>6.2184687876271766E-2</v>
      </c>
      <c r="T51" s="503">
        <f>R51*2</f>
        <v>50000</v>
      </c>
      <c r="U51" s="188"/>
      <c r="Y51" s="395">
        <f>T51</f>
        <v>50000</v>
      </c>
      <c r="Z51" s="188"/>
      <c r="AA51" s="286"/>
      <c r="AB51" s="172"/>
      <c r="AC51" s="172"/>
      <c r="AD51" s="172"/>
      <c r="AE51" s="172"/>
      <c r="AF51" s="172"/>
      <c r="AG51" s="172"/>
      <c r="AH51" s="172"/>
    </row>
    <row r="52" spans="1:34" x14ac:dyDescent="0.3">
      <c r="I52" s="115">
        <f>I53/$M$53</f>
        <v>0.43292682926829268</v>
      </c>
      <c r="J52" s="115">
        <f t="shared" ref="J52:L52" si="7">J53/$M$53</f>
        <v>0.15853658536585366</v>
      </c>
      <c r="K52" s="115">
        <f t="shared" si="7"/>
        <v>0.39634146341463417</v>
      </c>
      <c r="L52" s="115">
        <f t="shared" si="7"/>
        <v>1.2195121951219513E-2</v>
      </c>
      <c r="O52" s="99"/>
      <c r="P52" s="3"/>
      <c r="R52" s="99"/>
      <c r="S52" s="3"/>
      <c r="T52" s="166"/>
      <c r="U52" s="188"/>
      <c r="Y52" s="286"/>
      <c r="Z52" s="188"/>
      <c r="AA52" s="286"/>
      <c r="AB52" s="211"/>
      <c r="AC52" s="211"/>
      <c r="AD52" s="211"/>
      <c r="AE52" s="211"/>
      <c r="AF52" s="211"/>
      <c r="AG52" s="211"/>
      <c r="AH52" s="211"/>
    </row>
    <row r="53" spans="1:34" x14ac:dyDescent="0.3">
      <c r="A53" s="212" t="s">
        <v>531</v>
      </c>
      <c r="B53" s="213"/>
      <c r="C53" s="213"/>
      <c r="D53" s="213"/>
      <c r="E53" s="213"/>
      <c r="F53" s="214"/>
      <c r="G53" s="213"/>
      <c r="H53" s="213"/>
      <c r="I53" s="690">
        <f>I47+I46+I43+I42+I40+I39+I38+I37+I36</f>
        <v>71</v>
      </c>
      <c r="J53" s="690">
        <f>J41</f>
        <v>26</v>
      </c>
      <c r="K53" s="690">
        <f>K44</f>
        <v>65</v>
      </c>
      <c r="L53" s="690">
        <f>L45</f>
        <v>2</v>
      </c>
      <c r="M53" s="213">
        <f>SUM(I53:L53)</f>
        <v>164</v>
      </c>
      <c r="N53" s="215"/>
      <c r="O53" s="215">
        <f>SUM(O36:O52)</f>
        <v>862253</v>
      </c>
      <c r="P53" s="216">
        <f>1-R53/O53</f>
        <v>0.53374678893549798</v>
      </c>
      <c r="Q53" s="215"/>
      <c r="R53" s="215">
        <f>SUM(R35:R52)</f>
        <v>402028.23000000004</v>
      </c>
      <c r="S53" s="218">
        <f>SUM(S36:S52)</f>
        <v>1</v>
      </c>
      <c r="T53" s="508">
        <f>SUM(T36:T52)</f>
        <v>804056.46000000008</v>
      </c>
      <c r="U53" s="509">
        <f>SUM(U36:U51)</f>
        <v>461476.46</v>
      </c>
      <c r="V53" s="294">
        <f>SUM(V36:V51)</f>
        <v>292580</v>
      </c>
      <c r="W53" s="294"/>
      <c r="X53" s="294"/>
      <c r="Y53" s="294">
        <f>SUM(Y36:Y51)</f>
        <v>50000</v>
      </c>
      <c r="Z53" s="482">
        <f>SUM(Z36:Z51)</f>
        <v>347594</v>
      </c>
      <c r="AA53" s="483">
        <f>SUM(AA36:AA51)</f>
        <v>406462.46</v>
      </c>
      <c r="AB53" s="226">
        <f>SUM(AB35:AB52)</f>
        <v>81354</v>
      </c>
      <c r="AC53" s="226">
        <f>SUM(AC35:AC52)</f>
        <v>46470.460000000006</v>
      </c>
      <c r="AD53" s="226">
        <f t="shared" ref="AD53:AF53" si="8">SUM(AD35:AD52)</f>
        <v>221872</v>
      </c>
      <c r="AE53" s="226">
        <f t="shared" si="8"/>
        <v>69300.000000000015</v>
      </c>
      <c r="AF53" s="226">
        <f t="shared" si="8"/>
        <v>335060.00000000006</v>
      </c>
      <c r="AG53" s="226"/>
      <c r="AH53" s="631"/>
    </row>
    <row r="54" spans="1:34" x14ac:dyDescent="0.3">
      <c r="A54" s="228" t="s">
        <v>532</v>
      </c>
      <c r="B54" s="229"/>
      <c r="C54" s="229"/>
      <c r="D54" s="229"/>
      <c r="E54" s="229"/>
      <c r="F54" s="230"/>
      <c r="G54" s="229"/>
      <c r="H54" s="229"/>
      <c r="I54" s="691">
        <f>+I47+I46+I43+I42+I40+I39+I38+I37+I36</f>
        <v>71</v>
      </c>
      <c r="J54" s="691">
        <f>I47+I46+I42+J41+I40+I39+I38+I37+I36</f>
        <v>47</v>
      </c>
      <c r="K54" s="691">
        <f>I47+I46+K44+I42+I40+I38+I37+I36</f>
        <v>84</v>
      </c>
      <c r="L54" s="691">
        <f>I47+I46+L45+I42+I40+I38+I37+I36</f>
        <v>21</v>
      </c>
      <c r="M54" s="229">
        <f>SUM(I54:L54)</f>
        <v>223</v>
      </c>
      <c r="N54" s="231"/>
      <c r="O54" s="231"/>
      <c r="P54" s="232"/>
      <c r="Q54" s="231"/>
      <c r="R54" s="231"/>
      <c r="S54" s="233"/>
      <c r="T54" s="510"/>
      <c r="U54" s="1491">
        <f>U53/T53</f>
        <v>0.57393539254693626</v>
      </c>
      <c r="V54" s="236">
        <f>V53/T53</f>
        <v>0.36387991957679189</v>
      </c>
      <c r="W54" s="487"/>
      <c r="X54" s="236"/>
      <c r="Y54" s="236">
        <f>Y53/T53</f>
        <v>6.2184687876271766E-2</v>
      </c>
      <c r="Z54" s="272">
        <f>Z53/T53</f>
        <v>0.43230048795329618</v>
      </c>
      <c r="AA54" s="485">
        <f>AA53/T53</f>
        <v>0.50551482417043203</v>
      </c>
      <c r="AB54" s="241"/>
      <c r="AC54" s="241"/>
      <c r="AD54" s="241"/>
      <c r="AE54" s="241"/>
      <c r="AF54" s="241"/>
      <c r="AG54" s="241"/>
      <c r="AH54" s="242"/>
    </row>
    <row r="55" spans="1:34" x14ac:dyDescent="0.3">
      <c r="A55" s="243" t="s">
        <v>533</v>
      </c>
      <c r="B55" s="193"/>
      <c r="C55" s="193"/>
      <c r="D55" s="193"/>
      <c r="E55" s="193"/>
      <c r="F55" s="244"/>
      <c r="G55" s="193"/>
      <c r="H55" s="193"/>
      <c r="I55" s="2182">
        <f>I54/$M$54</f>
        <v>0.31838565022421522</v>
      </c>
      <c r="J55" s="2182">
        <f t="shared" ref="J55:L55" si="9">J54/$M$54</f>
        <v>0.21076233183856502</v>
      </c>
      <c r="K55" s="2182">
        <f t="shared" si="9"/>
        <v>0.37668161434977576</v>
      </c>
      <c r="L55" s="2182">
        <f t="shared" si="9"/>
        <v>9.417040358744394E-2</v>
      </c>
      <c r="M55" s="193"/>
      <c r="N55" s="246"/>
      <c r="O55" s="1463"/>
      <c r="P55" s="196"/>
      <c r="Q55" s="246"/>
      <c r="R55" s="194">
        <f>U53/2</f>
        <v>230738.23</v>
      </c>
      <c r="S55" s="247">
        <f>R55/R53</f>
        <v>0.57393539254693626</v>
      </c>
      <c r="T55" s="99"/>
      <c r="Y55" s="248"/>
      <c r="Z55" s="761">
        <f>I36+I37+I38+I42+I43+I46+I47</f>
        <v>68</v>
      </c>
      <c r="AA55" s="761">
        <f>I39+I40+J41+K44+L45</f>
        <v>96</v>
      </c>
      <c r="AB55" s="1464"/>
      <c r="AC55" s="143"/>
      <c r="AD55" s="143"/>
      <c r="AE55" s="143"/>
      <c r="AF55" s="143"/>
      <c r="AG55" s="143"/>
      <c r="AH55" s="143"/>
    </row>
    <row r="56" spans="1:34" x14ac:dyDescent="0.3">
      <c r="A56" s="251" t="s">
        <v>11</v>
      </c>
      <c r="B56" s="252"/>
      <c r="C56" s="252"/>
      <c r="D56" s="252"/>
      <c r="E56" s="252"/>
      <c r="F56" s="253"/>
      <c r="G56" s="252"/>
      <c r="H56" s="252"/>
      <c r="I56" s="254"/>
      <c r="J56" s="254"/>
      <c r="K56" s="254"/>
      <c r="L56" s="254"/>
      <c r="M56" s="252"/>
      <c r="N56" s="255"/>
      <c r="O56" s="1465"/>
      <c r="P56" s="256"/>
      <c r="Q56" s="255"/>
      <c r="R56" s="257">
        <f>V53/2</f>
        <v>146290</v>
      </c>
      <c r="S56" s="256">
        <f>R56/R53</f>
        <v>0.36387991957679189</v>
      </c>
      <c r="T56" s="258">
        <f>R53/M53</f>
        <v>2451.3916463414635</v>
      </c>
      <c r="U56" s="1492" t="s">
        <v>973</v>
      </c>
      <c r="Z56" s="195">
        <f>Z55/M53</f>
        <v>0.41463414634146339</v>
      </c>
      <c r="AA56" s="195">
        <f>AA55/M53</f>
        <v>0.58536585365853655</v>
      </c>
    </row>
    <row r="57" spans="1:34" x14ac:dyDescent="0.3">
      <c r="A57" s="251" t="s">
        <v>528</v>
      </c>
      <c r="B57" s="252"/>
      <c r="C57" s="252"/>
      <c r="D57" s="252"/>
      <c r="E57" s="252"/>
      <c r="F57" s="253"/>
      <c r="G57" s="252"/>
      <c r="H57" s="252"/>
      <c r="I57" s="254"/>
      <c r="J57" s="254"/>
      <c r="K57" s="254"/>
      <c r="L57" s="254"/>
      <c r="M57" s="252"/>
      <c r="N57" s="255"/>
      <c r="O57" s="1465"/>
      <c r="P57" s="256"/>
      <c r="Q57" s="255"/>
      <c r="R57" s="257">
        <f>R50</f>
        <v>0</v>
      </c>
      <c r="S57" s="262">
        <f>R57/R53</f>
        <v>0</v>
      </c>
      <c r="T57" s="99"/>
      <c r="Z57" s="2728" t="s">
        <v>537</v>
      </c>
      <c r="AA57" s="2729"/>
    </row>
    <row r="58" spans="1:34" x14ac:dyDescent="0.3">
      <c r="A58" s="251" t="s">
        <v>529</v>
      </c>
      <c r="B58" s="252"/>
      <c r="C58" s="252"/>
      <c r="D58" s="252"/>
      <c r="E58" s="252"/>
      <c r="F58" s="253"/>
      <c r="G58" s="252"/>
      <c r="H58" s="252"/>
      <c r="I58" s="254"/>
      <c r="J58" s="254"/>
      <c r="K58" s="254"/>
      <c r="L58" s="254"/>
      <c r="M58" s="252"/>
      <c r="N58" s="255"/>
      <c r="O58" s="1465"/>
      <c r="P58" s="256"/>
      <c r="Q58" s="255"/>
      <c r="R58" s="257">
        <f>R51</f>
        <v>25000</v>
      </c>
      <c r="S58" s="262">
        <f>R58/R53</f>
        <v>6.2184687876271766E-2</v>
      </c>
      <c r="T58" s="99"/>
    </row>
    <row r="59" spans="1:34" x14ac:dyDescent="0.3">
      <c r="A59" s="243"/>
      <c r="B59" s="193"/>
      <c r="C59" s="193"/>
      <c r="D59" s="193"/>
      <c r="E59" s="193"/>
      <c r="F59" s="244"/>
      <c r="G59" s="193"/>
      <c r="H59" s="193"/>
      <c r="I59" s="245"/>
      <c r="J59" s="245"/>
      <c r="K59" s="245"/>
      <c r="L59" s="245"/>
      <c r="M59" s="193"/>
      <c r="N59" s="246"/>
      <c r="O59" s="1465"/>
      <c r="P59" s="196"/>
      <c r="Q59" s="246"/>
      <c r="R59" s="194">
        <f>SUM(R55:R58)</f>
        <v>402028.23</v>
      </c>
      <c r="S59" s="247">
        <f>SUM(S55:S58)</f>
        <v>0.99999999999999989</v>
      </c>
    </row>
    <row r="60" spans="1:34" x14ac:dyDescent="0.3">
      <c r="O60" s="6"/>
    </row>
    <row r="62" spans="1:34" ht="18" x14ac:dyDescent="0.35">
      <c r="A62" s="118" t="s">
        <v>538</v>
      </c>
    </row>
    <row r="64" spans="1:34" x14ac:dyDescent="0.3">
      <c r="A64" s="2446" t="s">
        <v>480</v>
      </c>
      <c r="B64" s="2447"/>
      <c r="C64" s="2447"/>
      <c r="D64" s="2447"/>
      <c r="E64" s="2447"/>
      <c r="F64" s="2447"/>
      <c r="G64" s="2447"/>
      <c r="H64" s="2447"/>
      <c r="I64" s="2447"/>
      <c r="J64" s="2447"/>
      <c r="K64" s="2447"/>
      <c r="L64" s="2447"/>
      <c r="M64" s="2447"/>
      <c r="N64" s="2447"/>
      <c r="O64" s="2447"/>
      <c r="P64" s="2447"/>
      <c r="Q64" s="2447"/>
      <c r="R64" s="2447"/>
      <c r="S64" s="2448"/>
      <c r="T64" s="2374" t="s">
        <v>584</v>
      </c>
      <c r="U64" s="2375"/>
      <c r="V64" s="2375"/>
      <c r="W64" s="2375"/>
      <c r="X64" s="2375"/>
      <c r="Y64" s="2375"/>
      <c r="Z64" s="2375"/>
      <c r="AA64" s="2375"/>
      <c r="AB64" s="2375"/>
      <c r="AC64" s="2375"/>
      <c r="AD64" s="2375"/>
      <c r="AE64" s="2375"/>
      <c r="AF64" s="2375"/>
      <c r="AG64" s="2375"/>
      <c r="AH64" s="2376"/>
    </row>
    <row r="65" spans="1:34" ht="18" x14ac:dyDescent="0.35">
      <c r="A65" s="2284" t="s">
        <v>482</v>
      </c>
      <c r="B65" s="2286" t="s">
        <v>483</v>
      </c>
      <c r="C65" s="2286" t="s">
        <v>484</v>
      </c>
      <c r="D65" s="2286" t="s">
        <v>485</v>
      </c>
      <c r="E65" s="2286" t="s">
        <v>486</v>
      </c>
      <c r="F65" s="2288" t="s">
        <v>487</v>
      </c>
      <c r="G65" s="2286" t="s">
        <v>488</v>
      </c>
      <c r="H65" s="2286" t="s">
        <v>489</v>
      </c>
      <c r="I65" s="805" t="s">
        <v>490</v>
      </c>
      <c r="J65" s="213"/>
      <c r="K65" s="213"/>
      <c r="L65" s="2473"/>
      <c r="M65" s="265" t="s">
        <v>491</v>
      </c>
      <c r="N65" s="266" t="s">
        <v>492</v>
      </c>
      <c r="O65" s="266" t="s">
        <v>812</v>
      </c>
      <c r="P65" s="267" t="s">
        <v>493</v>
      </c>
      <c r="Q65" s="266" t="s">
        <v>492</v>
      </c>
      <c r="R65" s="266" t="s">
        <v>494</v>
      </c>
      <c r="S65" s="2267" t="s">
        <v>495</v>
      </c>
      <c r="T65" s="692" t="s">
        <v>496</v>
      </c>
      <c r="U65" s="2424" t="s">
        <v>497</v>
      </c>
      <c r="V65" s="2425"/>
      <c r="W65" s="2425"/>
      <c r="X65" s="2425"/>
      <c r="Y65" s="2425"/>
      <c r="Z65" s="2418" t="s">
        <v>498</v>
      </c>
      <c r="AA65" s="2419"/>
      <c r="AB65" s="2418" t="s">
        <v>499</v>
      </c>
      <c r="AC65" s="2422"/>
      <c r="AD65" s="2422"/>
      <c r="AE65" s="2422"/>
      <c r="AF65" s="2422"/>
      <c r="AG65" s="2422"/>
      <c r="AH65" s="2419"/>
    </row>
    <row r="66" spans="1:34" ht="18" x14ac:dyDescent="0.35">
      <c r="A66" s="2285"/>
      <c r="B66" s="2287"/>
      <c r="C66" s="2287"/>
      <c r="D66" s="2287"/>
      <c r="E66" s="2287"/>
      <c r="F66" s="2289"/>
      <c r="G66" s="2287"/>
      <c r="H66" s="2287"/>
      <c r="I66" s="269" t="s">
        <v>500</v>
      </c>
      <c r="J66" s="269" t="s">
        <v>501</v>
      </c>
      <c r="K66" s="269" t="s">
        <v>502</v>
      </c>
      <c r="L66" s="269" t="s">
        <v>503</v>
      </c>
      <c r="M66" s="270" t="s">
        <v>504</v>
      </c>
      <c r="N66" s="271" t="s">
        <v>505</v>
      </c>
      <c r="O66" s="271" t="s">
        <v>813</v>
      </c>
      <c r="P66" s="272" t="s">
        <v>506</v>
      </c>
      <c r="Q66" s="271" t="s">
        <v>507</v>
      </c>
      <c r="R66" s="271" t="s">
        <v>507</v>
      </c>
      <c r="S66" s="2268"/>
      <c r="T66" s="671" t="s">
        <v>508</v>
      </c>
      <c r="U66" s="2427"/>
      <c r="V66" s="2428"/>
      <c r="W66" s="2428"/>
      <c r="X66" s="2428"/>
      <c r="Y66" s="2428"/>
      <c r="Z66" s="2420"/>
      <c r="AA66" s="2421"/>
      <c r="AB66" s="2420"/>
      <c r="AC66" s="2423"/>
      <c r="AD66" s="2423"/>
      <c r="AE66" s="2423"/>
      <c r="AF66" s="2423"/>
      <c r="AG66" s="2423"/>
      <c r="AH66" s="2421"/>
    </row>
    <row r="67" spans="1:34" ht="18" x14ac:dyDescent="0.35">
      <c r="A67" s="2767" t="s">
        <v>540</v>
      </c>
      <c r="B67" s="2263"/>
      <c r="C67" s="2263"/>
      <c r="D67" s="2263"/>
      <c r="E67" s="2263"/>
      <c r="F67" s="2263"/>
      <c r="G67" s="2263"/>
      <c r="H67" s="2263"/>
      <c r="I67" s="2263"/>
      <c r="J67" s="2263"/>
      <c r="K67" s="2263"/>
      <c r="L67" s="2263"/>
      <c r="M67" s="2263"/>
      <c r="N67" s="2263"/>
      <c r="O67" s="2263"/>
      <c r="P67" s="2263"/>
      <c r="Q67" s="2263"/>
      <c r="R67" s="2263"/>
      <c r="S67" s="1493"/>
      <c r="T67" s="771"/>
      <c r="U67" s="719" t="s">
        <v>510</v>
      </c>
      <c r="V67" s="717" t="s">
        <v>11</v>
      </c>
      <c r="W67" s="717" t="s">
        <v>511</v>
      </c>
      <c r="X67" s="717" t="s">
        <v>512</v>
      </c>
      <c r="Y67" s="1494" t="s">
        <v>513</v>
      </c>
      <c r="Z67" s="1495" t="s">
        <v>514</v>
      </c>
      <c r="AA67" s="1494" t="s">
        <v>515</v>
      </c>
      <c r="AB67" s="717" t="s">
        <v>298</v>
      </c>
      <c r="AC67" s="717" t="s">
        <v>299</v>
      </c>
      <c r="AD67" s="717" t="s">
        <v>300</v>
      </c>
      <c r="AE67" s="717" t="s">
        <v>301</v>
      </c>
      <c r="AF67" s="717" t="s">
        <v>6</v>
      </c>
      <c r="AG67" s="717" t="s">
        <v>139</v>
      </c>
      <c r="AH67" s="718"/>
    </row>
    <row r="68" spans="1:34" x14ac:dyDescent="0.3">
      <c r="A68" s="154"/>
      <c r="B68" s="462"/>
      <c r="C68" s="462"/>
      <c r="D68" s="462"/>
      <c r="E68" s="462"/>
      <c r="F68" s="463"/>
      <c r="G68" s="462"/>
      <c r="H68" s="462"/>
      <c r="I68" s="465"/>
      <c r="J68" s="465"/>
      <c r="K68" s="465"/>
      <c r="L68" s="465"/>
      <c r="M68" s="462"/>
      <c r="N68" s="468"/>
      <c r="O68" s="469"/>
      <c r="P68" s="468"/>
      <c r="Q68" s="468"/>
      <c r="R68" s="1496"/>
      <c r="S68" s="468"/>
      <c r="T68" s="468"/>
      <c r="U68" s="5"/>
      <c r="Y68" s="286"/>
      <c r="Z68" s="188"/>
      <c r="AA68" s="286"/>
      <c r="AB68" s="154"/>
      <c r="AC68" s="154"/>
      <c r="AD68" s="154"/>
      <c r="AE68" s="154"/>
      <c r="AF68" s="154"/>
      <c r="AG68" s="154"/>
      <c r="AH68" s="154"/>
    </row>
    <row r="69" spans="1:34" x14ac:dyDescent="0.3">
      <c r="A69" s="157" t="s">
        <v>992</v>
      </c>
      <c r="B69" s="157" t="s">
        <v>198</v>
      </c>
      <c r="C69" s="157" t="s">
        <v>993</v>
      </c>
      <c r="D69" s="157" t="s">
        <v>26</v>
      </c>
      <c r="E69" s="157" t="s">
        <v>520</v>
      </c>
      <c r="F69" s="158" t="s">
        <v>895</v>
      </c>
      <c r="G69" s="157">
        <v>1</v>
      </c>
      <c r="H69" s="157" t="s">
        <v>24</v>
      </c>
      <c r="I69" s="175">
        <v>1</v>
      </c>
      <c r="J69" s="176"/>
      <c r="K69" s="176"/>
      <c r="L69" s="177"/>
      <c r="M69" s="157">
        <v>1</v>
      </c>
      <c r="N69" s="503">
        <v>20835</v>
      </c>
      <c r="O69" s="166">
        <f>N69*M69*G69</f>
        <v>20835</v>
      </c>
      <c r="P69" s="173">
        <v>0.65</v>
      </c>
      <c r="Q69" s="503">
        <f>N69*(1-P69)</f>
        <v>7292.2499999999991</v>
      </c>
      <c r="R69" s="166">
        <f>Q69*M69*G69</f>
        <v>7292.2499999999991</v>
      </c>
      <c r="S69" s="504">
        <f t="shared" ref="S69:S78" si="10">R69/$R$84</f>
        <v>1.8100468153601081E-2</v>
      </c>
      <c r="T69" s="503">
        <f t="shared" ref="T69:T78" si="11">R69</f>
        <v>7292.2499999999991</v>
      </c>
      <c r="U69" s="7">
        <f>T69</f>
        <v>7292.2499999999991</v>
      </c>
      <c r="V69" s="169"/>
      <c r="W69" s="169"/>
      <c r="X69" s="169"/>
      <c r="Y69" s="395"/>
      <c r="Z69" s="394">
        <f>T69</f>
        <v>7292.2499999999991</v>
      </c>
      <c r="AA69" s="395"/>
      <c r="AB69" s="174">
        <f>T69</f>
        <v>7292.2499999999991</v>
      </c>
      <c r="AC69" s="172"/>
      <c r="AD69" s="172"/>
      <c r="AE69" s="172"/>
      <c r="AF69" s="172"/>
      <c r="AG69" s="172"/>
      <c r="AH69" s="172"/>
    </row>
    <row r="70" spans="1:34" x14ac:dyDescent="0.3">
      <c r="A70" s="157" t="s">
        <v>992</v>
      </c>
      <c r="B70" s="157" t="s">
        <v>199</v>
      </c>
      <c r="C70" s="157" t="s">
        <v>993</v>
      </c>
      <c r="D70" s="157" t="s">
        <v>26</v>
      </c>
      <c r="E70" s="157" t="s">
        <v>520</v>
      </c>
      <c r="F70" s="158" t="s">
        <v>895</v>
      </c>
      <c r="G70" s="157">
        <v>3</v>
      </c>
      <c r="H70" s="157" t="s">
        <v>24</v>
      </c>
      <c r="I70" s="175">
        <v>3</v>
      </c>
      <c r="J70" s="176"/>
      <c r="K70" s="176"/>
      <c r="L70" s="177"/>
      <c r="M70" s="157">
        <v>1</v>
      </c>
      <c r="N70" s="503">
        <v>10000</v>
      </c>
      <c r="O70" s="166">
        <f t="shared" ref="O70:O78" si="12">N70*M70*G70</f>
        <v>30000</v>
      </c>
      <c r="P70" s="173">
        <v>0.42</v>
      </c>
      <c r="Q70" s="503">
        <f t="shared" ref="Q70:Q78" si="13">N70*(1-P70)</f>
        <v>5800.0000000000009</v>
      </c>
      <c r="R70" s="166">
        <f t="shared" ref="R70:R78" si="14">Q70*M70*G70</f>
        <v>17400.000000000004</v>
      </c>
      <c r="S70" s="504">
        <f t="shared" si="10"/>
        <v>4.3189433422148024E-2</v>
      </c>
      <c r="T70" s="503">
        <f t="shared" si="11"/>
        <v>17400.000000000004</v>
      </c>
      <c r="U70" s="7">
        <f t="shared" ref="U70:U71" si="15">T70</f>
        <v>17400.000000000004</v>
      </c>
      <c r="V70" s="169"/>
      <c r="W70" s="169"/>
      <c r="X70" s="169"/>
      <c r="Y70" s="395"/>
      <c r="Z70" s="394">
        <f>T70</f>
        <v>17400.000000000004</v>
      </c>
      <c r="AA70" s="395"/>
      <c r="AB70" s="174"/>
      <c r="AC70" s="174">
        <f>T70</f>
        <v>17400.000000000004</v>
      </c>
      <c r="AD70" s="172"/>
      <c r="AE70" s="172"/>
      <c r="AF70" s="172"/>
      <c r="AG70" s="172"/>
      <c r="AH70" s="172"/>
    </row>
    <row r="71" spans="1:34" x14ac:dyDescent="0.3">
      <c r="A71" s="157" t="s">
        <v>992</v>
      </c>
      <c r="B71" s="157" t="s">
        <v>199</v>
      </c>
      <c r="C71" s="157" t="s">
        <v>993</v>
      </c>
      <c r="D71" s="157" t="s">
        <v>21</v>
      </c>
      <c r="E71" s="157" t="s">
        <v>518</v>
      </c>
      <c r="F71" s="158" t="s">
        <v>994</v>
      </c>
      <c r="G71" s="157">
        <v>2</v>
      </c>
      <c r="H71" s="157" t="s">
        <v>147</v>
      </c>
      <c r="I71" s="175">
        <v>2</v>
      </c>
      <c r="J71" s="688"/>
      <c r="L71" s="180"/>
      <c r="M71" s="157">
        <v>1</v>
      </c>
      <c r="N71" s="503">
        <v>12511</v>
      </c>
      <c r="O71" s="166">
        <f t="shared" si="12"/>
        <v>25022</v>
      </c>
      <c r="P71" s="173">
        <v>0.69</v>
      </c>
      <c r="Q71" s="503">
        <f t="shared" si="13"/>
        <v>3878.4100000000008</v>
      </c>
      <c r="R71" s="166">
        <f t="shared" si="14"/>
        <v>7756.8200000000015</v>
      </c>
      <c r="S71" s="167">
        <f t="shared" si="10"/>
        <v>1.925360120445898E-2</v>
      </c>
      <c r="T71" s="503">
        <f t="shared" si="11"/>
        <v>7756.8200000000015</v>
      </c>
      <c r="U71" s="7">
        <f t="shared" si="15"/>
        <v>7756.8200000000015</v>
      </c>
      <c r="V71" s="169"/>
      <c r="W71" s="169"/>
      <c r="X71" s="169"/>
      <c r="Y71" s="395"/>
      <c r="Z71" s="394"/>
      <c r="AA71" s="395">
        <f>T71</f>
        <v>7756.8200000000015</v>
      </c>
      <c r="AB71" s="174"/>
      <c r="AC71" s="174">
        <f>T71</f>
        <v>7756.8200000000015</v>
      </c>
      <c r="AD71" s="172"/>
      <c r="AE71" s="172"/>
      <c r="AF71" s="172"/>
      <c r="AG71" s="172"/>
      <c r="AH71" s="172"/>
    </row>
    <row r="72" spans="1:34" x14ac:dyDescent="0.3">
      <c r="A72" s="157" t="s">
        <v>992</v>
      </c>
      <c r="B72" s="157" t="s">
        <v>200</v>
      </c>
      <c r="C72" s="157" t="s">
        <v>995</v>
      </c>
      <c r="D72" s="157" t="s">
        <v>201</v>
      </c>
      <c r="E72" s="157" t="s">
        <v>518</v>
      </c>
      <c r="F72" s="158" t="s">
        <v>581</v>
      </c>
      <c r="G72" s="157">
        <v>1</v>
      </c>
      <c r="H72" s="157" t="s">
        <v>22</v>
      </c>
      <c r="I72" s="772"/>
      <c r="J72" s="688">
        <v>26</v>
      </c>
      <c r="L72" s="180"/>
      <c r="M72" s="163">
        <v>1</v>
      </c>
      <c r="N72" s="503">
        <v>65000</v>
      </c>
      <c r="O72" s="166">
        <f t="shared" si="12"/>
        <v>65000</v>
      </c>
      <c r="P72" s="173">
        <v>0.36</v>
      </c>
      <c r="Q72" s="503">
        <f t="shared" si="13"/>
        <v>41600</v>
      </c>
      <c r="R72" s="166">
        <f t="shared" si="14"/>
        <v>41600</v>
      </c>
      <c r="S72" s="167">
        <f t="shared" si="10"/>
        <v>0.10325749599777917</v>
      </c>
      <c r="T72" s="503">
        <f t="shared" si="11"/>
        <v>41600</v>
      </c>
      <c r="U72" s="7"/>
      <c r="V72" s="169">
        <f>T72</f>
        <v>41600</v>
      </c>
      <c r="W72" s="169"/>
      <c r="X72" s="169"/>
      <c r="Y72" s="395"/>
      <c r="Z72" s="394"/>
      <c r="AA72" s="395">
        <f>T72</f>
        <v>41600</v>
      </c>
      <c r="AB72" s="174"/>
      <c r="AC72" s="172"/>
      <c r="AD72" s="174">
        <f>T72</f>
        <v>41600</v>
      </c>
      <c r="AE72" s="172"/>
      <c r="AF72" s="172"/>
      <c r="AG72" s="172"/>
      <c r="AH72" s="172"/>
    </row>
    <row r="73" spans="1:34" x14ac:dyDescent="0.3">
      <c r="A73" s="157" t="s">
        <v>992</v>
      </c>
      <c r="B73" s="157" t="s">
        <v>200</v>
      </c>
      <c r="C73" s="157" t="s">
        <v>995</v>
      </c>
      <c r="D73" s="157" t="s">
        <v>202</v>
      </c>
      <c r="E73" s="157" t="s">
        <v>520</v>
      </c>
      <c r="F73" s="158" t="s">
        <v>552</v>
      </c>
      <c r="G73" s="157">
        <v>1</v>
      </c>
      <c r="H73" s="157" t="s">
        <v>24</v>
      </c>
      <c r="I73" s="175">
        <v>10</v>
      </c>
      <c r="J73" s="176"/>
      <c r="K73" s="176"/>
      <c r="L73" s="177"/>
      <c r="M73" s="163">
        <v>1</v>
      </c>
      <c r="N73" s="503">
        <v>64800</v>
      </c>
      <c r="O73" s="166">
        <f t="shared" si="12"/>
        <v>64800</v>
      </c>
      <c r="P73" s="173">
        <v>0.7</v>
      </c>
      <c r="Q73" s="503">
        <f t="shared" si="13"/>
        <v>19440.000000000004</v>
      </c>
      <c r="R73" s="166">
        <f t="shared" si="14"/>
        <v>19440.000000000004</v>
      </c>
      <c r="S73" s="178">
        <f t="shared" si="10"/>
        <v>4.8253022168192966E-2</v>
      </c>
      <c r="T73" s="503">
        <f t="shared" si="11"/>
        <v>19440.000000000004</v>
      </c>
      <c r="U73" s="7"/>
      <c r="V73" s="169">
        <f>T73</f>
        <v>19440.000000000004</v>
      </c>
      <c r="W73" s="169"/>
      <c r="X73" s="169"/>
      <c r="Y73" s="395"/>
      <c r="Z73" s="394">
        <f>T73</f>
        <v>19440.000000000004</v>
      </c>
      <c r="AA73" s="395"/>
      <c r="AB73" s="174"/>
      <c r="AC73" s="172"/>
      <c r="AD73" s="174">
        <f>T73</f>
        <v>19440.000000000004</v>
      </c>
      <c r="AE73" s="172"/>
      <c r="AF73" s="172"/>
      <c r="AG73" s="172"/>
      <c r="AH73" s="172"/>
    </row>
    <row r="74" spans="1:34" x14ac:dyDescent="0.3">
      <c r="A74" s="157" t="s">
        <v>992</v>
      </c>
      <c r="B74" s="157" t="s">
        <v>195</v>
      </c>
      <c r="C74" s="157" t="s">
        <v>995</v>
      </c>
      <c r="D74" s="157" t="s">
        <v>11</v>
      </c>
      <c r="E74" s="157" t="s">
        <v>520</v>
      </c>
      <c r="F74" s="158" t="s">
        <v>151</v>
      </c>
      <c r="G74" s="157">
        <v>1</v>
      </c>
      <c r="H74" s="157" t="s">
        <v>22</v>
      </c>
      <c r="I74" s="285">
        <v>50</v>
      </c>
      <c r="L74" s="180"/>
      <c r="M74" s="163">
        <v>1</v>
      </c>
      <c r="N74" s="503">
        <v>115500</v>
      </c>
      <c r="O74" s="166">
        <f t="shared" si="12"/>
        <v>115500</v>
      </c>
      <c r="P74" s="173">
        <v>0.7</v>
      </c>
      <c r="Q74" s="503">
        <f t="shared" si="13"/>
        <v>34650.000000000007</v>
      </c>
      <c r="R74" s="166">
        <f t="shared" si="14"/>
        <v>34650.000000000007</v>
      </c>
      <c r="S74" s="178">
        <f t="shared" si="10"/>
        <v>8.6006544142380986E-2</v>
      </c>
      <c r="T74" s="503">
        <f t="shared" si="11"/>
        <v>34650.000000000007</v>
      </c>
      <c r="U74" s="7"/>
      <c r="V74" s="169">
        <f>T74</f>
        <v>34650.000000000007</v>
      </c>
      <c r="W74" s="169"/>
      <c r="X74" s="169"/>
      <c r="Y74" s="395"/>
      <c r="Z74" s="394">
        <f>T74</f>
        <v>34650.000000000007</v>
      </c>
      <c r="AA74" s="395"/>
      <c r="AB74" s="174"/>
      <c r="AC74" s="172"/>
      <c r="AD74" s="172"/>
      <c r="AE74" s="174">
        <f>T74</f>
        <v>34650.000000000007</v>
      </c>
      <c r="AF74" s="172"/>
      <c r="AG74" s="172"/>
      <c r="AH74" s="172"/>
    </row>
    <row r="75" spans="1:34" x14ac:dyDescent="0.3">
      <c r="A75" s="157" t="s">
        <v>992</v>
      </c>
      <c r="B75" s="157" t="s">
        <v>183</v>
      </c>
      <c r="C75" s="157" t="s">
        <v>996</v>
      </c>
      <c r="D75" s="157" t="s">
        <v>202</v>
      </c>
      <c r="E75" s="157" t="s">
        <v>518</v>
      </c>
      <c r="F75" s="158" t="s">
        <v>997</v>
      </c>
      <c r="G75" s="157">
        <v>1</v>
      </c>
      <c r="H75" s="157" t="s">
        <v>22</v>
      </c>
      <c r="K75" s="285">
        <v>65</v>
      </c>
      <c r="M75" s="157">
        <v>1</v>
      </c>
      <c r="N75" s="503">
        <v>92000</v>
      </c>
      <c r="O75" s="166">
        <f t="shared" si="12"/>
        <v>92000</v>
      </c>
      <c r="P75" s="173">
        <v>0.45</v>
      </c>
      <c r="Q75" s="503">
        <f t="shared" si="13"/>
        <v>50600.000000000007</v>
      </c>
      <c r="R75" s="166">
        <f t="shared" si="14"/>
        <v>50600.000000000007</v>
      </c>
      <c r="S75" s="167">
        <f t="shared" si="10"/>
        <v>0.12559685811268334</v>
      </c>
      <c r="T75" s="503">
        <f t="shared" si="11"/>
        <v>50600.000000000007</v>
      </c>
      <c r="U75" s="7"/>
      <c r="V75" s="169">
        <f>T75</f>
        <v>50600.000000000007</v>
      </c>
      <c r="W75" s="169"/>
      <c r="Y75" s="286"/>
      <c r="Z75" s="188"/>
      <c r="AA75" s="395">
        <f>T75</f>
        <v>50600.000000000007</v>
      </c>
      <c r="AB75" s="174"/>
      <c r="AC75" s="172"/>
      <c r="AD75" s="172"/>
      <c r="AE75" s="172"/>
      <c r="AF75" s="174">
        <f>T75</f>
        <v>50600.000000000007</v>
      </c>
      <c r="AG75" s="172"/>
      <c r="AH75" s="172"/>
    </row>
    <row r="76" spans="1:34" x14ac:dyDescent="0.3">
      <c r="A76" s="157" t="s">
        <v>992</v>
      </c>
      <c r="B76" s="157" t="s">
        <v>183</v>
      </c>
      <c r="C76" s="157" t="s">
        <v>993</v>
      </c>
      <c r="D76" s="157" t="s">
        <v>21</v>
      </c>
      <c r="E76" s="157" t="s">
        <v>518</v>
      </c>
      <c r="F76" s="158" t="s">
        <v>994</v>
      </c>
      <c r="G76" s="157">
        <v>3</v>
      </c>
      <c r="H76" s="157" t="s">
        <v>22</v>
      </c>
      <c r="K76" s="1489"/>
      <c r="L76" s="285">
        <v>3</v>
      </c>
      <c r="M76" s="157">
        <v>1</v>
      </c>
      <c r="N76" s="166">
        <v>45000</v>
      </c>
      <c r="O76" s="166">
        <f t="shared" si="12"/>
        <v>135000</v>
      </c>
      <c r="P76" s="173">
        <v>0.45</v>
      </c>
      <c r="Q76" s="503">
        <f t="shared" si="13"/>
        <v>24750.000000000004</v>
      </c>
      <c r="R76" s="166">
        <f t="shared" si="14"/>
        <v>74250.000000000015</v>
      </c>
      <c r="S76" s="167">
        <f t="shared" si="10"/>
        <v>0.18429973744795924</v>
      </c>
      <c r="T76" s="503">
        <f t="shared" si="11"/>
        <v>74250.000000000015</v>
      </c>
      <c r="U76" s="7">
        <f>T76</f>
        <v>74250.000000000015</v>
      </c>
      <c r="V76" s="169"/>
      <c r="Y76" s="286"/>
      <c r="Z76" s="188"/>
      <c r="AA76" s="395">
        <f>T76</f>
        <v>74250.000000000015</v>
      </c>
      <c r="AB76" s="174"/>
      <c r="AC76" s="172"/>
      <c r="AD76" s="172"/>
      <c r="AE76" s="172"/>
      <c r="AF76" s="174">
        <f>T76</f>
        <v>74250.000000000015</v>
      </c>
      <c r="AG76" s="172"/>
      <c r="AH76" s="172"/>
    </row>
    <row r="77" spans="1:34" x14ac:dyDescent="0.3">
      <c r="A77" s="157" t="s">
        <v>992</v>
      </c>
      <c r="B77" s="157" t="s">
        <v>183</v>
      </c>
      <c r="C77" s="157" t="s">
        <v>993</v>
      </c>
      <c r="D77" s="157" t="s">
        <v>26</v>
      </c>
      <c r="E77" s="157" t="s">
        <v>520</v>
      </c>
      <c r="F77" s="158" t="s">
        <v>895</v>
      </c>
      <c r="G77" s="157">
        <v>4</v>
      </c>
      <c r="H77" s="157" t="s">
        <v>24</v>
      </c>
      <c r="I77" s="175">
        <v>4</v>
      </c>
      <c r="J77" s="176"/>
      <c r="K77" s="176"/>
      <c r="L77" s="177"/>
      <c r="M77" s="157">
        <v>1</v>
      </c>
      <c r="N77" s="166">
        <v>6300</v>
      </c>
      <c r="O77" s="166">
        <f t="shared" si="12"/>
        <v>25200</v>
      </c>
      <c r="P77" s="173">
        <v>0.45</v>
      </c>
      <c r="Q77" s="503">
        <f t="shared" si="13"/>
        <v>3465.0000000000005</v>
      </c>
      <c r="R77" s="166">
        <f t="shared" si="14"/>
        <v>13860.000000000002</v>
      </c>
      <c r="S77" s="178">
        <f t="shared" si="10"/>
        <v>3.4402617656952392E-2</v>
      </c>
      <c r="T77" s="503">
        <f t="shared" si="11"/>
        <v>13860.000000000002</v>
      </c>
      <c r="U77" s="7">
        <f>T77</f>
        <v>13860.000000000002</v>
      </c>
      <c r="V77" s="169"/>
      <c r="Y77" s="286"/>
      <c r="Z77" s="394">
        <f>T77</f>
        <v>13860.000000000002</v>
      </c>
      <c r="AA77" s="395"/>
      <c r="AB77" s="172"/>
      <c r="AC77" s="172"/>
      <c r="AD77" s="172"/>
      <c r="AE77" s="172"/>
      <c r="AF77" s="174">
        <f>T77</f>
        <v>13860.000000000002</v>
      </c>
      <c r="AG77" s="172"/>
      <c r="AH77" s="172"/>
    </row>
    <row r="78" spans="1:34" x14ac:dyDescent="0.3">
      <c r="A78" s="157" t="s">
        <v>992</v>
      </c>
      <c r="B78" s="157" t="s">
        <v>150</v>
      </c>
      <c r="C78" s="157" t="s">
        <v>998</v>
      </c>
      <c r="D78" s="157" t="s">
        <v>180</v>
      </c>
      <c r="E78" s="157" t="s">
        <v>520</v>
      </c>
      <c r="F78" s="158" t="s">
        <v>999</v>
      </c>
      <c r="G78" s="157">
        <v>27</v>
      </c>
      <c r="H78" s="157" t="s">
        <v>24</v>
      </c>
      <c r="I78" s="175">
        <v>27</v>
      </c>
      <c r="J78" s="176"/>
      <c r="K78" s="176"/>
      <c r="L78" s="177"/>
      <c r="M78" s="157">
        <v>1</v>
      </c>
      <c r="N78" s="166">
        <v>8315</v>
      </c>
      <c r="O78" s="166">
        <f t="shared" si="12"/>
        <v>224505</v>
      </c>
      <c r="P78" s="173">
        <v>0.55000000000000004</v>
      </c>
      <c r="Q78" s="503">
        <f t="shared" si="13"/>
        <v>3741.7499999999995</v>
      </c>
      <c r="R78" s="166">
        <f t="shared" si="14"/>
        <v>101027.24999999999</v>
      </c>
      <c r="S78" s="178">
        <f t="shared" si="10"/>
        <v>0.25076492458032773</v>
      </c>
      <c r="T78" s="503">
        <f t="shared" si="11"/>
        <v>101027.24999999999</v>
      </c>
      <c r="U78" s="7"/>
      <c r="W78" s="169">
        <f>T78</f>
        <v>101027.24999999999</v>
      </c>
      <c r="X78" s="169"/>
      <c r="Y78" s="286"/>
      <c r="Z78" s="394">
        <f>T78</f>
        <v>101027.24999999999</v>
      </c>
      <c r="AA78" s="1475"/>
      <c r="AB78" s="172"/>
      <c r="AC78" s="172"/>
      <c r="AD78" s="172"/>
      <c r="AE78" s="172"/>
      <c r="AF78" s="172"/>
      <c r="AG78" s="174">
        <f>T78</f>
        <v>101027.24999999999</v>
      </c>
      <c r="AH78" s="172"/>
    </row>
    <row r="79" spans="1:34" x14ac:dyDescent="0.3">
      <c r="A79" s="172"/>
      <c r="B79" s="157"/>
      <c r="C79" s="157"/>
      <c r="D79" s="157"/>
      <c r="E79" s="157"/>
      <c r="F79" s="158"/>
      <c r="G79" s="157"/>
      <c r="H79" s="157"/>
      <c r="M79" s="157"/>
      <c r="N79" s="166"/>
      <c r="O79" s="166"/>
      <c r="P79" s="173"/>
      <c r="Q79" s="166"/>
      <c r="R79" s="166"/>
      <c r="S79" s="504"/>
      <c r="T79" s="503"/>
      <c r="U79" s="7"/>
      <c r="Y79" s="286"/>
      <c r="Z79" s="188"/>
      <c r="AA79" s="286"/>
      <c r="AB79" s="172"/>
      <c r="AC79" s="172"/>
      <c r="AD79" s="172"/>
      <c r="AE79" s="172"/>
      <c r="AF79" s="172"/>
      <c r="AG79" s="172"/>
      <c r="AH79" s="172"/>
    </row>
    <row r="80" spans="1:34" x14ac:dyDescent="0.3">
      <c r="A80" s="172"/>
      <c r="B80" s="157"/>
      <c r="C80" s="157"/>
      <c r="D80" s="157"/>
      <c r="E80" s="157"/>
      <c r="F80" s="158"/>
      <c r="G80" s="157"/>
      <c r="H80" s="157"/>
      <c r="M80" s="157"/>
      <c r="N80" s="194"/>
      <c r="O80" s="194"/>
      <c r="P80" s="195"/>
      <c r="Q80" s="194"/>
      <c r="R80" s="194"/>
      <c r="S80" s="1497"/>
      <c r="T80" s="503"/>
      <c r="U80" s="7"/>
      <c r="Y80" s="286"/>
      <c r="Z80" s="188"/>
      <c r="AA80" s="286"/>
      <c r="AB80" s="172"/>
      <c r="AC80" s="172"/>
      <c r="AD80" s="172"/>
      <c r="AE80" s="172"/>
      <c r="AF80" s="172"/>
      <c r="AG80" s="172"/>
      <c r="AH80" s="172"/>
    </row>
    <row r="81" spans="1:34" x14ac:dyDescent="0.3">
      <c r="A81" s="108" t="s">
        <v>992</v>
      </c>
      <c r="B81" s="108" t="s">
        <v>528</v>
      </c>
      <c r="C81" s="289"/>
      <c r="D81" s="252"/>
      <c r="E81" s="252"/>
      <c r="F81" s="253"/>
      <c r="G81" s="252"/>
      <c r="H81" s="252"/>
      <c r="I81" s="254"/>
      <c r="J81" s="254"/>
      <c r="K81" s="254"/>
      <c r="L81" s="254"/>
      <c r="M81" s="252"/>
      <c r="N81" s="166"/>
      <c r="O81" s="166"/>
      <c r="P81" s="173"/>
      <c r="Q81" s="166"/>
      <c r="R81" s="166"/>
      <c r="S81" s="167"/>
      <c r="T81" s="503"/>
      <c r="U81" s="188"/>
      <c r="X81" s="169"/>
      <c r="Y81" s="286"/>
      <c r="Z81" s="188"/>
      <c r="AA81" s="286"/>
      <c r="AB81" s="172"/>
      <c r="AC81" s="172"/>
      <c r="AD81" s="172"/>
      <c r="AE81" s="172"/>
      <c r="AF81" s="172"/>
      <c r="AG81" s="172"/>
      <c r="AH81" s="172"/>
    </row>
    <row r="82" spans="1:34" x14ac:dyDescent="0.3">
      <c r="A82" s="108" t="s">
        <v>992</v>
      </c>
      <c r="B82" s="108" t="s">
        <v>529</v>
      </c>
      <c r="C82" s="289"/>
      <c r="D82" s="252"/>
      <c r="E82" s="252"/>
      <c r="F82" s="253"/>
      <c r="G82" s="252"/>
      <c r="H82" s="252"/>
      <c r="I82" s="254"/>
      <c r="J82" s="254"/>
      <c r="K82" s="254"/>
      <c r="L82" s="254"/>
      <c r="M82" s="252"/>
      <c r="N82" s="255"/>
      <c r="O82" s="255"/>
      <c r="P82" s="256"/>
      <c r="Q82" s="290"/>
      <c r="R82" s="257">
        <v>35000</v>
      </c>
      <c r="S82" s="291">
        <f>R82/R84</f>
        <v>8.6875297113516131E-2</v>
      </c>
      <c r="T82" s="503">
        <f>R82</f>
        <v>35000</v>
      </c>
      <c r="U82" s="188"/>
      <c r="Y82" s="395">
        <f>T82</f>
        <v>35000</v>
      </c>
      <c r="Z82" s="188"/>
      <c r="AA82" s="286"/>
      <c r="AB82" s="172"/>
      <c r="AC82" s="172"/>
      <c r="AD82" s="172"/>
      <c r="AE82" s="172"/>
      <c r="AF82" s="172"/>
      <c r="AG82" s="172"/>
      <c r="AH82" s="172"/>
    </row>
    <row r="83" spans="1:34" x14ac:dyDescent="0.3">
      <c r="I83" s="115">
        <f>I84/$M$84</f>
        <v>0.50785340314136129</v>
      </c>
      <c r="J83" s="115">
        <f t="shared" ref="J83:L83" si="16">J84/$M$84</f>
        <v>0.13612565445026178</v>
      </c>
      <c r="K83" s="115">
        <f t="shared" si="16"/>
        <v>0.34031413612565448</v>
      </c>
      <c r="L83" s="115">
        <f t="shared" si="16"/>
        <v>1.5706806282722512E-2</v>
      </c>
      <c r="O83" s="99"/>
      <c r="P83" s="3"/>
      <c r="R83" s="99"/>
      <c r="S83" s="3"/>
      <c r="T83" s="166"/>
      <c r="U83" s="1476"/>
      <c r="V83" s="208"/>
      <c r="W83" s="208"/>
      <c r="X83" s="208"/>
      <c r="Y83" s="1452"/>
      <c r="Z83" s="1476"/>
      <c r="AA83" s="1452"/>
      <c r="AB83" s="211"/>
      <c r="AC83" s="211"/>
      <c r="AD83" s="211"/>
      <c r="AE83" s="211"/>
      <c r="AF83" s="211"/>
      <c r="AG83" s="211"/>
      <c r="AH83" s="211"/>
    </row>
    <row r="84" spans="1:34" x14ac:dyDescent="0.3">
      <c r="A84" s="212" t="s">
        <v>531</v>
      </c>
      <c r="B84" s="213"/>
      <c r="C84" s="213"/>
      <c r="D84" s="213"/>
      <c r="E84" s="213"/>
      <c r="F84" s="214"/>
      <c r="G84" s="213"/>
      <c r="H84" s="213"/>
      <c r="I84" s="690">
        <f>I78+I77+I74+I73+I71+I70+I69</f>
        <v>97</v>
      </c>
      <c r="J84" s="690">
        <f>J72</f>
        <v>26</v>
      </c>
      <c r="K84" s="690">
        <f>K75</f>
        <v>65</v>
      </c>
      <c r="L84" s="690">
        <f>L76</f>
        <v>3</v>
      </c>
      <c r="M84" s="213">
        <f>SUM(I84:L84)</f>
        <v>191</v>
      </c>
      <c r="N84" s="215"/>
      <c r="O84" s="215"/>
      <c r="P84" s="216"/>
      <c r="Q84" s="215"/>
      <c r="R84" s="215">
        <f>SUM(R69:R83)</f>
        <v>402876.32</v>
      </c>
      <c r="S84" s="218">
        <f>SUM(S67:S83)</f>
        <v>1</v>
      </c>
      <c r="T84" s="508">
        <f>SUM(T67:T83)</f>
        <v>402876.32</v>
      </c>
      <c r="U84" s="509">
        <f>SUM(U69:U82)</f>
        <v>120559.07000000002</v>
      </c>
      <c r="V84" s="294">
        <f>SUM(V69:V82)</f>
        <v>146290</v>
      </c>
      <c r="W84" s="294">
        <f>SUM(W69:W82)</f>
        <v>101027.24999999999</v>
      </c>
      <c r="X84" s="294"/>
      <c r="Y84" s="294">
        <f>SUM(Y67:Y82)</f>
        <v>35000</v>
      </c>
      <c r="Z84" s="482">
        <f>SUM(Z69:Z82)</f>
        <v>193669.5</v>
      </c>
      <c r="AA84" s="483">
        <f>SUM(AA69:AA82)</f>
        <v>174206.82</v>
      </c>
      <c r="AB84" s="226">
        <f>SUM(AB66:AB83)</f>
        <v>7292.2499999999991</v>
      </c>
      <c r="AC84" s="226">
        <f>SUM(AC66:AC83)</f>
        <v>25156.820000000007</v>
      </c>
      <c r="AD84" s="226">
        <f t="shared" ref="AD84:AF84" si="17">SUM(AD66:AD83)</f>
        <v>61040</v>
      </c>
      <c r="AE84" s="226">
        <f t="shared" si="17"/>
        <v>34650.000000000007</v>
      </c>
      <c r="AF84" s="226">
        <f t="shared" si="17"/>
        <v>138710.00000000003</v>
      </c>
      <c r="AG84" s="226">
        <f>SUM(AG68:AG83)</f>
        <v>101027.24999999999</v>
      </c>
      <c r="AH84" s="631"/>
    </row>
    <row r="85" spans="1:34" x14ac:dyDescent="0.3">
      <c r="A85" s="228" t="s">
        <v>532</v>
      </c>
      <c r="B85" s="229"/>
      <c r="C85" s="229"/>
      <c r="D85" s="229"/>
      <c r="E85" s="229"/>
      <c r="F85" s="230"/>
      <c r="G85" s="229"/>
      <c r="H85" s="229"/>
      <c r="I85" s="691">
        <f>I78+I77+I74+I73+I71+I70+I69</f>
        <v>97</v>
      </c>
      <c r="J85" s="691">
        <f>I78+I77+I73+J72+I71+I70+I69</f>
        <v>73</v>
      </c>
      <c r="K85" s="691">
        <f>I78+I77+K75+I73+I70+I69</f>
        <v>110</v>
      </c>
      <c r="L85" s="691">
        <f>I78+I77+L76+I73+I70+I69</f>
        <v>48</v>
      </c>
      <c r="M85" s="229">
        <f>SUM(I85:L85)</f>
        <v>328</v>
      </c>
      <c r="N85" s="231"/>
      <c r="O85" s="231"/>
      <c r="P85" s="232"/>
      <c r="Q85" s="231"/>
      <c r="R85" s="231"/>
      <c r="S85" s="233"/>
      <c r="T85" s="510"/>
      <c r="U85" s="1491">
        <f>U84/T84</f>
        <v>0.2992458578851197</v>
      </c>
      <c r="V85" s="236">
        <f>V84/T84</f>
        <v>0.36311392042103641</v>
      </c>
      <c r="W85" s="236">
        <f>W84/U84</f>
        <v>0.83798962616416972</v>
      </c>
      <c r="X85" s="236"/>
      <c r="Y85" s="236">
        <f>Y84/T84</f>
        <v>8.6875297113516131E-2</v>
      </c>
      <c r="Z85" s="272">
        <f>Z84/T84</f>
        <v>0.48071701012360318</v>
      </c>
      <c r="AA85" s="485">
        <f>AA84/T84</f>
        <v>0.43240769276288071</v>
      </c>
      <c r="AB85" s="241"/>
      <c r="AC85" s="241"/>
      <c r="AD85" s="241"/>
      <c r="AE85" s="241"/>
      <c r="AF85" s="241"/>
      <c r="AG85" s="241"/>
      <c r="AH85" s="242"/>
    </row>
    <row r="86" spans="1:34" x14ac:dyDescent="0.3">
      <c r="A86" s="243" t="s">
        <v>533</v>
      </c>
      <c r="B86" s="193"/>
      <c r="C86" s="193"/>
      <c r="D86" s="193"/>
      <c r="E86" s="193"/>
      <c r="F86" s="244"/>
      <c r="G86" s="193"/>
      <c r="H86" s="193"/>
      <c r="I86" s="2182">
        <f>I85/$M$85</f>
        <v>0.29573170731707316</v>
      </c>
      <c r="J86" s="2182">
        <f t="shared" ref="J86:L86" si="18">J85/$M$85</f>
        <v>0.2225609756097561</v>
      </c>
      <c r="K86" s="2182">
        <f t="shared" si="18"/>
        <v>0.33536585365853661</v>
      </c>
      <c r="L86" s="2182">
        <f t="shared" si="18"/>
        <v>0.14634146341463414</v>
      </c>
      <c r="M86" s="193"/>
      <c r="N86" s="246"/>
      <c r="O86" s="1463"/>
      <c r="P86" s="196"/>
      <c r="Q86" s="246"/>
      <c r="R86" s="194">
        <f>U84</f>
        <v>120559.07000000002</v>
      </c>
      <c r="S86" s="247">
        <f>R86/R91</f>
        <v>0.2992458578851197</v>
      </c>
      <c r="T86" s="99"/>
      <c r="Y86" s="248"/>
      <c r="Z86" s="761">
        <f>I69+I70+I73+I74+I77+I78</f>
        <v>95</v>
      </c>
      <c r="AA86" s="761">
        <f>I71+J72+K75+L76</f>
        <v>96</v>
      </c>
      <c r="AB86" s="1464"/>
      <c r="AC86" s="143"/>
      <c r="AD86" s="143"/>
      <c r="AE86" s="143"/>
      <c r="AF86" s="143"/>
      <c r="AG86" s="143"/>
      <c r="AH86" s="143"/>
    </row>
    <row r="87" spans="1:34" x14ac:dyDescent="0.3">
      <c r="A87" s="251" t="s">
        <v>11</v>
      </c>
      <c r="B87" s="252"/>
      <c r="C87" s="252"/>
      <c r="D87" s="252"/>
      <c r="E87" s="252"/>
      <c r="F87" s="253"/>
      <c r="G87" s="252"/>
      <c r="H87" s="252"/>
      <c r="I87" s="254"/>
      <c r="J87" s="254"/>
      <c r="K87" s="254"/>
      <c r="L87" s="254"/>
      <c r="M87" s="252"/>
      <c r="N87" s="255"/>
      <c r="O87" s="1465"/>
      <c r="P87" s="256"/>
      <c r="Q87" s="255"/>
      <c r="R87" s="257">
        <f>V84</f>
        <v>146290</v>
      </c>
      <c r="S87" s="256">
        <f>R87/R91</f>
        <v>0.36311392042103641</v>
      </c>
      <c r="T87" s="258">
        <f>R84/M84</f>
        <v>2109.300104712042</v>
      </c>
      <c r="U87" s="1492" t="s">
        <v>973</v>
      </c>
      <c r="Z87" s="195">
        <f>Z86/M84</f>
        <v>0.49738219895287961</v>
      </c>
      <c r="AA87" s="195">
        <f>AA86/M84</f>
        <v>0.50261780104712039</v>
      </c>
    </row>
    <row r="88" spans="1:34" x14ac:dyDescent="0.3">
      <c r="A88" s="251" t="s">
        <v>536</v>
      </c>
      <c r="B88" s="252"/>
      <c r="C88" s="252"/>
      <c r="D88" s="252"/>
      <c r="E88" s="252"/>
      <c r="F88" s="253"/>
      <c r="G88" s="252"/>
      <c r="H88" s="252"/>
      <c r="I88" s="254"/>
      <c r="J88" s="254"/>
      <c r="K88" s="254"/>
      <c r="L88" s="254"/>
      <c r="M88" s="252"/>
      <c r="N88" s="255"/>
      <c r="O88" s="1465"/>
      <c r="P88" s="256"/>
      <c r="Q88" s="255"/>
      <c r="R88" s="257">
        <f>W84</f>
        <v>101027.24999999999</v>
      </c>
      <c r="S88" s="109">
        <f>R88/R91</f>
        <v>0.25076492458032773</v>
      </c>
      <c r="T88" s="99"/>
      <c r="Z88" s="2728" t="s">
        <v>537</v>
      </c>
      <c r="AA88" s="2729"/>
    </row>
    <row r="89" spans="1:34" x14ac:dyDescent="0.3">
      <c r="A89" s="251" t="s">
        <v>528</v>
      </c>
      <c r="B89" s="252"/>
      <c r="C89" s="252"/>
      <c r="D89" s="252"/>
      <c r="E89" s="252"/>
      <c r="F89" s="253"/>
      <c r="G89" s="252"/>
      <c r="H89" s="252"/>
      <c r="I89" s="254"/>
      <c r="J89" s="254"/>
      <c r="K89" s="254"/>
      <c r="L89" s="254"/>
      <c r="M89" s="252"/>
      <c r="N89" s="255"/>
      <c r="O89" s="1465"/>
      <c r="P89" s="256"/>
      <c r="Q89" s="255"/>
      <c r="R89" s="257">
        <f>R81</f>
        <v>0</v>
      </c>
      <c r="S89" s="262">
        <f>R89/R91</f>
        <v>0</v>
      </c>
      <c r="T89" s="99"/>
    </row>
    <row r="90" spans="1:34" x14ac:dyDescent="0.3">
      <c r="A90" s="251" t="s">
        <v>529</v>
      </c>
      <c r="B90" s="252"/>
      <c r="C90" s="252"/>
      <c r="D90" s="252"/>
      <c r="E90" s="252"/>
      <c r="F90" s="253"/>
      <c r="G90" s="252"/>
      <c r="H90" s="252"/>
      <c r="I90" s="254"/>
      <c r="J90" s="254"/>
      <c r="K90" s="254"/>
      <c r="L90" s="254"/>
      <c r="M90" s="252"/>
      <c r="N90" s="255"/>
      <c r="O90" s="1465"/>
      <c r="P90" s="256"/>
      <c r="Q90" s="255"/>
      <c r="R90" s="257">
        <f>Y84</f>
        <v>35000</v>
      </c>
      <c r="S90" s="262">
        <f>R90/R91</f>
        <v>8.6875297113516131E-2</v>
      </c>
      <c r="T90" s="99"/>
    </row>
    <row r="91" spans="1:34" x14ac:dyDescent="0.3">
      <c r="A91" s="243"/>
      <c r="B91" s="193"/>
      <c r="C91" s="193"/>
      <c r="D91" s="193"/>
      <c r="E91" s="193"/>
      <c r="F91" s="244"/>
      <c r="G91" s="193"/>
      <c r="H91" s="193"/>
      <c r="I91" s="245"/>
      <c r="J91" s="245"/>
      <c r="K91" s="245"/>
      <c r="L91" s="245"/>
      <c r="M91" s="193"/>
      <c r="N91" s="246"/>
      <c r="O91" s="1465"/>
      <c r="P91" s="196"/>
      <c r="Q91" s="246"/>
      <c r="R91" s="194">
        <f>SUM(R86:R90)</f>
        <v>402876.32</v>
      </c>
      <c r="S91" s="247">
        <f>SUM(S86:S90)</f>
        <v>1</v>
      </c>
    </row>
    <row r="92" spans="1:34" x14ac:dyDescent="0.3">
      <c r="B92" s="2"/>
      <c r="T92" s="5"/>
    </row>
    <row r="93" spans="1:34" x14ac:dyDescent="0.3">
      <c r="T93" s="5"/>
    </row>
    <row r="94" spans="1:34" x14ac:dyDescent="0.3">
      <c r="T94" s="5"/>
    </row>
    <row r="95" spans="1:34" x14ac:dyDescent="0.3">
      <c r="D95" s="1" t="s">
        <v>1000</v>
      </c>
      <c r="E95" s="1"/>
      <c r="F95" s="2" t="s">
        <v>960</v>
      </c>
      <c r="G95" s="1" t="s">
        <v>545</v>
      </c>
      <c r="H95" s="1"/>
      <c r="I95" s="1"/>
      <c r="J95" s="304">
        <v>0.62</v>
      </c>
      <c r="K95" s="304"/>
      <c r="L95" s="304"/>
      <c r="T95" s="5"/>
    </row>
    <row r="96" spans="1:34" x14ac:dyDescent="0.3">
      <c r="D96" s="1" t="s">
        <v>473</v>
      </c>
      <c r="E96" s="1"/>
      <c r="F96" s="2" t="s">
        <v>1001</v>
      </c>
      <c r="G96" s="1" t="s">
        <v>473</v>
      </c>
      <c r="H96" s="1"/>
      <c r="I96" s="1"/>
      <c r="J96" s="1">
        <v>54</v>
      </c>
      <c r="K96" s="1"/>
      <c r="L96" s="1"/>
      <c r="T96" s="5"/>
    </row>
    <row r="97" spans="1:34" x14ac:dyDescent="0.3">
      <c r="D97" s="1" t="s">
        <v>475</v>
      </c>
      <c r="E97" s="1"/>
      <c r="F97" s="2" t="s">
        <v>1002</v>
      </c>
      <c r="G97" s="1" t="s">
        <v>475</v>
      </c>
      <c r="H97" s="1"/>
      <c r="I97" s="1"/>
      <c r="J97" s="1">
        <v>3379</v>
      </c>
      <c r="K97" s="1"/>
      <c r="L97" s="1"/>
      <c r="T97" s="5"/>
    </row>
    <row r="98" spans="1:34" x14ac:dyDescent="0.3">
      <c r="D98" s="1" t="s">
        <v>477</v>
      </c>
      <c r="E98" s="1"/>
      <c r="F98" s="2" t="s">
        <v>1003</v>
      </c>
      <c r="G98" s="1" t="s">
        <v>477</v>
      </c>
      <c r="H98" s="1"/>
      <c r="I98" s="1"/>
      <c r="J98" s="95">
        <v>13730177</v>
      </c>
      <c r="K98" s="95"/>
      <c r="L98" s="95"/>
      <c r="T98" s="5"/>
    </row>
    <row r="99" spans="1:34" ht="18" x14ac:dyDescent="0.35">
      <c r="A99" s="118" t="s">
        <v>549</v>
      </c>
      <c r="T99" s="5"/>
    </row>
    <row r="100" spans="1:34" x14ac:dyDescent="0.3">
      <c r="T100" s="5"/>
    </row>
    <row r="101" spans="1:34" x14ac:dyDescent="0.3">
      <c r="A101" s="2446" t="s">
        <v>480</v>
      </c>
      <c r="B101" s="2447"/>
      <c r="C101" s="2447"/>
      <c r="D101" s="2447"/>
      <c r="E101" s="2447"/>
      <c r="F101" s="2447"/>
      <c r="G101" s="2447"/>
      <c r="H101" s="2447"/>
      <c r="I101" s="2447"/>
      <c r="J101" s="2447"/>
      <c r="K101" s="2447"/>
      <c r="L101" s="2447"/>
      <c r="M101" s="2447"/>
      <c r="N101" s="2447"/>
      <c r="O101" s="2447"/>
      <c r="P101" s="2447"/>
      <c r="Q101" s="2447"/>
      <c r="R101" s="2447"/>
      <c r="S101" s="2448"/>
      <c r="T101" s="2374" t="s">
        <v>584</v>
      </c>
      <c r="U101" s="2375"/>
      <c r="V101" s="2375"/>
      <c r="W101" s="2375"/>
      <c r="X101" s="2375"/>
      <c r="Y101" s="2375"/>
      <c r="Z101" s="2375"/>
      <c r="AA101" s="2375"/>
      <c r="AB101" s="2375"/>
      <c r="AC101" s="2375"/>
      <c r="AD101" s="2375"/>
      <c r="AE101" s="2375"/>
      <c r="AF101" s="2375"/>
      <c r="AG101" s="2375"/>
      <c r="AH101" s="2376"/>
    </row>
    <row r="102" spans="1:34" ht="18" x14ac:dyDescent="0.35">
      <c r="A102" s="2256" t="s">
        <v>482</v>
      </c>
      <c r="B102" s="2258" t="s">
        <v>483</v>
      </c>
      <c r="C102" s="2258" t="s">
        <v>484</v>
      </c>
      <c r="D102" s="2258" t="s">
        <v>485</v>
      </c>
      <c r="E102" s="2258" t="s">
        <v>486</v>
      </c>
      <c r="F102" s="2260" t="s">
        <v>487</v>
      </c>
      <c r="G102" s="2258" t="s">
        <v>488</v>
      </c>
      <c r="H102" s="2258" t="s">
        <v>489</v>
      </c>
      <c r="I102" s="2474" t="s">
        <v>490</v>
      </c>
      <c r="J102" s="327"/>
      <c r="K102" s="327"/>
      <c r="L102" s="2475"/>
      <c r="M102" s="305" t="s">
        <v>491</v>
      </c>
      <c r="N102" s="306" t="s">
        <v>492</v>
      </c>
      <c r="O102" s="306" t="s">
        <v>812</v>
      </c>
      <c r="P102" s="307" t="s">
        <v>493</v>
      </c>
      <c r="Q102" s="306" t="s">
        <v>492</v>
      </c>
      <c r="R102" s="306" t="s">
        <v>494</v>
      </c>
      <c r="S102" s="2343" t="s">
        <v>495</v>
      </c>
      <c r="T102" s="695" t="s">
        <v>496</v>
      </c>
      <c r="U102" s="2409" t="s">
        <v>497</v>
      </c>
      <c r="V102" s="2410"/>
      <c r="W102" s="2410"/>
      <c r="X102" s="2410"/>
      <c r="Y102" s="2410"/>
      <c r="Z102" s="2403" t="s">
        <v>498</v>
      </c>
      <c r="AA102" s="2405"/>
      <c r="AB102" s="2403" t="s">
        <v>499</v>
      </c>
      <c r="AC102" s="2404"/>
      <c r="AD102" s="2404"/>
      <c r="AE102" s="2404"/>
      <c r="AF102" s="2404"/>
      <c r="AG102" s="2404"/>
      <c r="AH102" s="2405"/>
    </row>
    <row r="103" spans="1:34" ht="18" x14ac:dyDescent="0.35">
      <c r="A103" s="2257"/>
      <c r="B103" s="2259"/>
      <c r="C103" s="2259"/>
      <c r="D103" s="2259"/>
      <c r="E103" s="2259"/>
      <c r="F103" s="2261"/>
      <c r="G103" s="2259"/>
      <c r="H103" s="2259"/>
      <c r="I103" s="310" t="s">
        <v>500</v>
      </c>
      <c r="J103" s="310" t="s">
        <v>501</v>
      </c>
      <c r="K103" s="310" t="s">
        <v>502</v>
      </c>
      <c r="L103" s="310" t="s">
        <v>503</v>
      </c>
      <c r="M103" s="311" t="s">
        <v>504</v>
      </c>
      <c r="N103" s="312" t="s">
        <v>505</v>
      </c>
      <c r="O103" s="312" t="s">
        <v>813</v>
      </c>
      <c r="P103" s="313" t="s">
        <v>506</v>
      </c>
      <c r="Q103" s="312" t="s">
        <v>507</v>
      </c>
      <c r="R103" s="312" t="s">
        <v>507</v>
      </c>
      <c r="S103" s="2344"/>
      <c r="T103" s="696" t="s">
        <v>508</v>
      </c>
      <c r="U103" s="2412"/>
      <c r="V103" s="2413"/>
      <c r="W103" s="2413"/>
      <c r="X103" s="2413"/>
      <c r="Y103" s="2413"/>
      <c r="Z103" s="2406"/>
      <c r="AA103" s="2408"/>
      <c r="AB103" s="2406"/>
      <c r="AC103" s="2407"/>
      <c r="AD103" s="2407"/>
      <c r="AE103" s="2407"/>
      <c r="AF103" s="2407"/>
      <c r="AG103" s="2407"/>
      <c r="AH103" s="2408"/>
    </row>
    <row r="104" spans="1:34" ht="18" x14ac:dyDescent="0.35">
      <c r="A104" s="2766" t="s">
        <v>794</v>
      </c>
      <c r="B104" s="2254"/>
      <c r="C104" s="2254"/>
      <c r="D104" s="2254"/>
      <c r="E104" s="2254"/>
      <c r="F104" s="2254"/>
      <c r="G104" s="2254"/>
      <c r="H104" s="2254"/>
      <c r="I104" s="2254"/>
      <c r="J104" s="2254"/>
      <c r="K104" s="2254"/>
      <c r="L104" s="2254"/>
      <c r="M104" s="2254"/>
      <c r="N104" s="2254"/>
      <c r="O104" s="2254"/>
      <c r="P104" s="2254"/>
      <c r="Q104" s="2254"/>
      <c r="R104" s="2254"/>
      <c r="S104" s="2255"/>
      <c r="T104" s="1498"/>
      <c r="U104" s="719" t="s">
        <v>510</v>
      </c>
      <c r="V104" s="717" t="s">
        <v>11</v>
      </c>
      <c r="W104" s="717" t="s">
        <v>511</v>
      </c>
      <c r="X104" s="717" t="s">
        <v>512</v>
      </c>
      <c r="Y104" s="717" t="s">
        <v>513</v>
      </c>
      <c r="Z104" s="317" t="s">
        <v>514</v>
      </c>
      <c r="AA104" s="1499" t="s">
        <v>515</v>
      </c>
      <c r="AB104" s="717" t="s">
        <v>298</v>
      </c>
      <c r="AC104" s="717" t="s">
        <v>299</v>
      </c>
      <c r="AD104" s="717" t="s">
        <v>300</v>
      </c>
      <c r="AE104" s="717" t="s">
        <v>301</v>
      </c>
      <c r="AF104" s="717" t="s">
        <v>6</v>
      </c>
      <c r="AG104" s="717"/>
      <c r="AH104" s="718"/>
    </row>
    <row r="105" spans="1:34" x14ac:dyDescent="0.3">
      <c r="A105" s="172"/>
      <c r="B105" s="157"/>
      <c r="C105" s="157"/>
      <c r="D105" s="157"/>
      <c r="E105" s="157"/>
      <c r="F105" s="158"/>
      <c r="G105" s="157"/>
      <c r="H105" s="157"/>
      <c r="M105" s="157"/>
      <c r="N105" s="166"/>
      <c r="O105" s="173"/>
      <c r="P105" s="166"/>
      <c r="Q105" s="166"/>
      <c r="R105" s="1496"/>
      <c r="S105" s="468"/>
      <c r="T105" s="1500"/>
      <c r="Z105" s="188"/>
      <c r="AA105" s="286"/>
      <c r="AB105" s="154"/>
      <c r="AC105" s="154"/>
      <c r="AD105" s="154"/>
      <c r="AE105" s="154"/>
      <c r="AF105" s="154"/>
      <c r="AG105" s="154"/>
      <c r="AH105" s="154"/>
    </row>
    <row r="106" spans="1:34" x14ac:dyDescent="0.3">
      <c r="A106" s="157" t="s">
        <v>992</v>
      </c>
      <c r="B106" s="157" t="s">
        <v>199</v>
      </c>
      <c r="C106" s="157" t="s">
        <v>993</v>
      </c>
      <c r="D106" s="157" t="s">
        <v>26</v>
      </c>
      <c r="E106" s="157" t="s">
        <v>520</v>
      </c>
      <c r="F106" s="158" t="s">
        <v>939</v>
      </c>
      <c r="G106" s="157">
        <v>2</v>
      </c>
      <c r="H106" s="157" t="s">
        <v>24</v>
      </c>
      <c r="I106" s="175">
        <v>2</v>
      </c>
      <c r="J106" s="176"/>
      <c r="K106" s="176"/>
      <c r="L106" s="177"/>
      <c r="M106" s="157">
        <v>1</v>
      </c>
      <c r="N106" s="503">
        <v>10000</v>
      </c>
      <c r="O106" s="166">
        <f t="shared" ref="O106:O114" si="19">N106*M106*G106</f>
        <v>20000</v>
      </c>
      <c r="P106" s="173">
        <v>0.42</v>
      </c>
      <c r="Q106" s="503">
        <f t="shared" ref="Q106:Q114" si="20">N106*(1-P106)</f>
        <v>5800.0000000000009</v>
      </c>
      <c r="R106" s="166">
        <f t="shared" ref="R106:R114" si="21">Q106*M106*G106</f>
        <v>11600.000000000002</v>
      </c>
      <c r="S106" s="1501">
        <f>R106/$R$120</f>
        <v>3.6498323185226292E-2</v>
      </c>
      <c r="T106" s="1502">
        <f>R106*3</f>
        <v>34800.000000000007</v>
      </c>
      <c r="U106" s="169">
        <f>T106</f>
        <v>34800.000000000007</v>
      </c>
      <c r="V106" s="169"/>
      <c r="W106" s="169"/>
      <c r="X106" s="169"/>
      <c r="Y106" s="169"/>
      <c r="Z106" s="394">
        <f>T106</f>
        <v>34800.000000000007</v>
      </c>
      <c r="AA106" s="395"/>
      <c r="AB106" s="174">
        <f>T106</f>
        <v>34800.000000000007</v>
      </c>
      <c r="AC106" s="172"/>
      <c r="AD106" s="172"/>
      <c r="AE106" s="172"/>
      <c r="AF106" s="172"/>
      <c r="AG106" s="172"/>
      <c r="AH106" s="172"/>
    </row>
    <row r="107" spans="1:34" x14ac:dyDescent="0.3">
      <c r="A107" s="157" t="s">
        <v>992</v>
      </c>
      <c r="B107" s="157" t="s">
        <v>199</v>
      </c>
      <c r="C107" s="157" t="s">
        <v>993</v>
      </c>
      <c r="D107" s="157" t="s">
        <v>21</v>
      </c>
      <c r="E107" s="157" t="s">
        <v>518</v>
      </c>
      <c r="F107" s="158" t="s">
        <v>541</v>
      </c>
      <c r="G107" s="157">
        <v>2</v>
      </c>
      <c r="H107" s="157" t="s">
        <v>147</v>
      </c>
      <c r="I107" s="175">
        <v>2</v>
      </c>
      <c r="J107" s="688"/>
      <c r="L107" s="180"/>
      <c r="M107" s="157">
        <v>1</v>
      </c>
      <c r="N107" s="503">
        <v>12511</v>
      </c>
      <c r="O107" s="166">
        <f t="shared" si="19"/>
        <v>25022</v>
      </c>
      <c r="P107" s="173">
        <v>0.69</v>
      </c>
      <c r="Q107" s="503">
        <f t="shared" si="20"/>
        <v>3878.4100000000008</v>
      </c>
      <c r="R107" s="166">
        <f t="shared" si="21"/>
        <v>7756.8200000000015</v>
      </c>
      <c r="S107" s="815">
        <f>R107/$R$120</f>
        <v>2.4406114073243706E-2</v>
      </c>
      <c r="T107" s="1502">
        <f t="shared" ref="T107:T114" si="22">R107*3</f>
        <v>23270.460000000006</v>
      </c>
      <c r="U107" s="169">
        <f>T107</f>
        <v>23270.460000000006</v>
      </c>
      <c r="V107" s="169"/>
      <c r="W107" s="169"/>
      <c r="X107" s="169"/>
      <c r="Y107" s="169"/>
      <c r="Z107" s="394"/>
      <c r="AA107" s="395">
        <f>T107</f>
        <v>23270.460000000006</v>
      </c>
      <c r="AB107" s="174"/>
      <c r="AC107" s="174">
        <f>T107</f>
        <v>23270.460000000006</v>
      </c>
      <c r="AD107" s="172"/>
      <c r="AE107" s="172"/>
      <c r="AF107" s="172"/>
      <c r="AG107" s="172"/>
      <c r="AH107" s="172"/>
    </row>
    <row r="108" spans="1:34" x14ac:dyDescent="0.3">
      <c r="A108" s="157" t="s">
        <v>992</v>
      </c>
      <c r="B108" s="157" t="s">
        <v>200</v>
      </c>
      <c r="C108" s="157" t="s">
        <v>993</v>
      </c>
      <c r="D108" s="157" t="s">
        <v>103</v>
      </c>
      <c r="E108" s="157" t="s">
        <v>518</v>
      </c>
      <c r="F108" s="158" t="s">
        <v>589</v>
      </c>
      <c r="G108" s="157">
        <v>1</v>
      </c>
      <c r="H108" s="157" t="s">
        <v>24</v>
      </c>
      <c r="I108" s="175">
        <v>1</v>
      </c>
      <c r="J108" s="176"/>
      <c r="K108" s="176"/>
      <c r="L108" s="177"/>
      <c r="M108" s="163">
        <v>1</v>
      </c>
      <c r="N108" s="503">
        <v>138600</v>
      </c>
      <c r="O108" s="166">
        <f t="shared" si="19"/>
        <v>138600</v>
      </c>
      <c r="P108" s="173">
        <v>0.64</v>
      </c>
      <c r="Q108" s="503">
        <f t="shared" si="20"/>
        <v>49896</v>
      </c>
      <c r="R108" s="166">
        <f t="shared" si="21"/>
        <v>49896</v>
      </c>
      <c r="S108" s="815">
        <f>R108/$R$120</f>
        <v>0.15699313221121125</v>
      </c>
      <c r="T108" s="1502">
        <f t="shared" si="22"/>
        <v>149688</v>
      </c>
      <c r="U108" s="169">
        <f>T108</f>
        <v>149688</v>
      </c>
      <c r="V108" s="169"/>
      <c r="W108" s="169"/>
      <c r="X108" s="169"/>
      <c r="Y108" s="169"/>
      <c r="Z108" s="394"/>
      <c r="AA108" s="395">
        <f t="shared" ref="AA108:AA109" si="23">T108</f>
        <v>149688</v>
      </c>
      <c r="AB108" s="174"/>
      <c r="AC108" s="174">
        <f>T108</f>
        <v>149688</v>
      </c>
      <c r="AD108" s="172"/>
      <c r="AE108" s="172"/>
      <c r="AF108" s="172"/>
      <c r="AG108" s="172"/>
      <c r="AH108" s="172"/>
    </row>
    <row r="109" spans="1:34" x14ac:dyDescent="0.3">
      <c r="A109" s="157" t="s">
        <v>992</v>
      </c>
      <c r="B109" s="157" t="s">
        <v>200</v>
      </c>
      <c r="C109" s="157" t="s">
        <v>995</v>
      </c>
      <c r="D109" s="157" t="s">
        <v>201</v>
      </c>
      <c r="E109" s="157" t="s">
        <v>518</v>
      </c>
      <c r="F109" s="158" t="s">
        <v>581</v>
      </c>
      <c r="G109" s="157">
        <v>1</v>
      </c>
      <c r="H109" s="157" t="s">
        <v>22</v>
      </c>
      <c r="I109" s="772"/>
      <c r="J109" s="688">
        <v>26</v>
      </c>
      <c r="L109" s="774"/>
      <c r="M109" s="163">
        <v>1</v>
      </c>
      <c r="N109" s="503">
        <v>65000</v>
      </c>
      <c r="O109" s="166">
        <f t="shared" si="19"/>
        <v>65000</v>
      </c>
      <c r="P109" s="173">
        <v>0.36</v>
      </c>
      <c r="Q109" s="503">
        <f t="shared" si="20"/>
        <v>41600</v>
      </c>
      <c r="R109" s="166">
        <f t="shared" si="21"/>
        <v>41600</v>
      </c>
      <c r="S109" s="815">
        <f>R109/$R$120</f>
        <v>0.13089053831943218</v>
      </c>
      <c r="T109" s="1502">
        <f t="shared" si="22"/>
        <v>124800</v>
      </c>
      <c r="U109" s="169"/>
      <c r="V109" s="169">
        <f>T109</f>
        <v>124800</v>
      </c>
      <c r="W109" s="169"/>
      <c r="X109" s="169"/>
      <c r="Y109" s="169"/>
      <c r="Z109" s="394"/>
      <c r="AA109" s="395">
        <f t="shared" si="23"/>
        <v>124800</v>
      </c>
      <c r="AB109" s="174"/>
      <c r="AC109" s="172"/>
      <c r="AD109" s="174">
        <f>T109</f>
        <v>124800</v>
      </c>
      <c r="AE109" s="172"/>
      <c r="AF109" s="172"/>
      <c r="AG109" s="172"/>
      <c r="AH109" s="172"/>
    </row>
    <row r="110" spans="1:34" x14ac:dyDescent="0.3">
      <c r="A110" s="157" t="s">
        <v>992</v>
      </c>
      <c r="B110" s="157" t="s">
        <v>200</v>
      </c>
      <c r="C110" s="157" t="s">
        <v>995</v>
      </c>
      <c r="D110" s="157" t="s">
        <v>202</v>
      </c>
      <c r="E110" s="157" t="s">
        <v>520</v>
      </c>
      <c r="F110" s="158" t="s">
        <v>655</v>
      </c>
      <c r="G110" s="157">
        <v>1</v>
      </c>
      <c r="H110" s="157" t="s">
        <v>24</v>
      </c>
      <c r="I110" s="175">
        <v>10</v>
      </c>
      <c r="J110" s="176"/>
      <c r="K110" s="176"/>
      <c r="L110" s="177"/>
      <c r="M110" s="163">
        <v>1</v>
      </c>
      <c r="N110" s="503">
        <v>64800</v>
      </c>
      <c r="O110" s="166">
        <f t="shared" si="19"/>
        <v>64800</v>
      </c>
      <c r="P110" s="173">
        <v>0.7</v>
      </c>
      <c r="Q110" s="503">
        <f t="shared" si="20"/>
        <v>19440.000000000004</v>
      </c>
      <c r="R110" s="166">
        <f t="shared" si="21"/>
        <v>19440.000000000004</v>
      </c>
      <c r="S110" s="1501">
        <f t="shared" ref="S110:S114" si="24">R110/$R$120</f>
        <v>6.116615540696544E-2</v>
      </c>
      <c r="T110" s="1502">
        <f t="shared" si="22"/>
        <v>58320.000000000015</v>
      </c>
      <c r="U110" s="169"/>
      <c r="V110" s="169">
        <f>T110</f>
        <v>58320.000000000015</v>
      </c>
      <c r="W110" s="169"/>
      <c r="X110" s="169"/>
      <c r="Y110" s="169"/>
      <c r="Z110" s="1503">
        <f>T110</f>
        <v>58320.000000000015</v>
      </c>
      <c r="AA110" s="395"/>
      <c r="AB110" s="174"/>
      <c r="AC110" s="172"/>
      <c r="AD110" s="174">
        <f>T110</f>
        <v>58320.000000000015</v>
      </c>
      <c r="AE110" s="172"/>
      <c r="AF110" s="172"/>
      <c r="AG110" s="172"/>
      <c r="AH110" s="172"/>
    </row>
    <row r="111" spans="1:34" x14ac:dyDescent="0.3">
      <c r="A111" s="157" t="s">
        <v>992</v>
      </c>
      <c r="B111" s="157" t="s">
        <v>183</v>
      </c>
      <c r="C111" s="157" t="s">
        <v>996</v>
      </c>
      <c r="D111" s="157" t="s">
        <v>202</v>
      </c>
      <c r="E111" s="157" t="s">
        <v>518</v>
      </c>
      <c r="F111" s="158" t="s">
        <v>997</v>
      </c>
      <c r="G111" s="157">
        <v>1</v>
      </c>
      <c r="H111" s="157" t="s">
        <v>22</v>
      </c>
      <c r="K111" s="285">
        <v>65</v>
      </c>
      <c r="M111" s="157">
        <v>1</v>
      </c>
      <c r="N111" s="166">
        <v>92000</v>
      </c>
      <c r="O111" s="166">
        <f t="shared" si="19"/>
        <v>92000</v>
      </c>
      <c r="P111" s="173">
        <v>0.45</v>
      </c>
      <c r="Q111" s="503">
        <f t="shared" si="20"/>
        <v>50600.000000000007</v>
      </c>
      <c r="R111" s="166">
        <f t="shared" si="21"/>
        <v>50600.000000000007</v>
      </c>
      <c r="S111" s="815">
        <f t="shared" si="24"/>
        <v>0.15920820285969398</v>
      </c>
      <c r="T111" s="1502">
        <f t="shared" si="22"/>
        <v>151800.00000000003</v>
      </c>
      <c r="U111" s="169"/>
      <c r="V111" s="169">
        <f>T111</f>
        <v>151800.00000000003</v>
      </c>
      <c r="Z111" s="188"/>
      <c r="AA111" s="395">
        <f>T111</f>
        <v>151800.00000000003</v>
      </c>
      <c r="AB111" s="174"/>
      <c r="AC111" s="172"/>
      <c r="AD111" s="172"/>
      <c r="AE111" s="174">
        <f>T111</f>
        <v>151800.00000000003</v>
      </c>
      <c r="AF111" s="172"/>
      <c r="AG111" s="172"/>
      <c r="AH111" s="172"/>
    </row>
    <row r="112" spans="1:34" x14ac:dyDescent="0.3">
      <c r="A112" s="157" t="s">
        <v>992</v>
      </c>
      <c r="B112" s="157" t="s">
        <v>183</v>
      </c>
      <c r="C112" s="157" t="s">
        <v>993</v>
      </c>
      <c r="D112" s="157" t="s">
        <v>21</v>
      </c>
      <c r="E112" s="157" t="s">
        <v>518</v>
      </c>
      <c r="F112" s="158" t="s">
        <v>541</v>
      </c>
      <c r="G112" s="157">
        <v>2</v>
      </c>
      <c r="H112" s="157" t="s">
        <v>22</v>
      </c>
      <c r="I112" s="285">
        <v>2</v>
      </c>
      <c r="J112" s="1489"/>
      <c r="K112" s="1489"/>
      <c r="M112" s="157">
        <v>1</v>
      </c>
      <c r="N112" s="166">
        <v>45000</v>
      </c>
      <c r="O112" s="166">
        <f t="shared" si="19"/>
        <v>90000</v>
      </c>
      <c r="P112" s="173">
        <v>0.45</v>
      </c>
      <c r="Q112" s="503">
        <f t="shared" si="20"/>
        <v>24750.000000000004</v>
      </c>
      <c r="R112" s="166">
        <f t="shared" si="21"/>
        <v>49500.000000000007</v>
      </c>
      <c r="S112" s="815">
        <f t="shared" si="24"/>
        <v>0.15574715497143976</v>
      </c>
      <c r="T112" s="1502">
        <f t="shared" si="22"/>
        <v>148500.00000000003</v>
      </c>
      <c r="U112" s="169">
        <f>T112</f>
        <v>148500.00000000003</v>
      </c>
      <c r="Z112" s="188"/>
      <c r="AA112" s="395">
        <f>T112</f>
        <v>148500.00000000003</v>
      </c>
      <c r="AB112" s="174"/>
      <c r="AC112" s="172"/>
      <c r="AD112" s="172"/>
      <c r="AE112" s="172"/>
      <c r="AF112" s="174">
        <f>T112</f>
        <v>148500.00000000003</v>
      </c>
      <c r="AG112" s="172"/>
      <c r="AH112" s="172"/>
    </row>
    <row r="113" spans="1:34" x14ac:dyDescent="0.3">
      <c r="A113" s="157" t="s">
        <v>992</v>
      </c>
      <c r="B113" s="157" t="s">
        <v>183</v>
      </c>
      <c r="C113" s="157" t="s">
        <v>993</v>
      </c>
      <c r="D113" s="157" t="s">
        <v>26</v>
      </c>
      <c r="E113" s="157" t="s">
        <v>520</v>
      </c>
      <c r="F113" s="158" t="s">
        <v>939</v>
      </c>
      <c r="G113" s="157">
        <v>2</v>
      </c>
      <c r="H113" s="157" t="s">
        <v>24</v>
      </c>
      <c r="I113" s="175">
        <v>2</v>
      </c>
      <c r="J113" s="176"/>
      <c r="K113" s="176"/>
      <c r="L113" s="177"/>
      <c r="M113" s="157">
        <v>1</v>
      </c>
      <c r="N113" s="166">
        <v>6300</v>
      </c>
      <c r="O113" s="166">
        <f t="shared" si="19"/>
        <v>12600</v>
      </c>
      <c r="P113" s="173">
        <v>0.45</v>
      </c>
      <c r="Q113" s="503">
        <f t="shared" si="20"/>
        <v>3465.0000000000005</v>
      </c>
      <c r="R113" s="166">
        <f t="shared" si="21"/>
        <v>6930.0000000000009</v>
      </c>
      <c r="S113" s="1501">
        <f t="shared" si="24"/>
        <v>2.1804601696001569E-2</v>
      </c>
      <c r="T113" s="1502">
        <f t="shared" si="22"/>
        <v>20790.000000000004</v>
      </c>
      <c r="U113" s="169">
        <f>T113</f>
        <v>20790.000000000004</v>
      </c>
      <c r="Z113" s="394">
        <f>T113</f>
        <v>20790.000000000004</v>
      </c>
      <c r="AA113" s="286"/>
      <c r="AB113" s="174"/>
      <c r="AC113" s="172"/>
      <c r="AD113" s="172"/>
      <c r="AE113" s="172"/>
      <c r="AF113" s="174">
        <f>T113</f>
        <v>20790.000000000004</v>
      </c>
      <c r="AG113" s="172"/>
      <c r="AH113" s="172"/>
    </row>
    <row r="114" spans="1:34" x14ac:dyDescent="0.3">
      <c r="A114" s="157" t="s">
        <v>992</v>
      </c>
      <c r="B114" s="157" t="s">
        <v>183</v>
      </c>
      <c r="C114" s="157" t="s">
        <v>993</v>
      </c>
      <c r="D114" s="157" t="s">
        <v>103</v>
      </c>
      <c r="E114" s="157" t="s">
        <v>520</v>
      </c>
      <c r="F114" s="158" t="s">
        <v>589</v>
      </c>
      <c r="G114" s="157">
        <v>1</v>
      </c>
      <c r="H114" s="157" t="s">
        <v>24</v>
      </c>
      <c r="I114" s="175">
        <v>1</v>
      </c>
      <c r="J114" s="176"/>
      <c r="K114" s="176"/>
      <c r="L114" s="177"/>
      <c r="M114" s="157">
        <v>1</v>
      </c>
      <c r="N114" s="166">
        <v>110000</v>
      </c>
      <c r="O114" s="166">
        <f t="shared" si="19"/>
        <v>110000</v>
      </c>
      <c r="P114" s="173">
        <v>0.45</v>
      </c>
      <c r="Q114" s="503">
        <f t="shared" si="20"/>
        <v>60500.000000000007</v>
      </c>
      <c r="R114" s="166">
        <f t="shared" si="21"/>
        <v>60500.000000000007</v>
      </c>
      <c r="S114" s="1501">
        <f t="shared" si="24"/>
        <v>0.19035763385398194</v>
      </c>
      <c r="T114" s="1502">
        <f t="shared" si="22"/>
        <v>181500.00000000003</v>
      </c>
      <c r="U114" s="169">
        <f>T114</f>
        <v>181500.00000000003</v>
      </c>
      <c r="Z114" s="394">
        <f>T114</f>
        <v>181500.00000000003</v>
      </c>
      <c r="AA114" s="286"/>
      <c r="AB114" s="172"/>
      <c r="AC114" s="172"/>
      <c r="AD114" s="172"/>
      <c r="AE114" s="172"/>
      <c r="AF114" s="174">
        <f>T114</f>
        <v>181500.00000000003</v>
      </c>
      <c r="AG114" s="172"/>
      <c r="AH114" s="172"/>
    </row>
    <row r="115" spans="1:34" x14ac:dyDescent="0.3">
      <c r="A115" s="157"/>
      <c r="B115" s="157"/>
      <c r="C115" s="157"/>
      <c r="D115" s="157"/>
      <c r="E115" s="157"/>
      <c r="F115" s="158"/>
      <c r="G115" s="157"/>
      <c r="H115" s="157"/>
      <c r="M115" s="157"/>
      <c r="N115" s="166"/>
      <c r="O115" s="173"/>
      <c r="P115" s="166"/>
      <c r="Q115" s="166"/>
      <c r="R115" s="166"/>
      <c r="S115" s="1473"/>
      <c r="T115" s="1502"/>
      <c r="U115" s="169"/>
      <c r="Z115" s="394"/>
      <c r="AA115" s="286"/>
      <c r="AB115" s="172"/>
      <c r="AC115" s="172"/>
      <c r="AD115" s="172"/>
      <c r="AE115" s="172"/>
      <c r="AF115" s="172"/>
      <c r="AG115" s="174">
        <f>T115</f>
        <v>0</v>
      </c>
      <c r="AH115" s="172"/>
    </row>
    <row r="116" spans="1:34" x14ac:dyDescent="0.3">
      <c r="A116" s="172"/>
      <c r="B116" s="157"/>
      <c r="C116" s="157"/>
      <c r="D116" s="157"/>
      <c r="E116" s="157"/>
      <c r="F116" s="158"/>
      <c r="G116" s="157"/>
      <c r="H116" s="157"/>
      <c r="M116" s="157"/>
      <c r="N116" s="166"/>
      <c r="O116" s="173"/>
      <c r="P116" s="166"/>
      <c r="Q116" s="166"/>
      <c r="R116" s="1504"/>
      <c r="S116" s="166"/>
      <c r="T116" s="186"/>
      <c r="Z116" s="188"/>
      <c r="AA116" s="286"/>
      <c r="AB116" s="172"/>
      <c r="AC116" s="172"/>
      <c r="AD116" s="172"/>
      <c r="AE116" s="172"/>
      <c r="AF116" s="172"/>
      <c r="AG116" s="172"/>
      <c r="AH116" s="172"/>
    </row>
    <row r="117" spans="1:34" x14ac:dyDescent="0.3">
      <c r="A117" s="108" t="s">
        <v>992</v>
      </c>
      <c r="B117" s="108" t="s">
        <v>528</v>
      </c>
      <c r="C117" s="289"/>
      <c r="D117" s="252"/>
      <c r="E117" s="252"/>
      <c r="F117" s="253"/>
      <c r="G117" s="252"/>
      <c r="H117" s="252"/>
      <c r="I117" s="254"/>
      <c r="J117" s="254"/>
      <c r="K117" s="254"/>
      <c r="L117" s="254"/>
      <c r="M117" s="252"/>
      <c r="N117" s="255"/>
      <c r="O117" s="256"/>
      <c r="P117" s="290"/>
      <c r="Q117" s="257"/>
      <c r="R117" s="1505"/>
      <c r="S117" s="1505"/>
      <c r="T117" s="1502"/>
      <c r="X117" s="169"/>
      <c r="Z117" s="188"/>
      <c r="AA117" s="286"/>
      <c r="AB117" s="172"/>
      <c r="AC117" s="172"/>
      <c r="AD117" s="172"/>
      <c r="AE117" s="172"/>
      <c r="AF117" s="172"/>
      <c r="AG117" s="172"/>
      <c r="AH117" s="172"/>
    </row>
    <row r="118" spans="1:34" x14ac:dyDescent="0.3">
      <c r="A118" s="108" t="s">
        <v>992</v>
      </c>
      <c r="B118" s="108" t="s">
        <v>529</v>
      </c>
      <c r="C118" s="289"/>
      <c r="D118" s="252"/>
      <c r="E118" s="252"/>
      <c r="F118" s="253"/>
      <c r="G118" s="252"/>
      <c r="H118" s="252"/>
      <c r="I118" s="254"/>
      <c r="J118" s="254"/>
      <c r="K118" s="254"/>
      <c r="L118" s="254"/>
      <c r="M118" s="252"/>
      <c r="N118" s="255"/>
      <c r="O118" s="256"/>
      <c r="P118" s="290"/>
      <c r="Q118" s="257"/>
      <c r="R118" s="1505">
        <v>20000</v>
      </c>
      <c r="S118" s="815">
        <f t="shared" ref="S118" si="25">R118/$R$120</f>
        <v>6.2928143422803937E-2</v>
      </c>
      <c r="T118" s="1502">
        <f t="shared" ref="T118" si="26">R118*3</f>
        <v>60000</v>
      </c>
      <c r="Y118" s="169">
        <f>T118</f>
        <v>60000</v>
      </c>
      <c r="Z118" s="188"/>
      <c r="AA118" s="286"/>
      <c r="AB118" s="172"/>
      <c r="AC118" s="172"/>
      <c r="AD118" s="172"/>
      <c r="AE118" s="172"/>
      <c r="AF118" s="172"/>
      <c r="AG118" s="172"/>
      <c r="AH118" s="172"/>
    </row>
    <row r="119" spans="1:34" x14ac:dyDescent="0.3">
      <c r="I119" s="115">
        <f>I120/$M$120</f>
        <v>0.18018018018018017</v>
      </c>
      <c r="J119" s="115">
        <f t="shared" ref="J119:K119" si="27">J120/$M$120</f>
        <v>0.23423423423423423</v>
      </c>
      <c r="K119" s="115">
        <f t="shared" si="27"/>
        <v>0.5855855855855856</v>
      </c>
      <c r="S119" s="1500"/>
      <c r="T119" s="1506"/>
      <c r="Z119" s="188"/>
      <c r="AA119" s="286"/>
      <c r="AB119" s="211"/>
      <c r="AC119" s="211"/>
      <c r="AD119" s="211"/>
      <c r="AE119" s="211"/>
      <c r="AF119" s="211"/>
      <c r="AG119" s="211"/>
      <c r="AH119" s="211"/>
    </row>
    <row r="120" spans="1:34" x14ac:dyDescent="0.3">
      <c r="A120" s="326" t="s">
        <v>531</v>
      </c>
      <c r="B120" s="327"/>
      <c r="C120" s="327"/>
      <c r="D120" s="327"/>
      <c r="E120" s="327"/>
      <c r="F120" s="328"/>
      <c r="G120" s="327"/>
      <c r="H120" s="327"/>
      <c r="I120" s="697">
        <f>I114+I113+I110+I108+I107+I106+I112</f>
        <v>20</v>
      </c>
      <c r="J120" s="697">
        <f>J109</f>
        <v>26</v>
      </c>
      <c r="K120" s="697">
        <f>K111</f>
        <v>65</v>
      </c>
      <c r="L120" s="697"/>
      <c r="M120" s="327">
        <f>SUM(I120:L120)</f>
        <v>111</v>
      </c>
      <c r="N120" s="329"/>
      <c r="O120" s="330"/>
      <c r="P120" s="329"/>
      <c r="Q120" s="331"/>
      <c r="R120" s="1507">
        <f>SUM(R106:R118)</f>
        <v>317822.82</v>
      </c>
      <c r="S120" s="332">
        <f>SUM(S105:S119)</f>
        <v>1</v>
      </c>
      <c r="T120" s="516">
        <f>SUM(T105:T119)</f>
        <v>953468.46000000008</v>
      </c>
      <c r="U120" s="517">
        <f>SUM(U105:U118)</f>
        <v>558548.46000000008</v>
      </c>
      <c r="V120" s="335">
        <f>SUM(V105:V118)</f>
        <v>334920</v>
      </c>
      <c r="W120" s="335">
        <f>SUM(W105:W118)</f>
        <v>0</v>
      </c>
      <c r="X120" s="335"/>
      <c r="Y120" s="335">
        <f>SUM(Y103:Y118)</f>
        <v>60000</v>
      </c>
      <c r="Z120" s="518">
        <f>SUM(Z105:Z118)</f>
        <v>295410.00000000006</v>
      </c>
      <c r="AA120" s="519">
        <f>SUM(AA105:AA118)</f>
        <v>598058.46000000008</v>
      </c>
      <c r="AB120" s="1508">
        <f>SUM(AB102:AB119)</f>
        <v>34800.000000000007</v>
      </c>
      <c r="AC120" s="340">
        <f>SUM(AC102:AC119)</f>
        <v>172958.46000000002</v>
      </c>
      <c r="AD120" s="340">
        <f t="shared" ref="AD120:AF120" si="28">SUM(AD102:AD119)</f>
        <v>183120</v>
      </c>
      <c r="AE120" s="340">
        <f t="shared" si="28"/>
        <v>151800.00000000003</v>
      </c>
      <c r="AF120" s="340">
        <f t="shared" si="28"/>
        <v>350790.00000000006</v>
      </c>
      <c r="AG120" s="340">
        <f>SUM(AG104:AG119)</f>
        <v>0</v>
      </c>
      <c r="AH120" s="593"/>
    </row>
    <row r="121" spans="1:34" x14ac:dyDescent="0.3">
      <c r="A121" s="342" t="s">
        <v>532</v>
      </c>
      <c r="B121" s="343"/>
      <c r="C121" s="343"/>
      <c r="D121" s="343"/>
      <c r="E121" s="343"/>
      <c r="F121" s="344"/>
      <c r="G121" s="343"/>
      <c r="H121" s="343"/>
      <c r="I121" s="700">
        <f>I114+I113+I110+I108+I107+I106+I112</f>
        <v>20</v>
      </c>
      <c r="J121" s="700">
        <f>I114+I113+I110+J109+I108+I107+I106</f>
        <v>44</v>
      </c>
      <c r="K121" s="700">
        <f>I114+I113+K111+I110+I108+I106</f>
        <v>81</v>
      </c>
      <c r="L121" s="700"/>
      <c r="M121" s="343">
        <f>SUM(I121:L121)</f>
        <v>145</v>
      </c>
      <c r="N121" s="345"/>
      <c r="O121" s="346"/>
      <c r="P121" s="345"/>
      <c r="Q121" s="345"/>
      <c r="R121" s="1509"/>
      <c r="S121" s="347"/>
      <c r="T121" s="520"/>
      <c r="U121" s="533">
        <f>U120/T120</f>
        <v>0.58580695999110455</v>
      </c>
      <c r="V121" s="350">
        <f>V120/T120</f>
        <v>0.35126489658609156</v>
      </c>
      <c r="W121" s="350">
        <f>W120/U120</f>
        <v>0</v>
      </c>
      <c r="X121" s="350"/>
      <c r="Y121" s="350">
        <f>Y120/T120</f>
        <v>6.2928143422803937E-2</v>
      </c>
      <c r="Z121" s="313">
        <f>Z120/T120</f>
        <v>0.30982671414217522</v>
      </c>
      <c r="AA121" s="522">
        <f>AA120/T120</f>
        <v>0.62724514243502094</v>
      </c>
      <c r="AB121" s="1510"/>
      <c r="AC121" s="355"/>
      <c r="AD121" s="355"/>
      <c r="AE121" s="355"/>
      <c r="AF121" s="355"/>
      <c r="AG121" s="355"/>
      <c r="AH121" s="356"/>
    </row>
    <row r="122" spans="1:34" x14ac:dyDescent="0.3">
      <c r="A122" s="243" t="s">
        <v>533</v>
      </c>
      <c r="B122" s="193"/>
      <c r="C122" s="193"/>
      <c r="D122" s="193"/>
      <c r="E122" s="193"/>
      <c r="F122" s="244"/>
      <c r="G122" s="193"/>
      <c r="H122" s="193"/>
      <c r="I122" s="2182">
        <f>I121/$M$121</f>
        <v>0.13793103448275862</v>
      </c>
      <c r="J122" s="2182">
        <f t="shared" ref="J122:K122" si="29">J121/$M$121</f>
        <v>0.30344827586206896</v>
      </c>
      <c r="K122" s="2182">
        <f t="shared" si="29"/>
        <v>0.55862068965517242</v>
      </c>
      <c r="L122" s="245"/>
      <c r="M122" s="193"/>
      <c r="N122" s="246"/>
      <c r="O122" s="1463"/>
      <c r="P122" s="196"/>
      <c r="Q122" s="246"/>
      <c r="R122" s="194">
        <f>U120/3</f>
        <v>186182.82000000004</v>
      </c>
      <c r="S122" s="247">
        <f>R122/R127</f>
        <v>0.58580695999110444</v>
      </c>
      <c r="T122" s="99"/>
      <c r="Y122" s="248"/>
      <c r="Z122" s="761">
        <f>I106+I110+I113+I114</f>
        <v>15</v>
      </c>
      <c r="AA122" s="761">
        <f>I107+I108+J109+K111+I112</f>
        <v>96</v>
      </c>
      <c r="AB122" s="1464"/>
      <c r="AC122" s="143"/>
      <c r="AD122" s="143"/>
      <c r="AE122" s="143"/>
      <c r="AF122" s="143"/>
      <c r="AG122" s="143"/>
      <c r="AH122" s="143"/>
    </row>
    <row r="123" spans="1:34" x14ac:dyDescent="0.3">
      <c r="A123" s="251" t="s">
        <v>11</v>
      </c>
      <c r="B123" s="252"/>
      <c r="C123" s="252"/>
      <c r="D123" s="252"/>
      <c r="E123" s="252"/>
      <c r="F123" s="253"/>
      <c r="G123" s="252"/>
      <c r="H123" s="252"/>
      <c r="I123" s="254"/>
      <c r="J123" s="254"/>
      <c r="K123" s="254"/>
      <c r="L123" s="254"/>
      <c r="M123" s="252"/>
      <c r="N123" s="255"/>
      <c r="O123" s="1465"/>
      <c r="P123" s="256"/>
      <c r="Q123" s="255"/>
      <c r="R123" s="257">
        <f>V120/3</f>
        <v>111640</v>
      </c>
      <c r="S123" s="256">
        <f>R123/R127</f>
        <v>0.3512648965860915</v>
      </c>
      <c r="T123" s="1477">
        <f>R120/M120</f>
        <v>2863.2686486486487</v>
      </c>
      <c r="U123" s="1511" t="s">
        <v>973</v>
      </c>
      <c r="Z123" s="195">
        <f>Z122/M120</f>
        <v>0.13513513513513514</v>
      </c>
      <c r="AA123" s="195">
        <f>AA122/M120</f>
        <v>0.86486486486486491</v>
      </c>
    </row>
    <row r="124" spans="1:34" x14ac:dyDescent="0.3">
      <c r="A124" s="251" t="s">
        <v>536</v>
      </c>
      <c r="B124" s="252"/>
      <c r="C124" s="252"/>
      <c r="D124" s="252"/>
      <c r="E124" s="252"/>
      <c r="F124" s="253"/>
      <c r="G124" s="252"/>
      <c r="H124" s="252"/>
      <c r="I124" s="254"/>
      <c r="J124" s="254"/>
      <c r="K124" s="254"/>
      <c r="L124" s="254"/>
      <c r="M124" s="252"/>
      <c r="N124" s="255"/>
      <c r="O124" s="1465"/>
      <c r="P124" s="256"/>
      <c r="Q124" s="255"/>
      <c r="R124" s="257">
        <f>W120</f>
        <v>0</v>
      </c>
      <c r="S124" s="109">
        <f>R124/R127</f>
        <v>0</v>
      </c>
      <c r="T124" s="99"/>
      <c r="Z124" s="2728" t="s">
        <v>537</v>
      </c>
      <c r="AA124" s="2729"/>
    </row>
    <row r="125" spans="1:34" x14ac:dyDescent="0.3">
      <c r="A125" s="251" t="s">
        <v>528</v>
      </c>
      <c r="B125" s="252"/>
      <c r="C125" s="252"/>
      <c r="D125" s="252"/>
      <c r="E125" s="252"/>
      <c r="F125" s="253"/>
      <c r="G125" s="252"/>
      <c r="H125" s="252"/>
      <c r="I125" s="254"/>
      <c r="J125" s="254"/>
      <c r="K125" s="254"/>
      <c r="L125" s="254"/>
      <c r="M125" s="252"/>
      <c r="N125" s="255"/>
      <c r="O125" s="1465"/>
      <c r="P125" s="256"/>
      <c r="Q125" s="255"/>
      <c r="R125" s="257"/>
      <c r="S125" s="262">
        <f>R125/R127</f>
        <v>0</v>
      </c>
      <c r="T125" s="99"/>
    </row>
    <row r="126" spans="1:34" x14ac:dyDescent="0.3">
      <c r="A126" s="251" t="s">
        <v>529</v>
      </c>
      <c r="B126" s="252"/>
      <c r="C126" s="252"/>
      <c r="D126" s="252"/>
      <c r="E126" s="252"/>
      <c r="F126" s="253"/>
      <c r="G126" s="252"/>
      <c r="H126" s="252"/>
      <c r="I126" s="254"/>
      <c r="J126" s="254"/>
      <c r="K126" s="254"/>
      <c r="L126" s="254"/>
      <c r="M126" s="252"/>
      <c r="N126" s="255"/>
      <c r="O126" s="1465"/>
      <c r="P126" s="256"/>
      <c r="Q126" s="255"/>
      <c r="R126" s="257">
        <f>Y120/3</f>
        <v>20000</v>
      </c>
      <c r="S126" s="262">
        <f>R126/R127</f>
        <v>6.2928143422803923E-2</v>
      </c>
      <c r="T126" s="99"/>
    </row>
    <row r="127" spans="1:34" x14ac:dyDescent="0.3">
      <c r="A127" s="243"/>
      <c r="B127" s="193"/>
      <c r="C127" s="193"/>
      <c r="D127" s="193"/>
      <c r="E127" s="193"/>
      <c r="F127" s="244"/>
      <c r="G127" s="193"/>
      <c r="H127" s="193"/>
      <c r="I127" s="245"/>
      <c r="J127" s="245"/>
      <c r="K127" s="245"/>
      <c r="L127" s="245"/>
      <c r="M127" s="193"/>
      <c r="N127" s="246"/>
      <c r="O127" s="1465"/>
      <c r="P127" s="196"/>
      <c r="Q127" s="246"/>
      <c r="R127" s="194">
        <f>SUM(R122:R126)</f>
        <v>317822.82000000007</v>
      </c>
      <c r="S127" s="247">
        <f>SUM(S122:S126)</f>
        <v>0.99999999999999989</v>
      </c>
    </row>
    <row r="128" spans="1:34" x14ac:dyDescent="0.3">
      <c r="T128" s="5"/>
    </row>
    <row r="129" spans="1:34" x14ac:dyDescent="0.3">
      <c r="T129" s="5"/>
    </row>
    <row r="130" spans="1:34" x14ac:dyDescent="0.3">
      <c r="T130" s="5"/>
    </row>
    <row r="131" spans="1:34" ht="18" x14ac:dyDescent="0.35">
      <c r="A131" s="118" t="s">
        <v>554</v>
      </c>
      <c r="T131" s="5"/>
    </row>
    <row r="132" spans="1:34" x14ac:dyDescent="0.3">
      <c r="A132" s="2446" t="s">
        <v>480</v>
      </c>
      <c r="B132" s="2447"/>
      <c r="C132" s="2447"/>
      <c r="D132" s="2447"/>
      <c r="E132" s="2447"/>
      <c r="F132" s="2447"/>
      <c r="G132" s="2447"/>
      <c r="H132" s="2447"/>
      <c r="I132" s="2447"/>
      <c r="J132" s="2447"/>
      <c r="K132" s="2447"/>
      <c r="L132" s="2447"/>
      <c r="M132" s="2447"/>
      <c r="N132" s="2447"/>
      <c r="O132" s="2447"/>
      <c r="P132" s="2447"/>
      <c r="Q132" s="2447"/>
      <c r="R132" s="2447"/>
      <c r="S132" s="2448"/>
      <c r="T132" s="2374" t="s">
        <v>584</v>
      </c>
      <c r="U132" s="2375"/>
      <c r="V132" s="2375"/>
      <c r="W132" s="2375"/>
      <c r="X132" s="2375"/>
      <c r="Y132" s="2375"/>
      <c r="Z132" s="2375"/>
      <c r="AA132" s="2375"/>
      <c r="AB132" s="2375"/>
      <c r="AC132" s="2375"/>
      <c r="AD132" s="2375"/>
      <c r="AE132" s="2375"/>
      <c r="AF132" s="2375"/>
      <c r="AG132" s="2375"/>
      <c r="AH132" s="2376"/>
    </row>
    <row r="133" spans="1:34" ht="18" x14ac:dyDescent="0.35">
      <c r="A133" s="2256" t="s">
        <v>482</v>
      </c>
      <c r="B133" s="2258" t="s">
        <v>483</v>
      </c>
      <c r="C133" s="2258" t="s">
        <v>484</v>
      </c>
      <c r="D133" s="2258" t="s">
        <v>485</v>
      </c>
      <c r="E133" s="2258" t="s">
        <v>486</v>
      </c>
      <c r="F133" s="2260" t="s">
        <v>487</v>
      </c>
      <c r="G133" s="2258" t="s">
        <v>488</v>
      </c>
      <c r="H133" s="2258" t="s">
        <v>489</v>
      </c>
      <c r="I133" s="2474" t="s">
        <v>490</v>
      </c>
      <c r="J133" s="327"/>
      <c r="K133" s="327"/>
      <c r="L133" s="2475"/>
      <c r="M133" s="305" t="s">
        <v>491</v>
      </c>
      <c r="N133" s="306" t="s">
        <v>492</v>
      </c>
      <c r="O133" s="306" t="s">
        <v>812</v>
      </c>
      <c r="P133" s="307" t="s">
        <v>493</v>
      </c>
      <c r="Q133" s="306" t="s">
        <v>492</v>
      </c>
      <c r="R133" s="306" t="s">
        <v>494</v>
      </c>
      <c r="S133" s="2343" t="s">
        <v>495</v>
      </c>
      <c r="T133" s="695" t="s">
        <v>496</v>
      </c>
      <c r="U133" s="2409" t="s">
        <v>497</v>
      </c>
      <c r="V133" s="2410"/>
      <c r="W133" s="2410"/>
      <c r="X133" s="2410"/>
      <c r="Y133" s="2410"/>
      <c r="Z133" s="2403" t="s">
        <v>498</v>
      </c>
      <c r="AA133" s="2405"/>
      <c r="AB133" s="2403" t="s">
        <v>499</v>
      </c>
      <c r="AC133" s="2404"/>
      <c r="AD133" s="2404"/>
      <c r="AE133" s="2404"/>
      <c r="AF133" s="2404"/>
      <c r="AG133" s="2404"/>
      <c r="AH133" s="2405"/>
    </row>
    <row r="134" spans="1:34" ht="18" x14ac:dyDescent="0.35">
      <c r="A134" s="2257"/>
      <c r="B134" s="2259"/>
      <c r="C134" s="2259"/>
      <c r="D134" s="2259"/>
      <c r="E134" s="2259"/>
      <c r="F134" s="2261"/>
      <c r="G134" s="2259"/>
      <c r="H134" s="2259"/>
      <c r="I134" s="310" t="s">
        <v>500</v>
      </c>
      <c r="J134" s="310" t="s">
        <v>501</v>
      </c>
      <c r="K134" s="310" t="s">
        <v>502</v>
      </c>
      <c r="L134" s="310" t="s">
        <v>503</v>
      </c>
      <c r="M134" s="311" t="s">
        <v>504</v>
      </c>
      <c r="N134" s="312" t="s">
        <v>505</v>
      </c>
      <c r="O134" s="312" t="s">
        <v>813</v>
      </c>
      <c r="P134" s="313" t="s">
        <v>506</v>
      </c>
      <c r="Q134" s="312" t="s">
        <v>507</v>
      </c>
      <c r="R134" s="312" t="s">
        <v>507</v>
      </c>
      <c r="S134" s="2344"/>
      <c r="T134" s="696" t="s">
        <v>508</v>
      </c>
      <c r="U134" s="2412"/>
      <c r="V134" s="2413"/>
      <c r="W134" s="2413"/>
      <c r="X134" s="2413"/>
      <c r="Y134" s="2413"/>
      <c r="Z134" s="2406"/>
      <c r="AA134" s="2408"/>
      <c r="AB134" s="2406"/>
      <c r="AC134" s="2407"/>
      <c r="AD134" s="2407"/>
      <c r="AE134" s="2407"/>
      <c r="AF134" s="2407"/>
      <c r="AG134" s="2407"/>
      <c r="AH134" s="2408"/>
    </row>
    <row r="135" spans="1:34" ht="18" x14ac:dyDescent="0.35">
      <c r="A135" s="2766" t="s">
        <v>1004</v>
      </c>
      <c r="B135" s="2254"/>
      <c r="C135" s="2254"/>
      <c r="D135" s="2254"/>
      <c r="E135" s="2254"/>
      <c r="F135" s="2254"/>
      <c r="G135" s="2254"/>
      <c r="H135" s="2254"/>
      <c r="I135" s="2254"/>
      <c r="J135" s="2254"/>
      <c r="K135" s="2254"/>
      <c r="L135" s="2254"/>
      <c r="M135" s="2254"/>
      <c r="N135" s="2254"/>
      <c r="O135" s="2254"/>
      <c r="P135" s="2254"/>
      <c r="Q135" s="2254"/>
      <c r="R135" s="2254"/>
      <c r="S135" s="2255"/>
      <c r="T135" s="1498"/>
      <c r="U135" s="719" t="s">
        <v>510</v>
      </c>
      <c r="V135" s="717" t="s">
        <v>11</v>
      </c>
      <c r="W135" s="717" t="s">
        <v>511</v>
      </c>
      <c r="X135" s="717" t="s">
        <v>512</v>
      </c>
      <c r="Y135" s="717" t="s">
        <v>513</v>
      </c>
      <c r="Z135" s="1495" t="s">
        <v>514</v>
      </c>
      <c r="AA135" s="1494" t="s">
        <v>515</v>
      </c>
      <c r="AB135" s="717" t="s">
        <v>298</v>
      </c>
      <c r="AC135" s="717" t="s">
        <v>299</v>
      </c>
      <c r="AD135" s="717" t="s">
        <v>300</v>
      </c>
      <c r="AE135" s="717" t="s">
        <v>301</v>
      </c>
      <c r="AF135" s="717" t="s">
        <v>6</v>
      </c>
      <c r="AG135" s="717" t="s">
        <v>139</v>
      </c>
      <c r="AH135" s="718"/>
    </row>
    <row r="136" spans="1:34" x14ac:dyDescent="0.3">
      <c r="A136" s="154"/>
      <c r="B136" s="462"/>
      <c r="C136" s="462"/>
      <c r="D136" s="462"/>
      <c r="E136" s="462"/>
      <c r="F136" s="463"/>
      <c r="G136" s="462"/>
      <c r="H136" s="462"/>
      <c r="I136" s="465"/>
      <c r="J136" s="465"/>
      <c r="K136" s="465"/>
      <c r="L136" s="465"/>
      <c r="M136" s="462"/>
      <c r="N136" s="468"/>
      <c r="O136" s="469"/>
      <c r="P136" s="468"/>
      <c r="Q136" s="468"/>
      <c r="R136" s="1512"/>
      <c r="S136" s="468"/>
      <c r="T136" s="468"/>
      <c r="Z136" s="188"/>
      <c r="AA136" s="286"/>
      <c r="AB136" s="464"/>
      <c r="AC136" s="465"/>
      <c r="AD136" s="465"/>
      <c r="AE136" s="465"/>
      <c r="AF136" s="465"/>
      <c r="AG136" s="465"/>
      <c r="AH136" s="466"/>
    </row>
    <row r="137" spans="1:34" x14ac:dyDescent="0.3">
      <c r="A137" s="157" t="s">
        <v>992</v>
      </c>
      <c r="B137" s="157" t="s">
        <v>200</v>
      </c>
      <c r="C137" s="157" t="s">
        <v>995</v>
      </c>
      <c r="D137" s="157" t="s">
        <v>201</v>
      </c>
      <c r="E137" s="157" t="s">
        <v>518</v>
      </c>
      <c r="F137" s="158" t="s">
        <v>581</v>
      </c>
      <c r="G137" s="157">
        <v>1</v>
      </c>
      <c r="H137" s="157" t="s">
        <v>22</v>
      </c>
      <c r="I137" s="772"/>
      <c r="J137" s="688">
        <v>26</v>
      </c>
      <c r="L137" s="180"/>
      <c r="M137" s="163">
        <v>1</v>
      </c>
      <c r="N137" s="503">
        <v>65000</v>
      </c>
      <c r="O137" s="166">
        <f t="shared" ref="O137:O142" si="30">N137*M137*G137</f>
        <v>65000</v>
      </c>
      <c r="P137" s="173">
        <v>0.36</v>
      </c>
      <c r="Q137" s="503">
        <f t="shared" ref="Q137:Q142" si="31">N137*(1-P137)</f>
        <v>41600</v>
      </c>
      <c r="R137" s="206">
        <f t="shared" ref="R137:R142" si="32">Q137*M137*G137</f>
        <v>41600</v>
      </c>
      <c r="S137" s="815">
        <f t="shared" ref="S137:S142" si="33">R137/$R$148</f>
        <v>0.12221769292070173</v>
      </c>
      <c r="T137" s="1502">
        <f>R137</f>
        <v>41600</v>
      </c>
      <c r="U137" s="169"/>
      <c r="V137" s="169">
        <f>T137</f>
        <v>41600</v>
      </c>
      <c r="W137" s="169"/>
      <c r="X137" s="169"/>
      <c r="Y137" s="169"/>
      <c r="Z137" s="394"/>
      <c r="AA137" s="395">
        <f>T137</f>
        <v>41600</v>
      </c>
      <c r="AB137" s="188"/>
      <c r="AD137" s="169">
        <f>T137</f>
        <v>41600</v>
      </c>
      <c r="AH137" s="286"/>
    </row>
    <row r="138" spans="1:34" x14ac:dyDescent="0.3">
      <c r="A138" s="157" t="s">
        <v>992</v>
      </c>
      <c r="B138" s="157" t="s">
        <v>200</v>
      </c>
      <c r="C138" s="157" t="s">
        <v>995</v>
      </c>
      <c r="D138" s="157" t="s">
        <v>202</v>
      </c>
      <c r="E138" s="157" t="s">
        <v>520</v>
      </c>
      <c r="F138" s="158" t="s">
        <v>655</v>
      </c>
      <c r="G138" s="157">
        <v>1</v>
      </c>
      <c r="H138" s="157" t="s">
        <v>24</v>
      </c>
      <c r="I138" s="175">
        <v>10</v>
      </c>
      <c r="J138" s="176"/>
      <c r="K138" s="176"/>
      <c r="L138" s="177"/>
      <c r="M138" s="163">
        <v>1</v>
      </c>
      <c r="N138" s="503">
        <v>64800</v>
      </c>
      <c r="O138" s="166">
        <f t="shared" si="30"/>
        <v>64800</v>
      </c>
      <c r="P138" s="173">
        <v>0.7</v>
      </c>
      <c r="Q138" s="503">
        <f t="shared" si="31"/>
        <v>19440.000000000004</v>
      </c>
      <c r="R138" s="206">
        <f t="shared" si="32"/>
        <v>19440.000000000004</v>
      </c>
      <c r="S138" s="1501">
        <f t="shared" si="33"/>
        <v>5.7113268037943317E-2</v>
      </c>
      <c r="T138" s="1502">
        <f t="shared" ref="T138:T142" si="34">R138</f>
        <v>19440.000000000004</v>
      </c>
      <c r="U138" s="169"/>
      <c r="V138" s="169">
        <f>T138</f>
        <v>19440.000000000004</v>
      </c>
      <c r="W138" s="169"/>
      <c r="X138" s="169"/>
      <c r="Y138" s="169"/>
      <c r="Z138" s="394">
        <f>T138</f>
        <v>19440.000000000004</v>
      </c>
      <c r="AA138" s="395"/>
      <c r="AB138" s="188"/>
      <c r="AD138" s="169">
        <f>T138</f>
        <v>19440.000000000004</v>
      </c>
      <c r="AH138" s="286"/>
    </row>
    <row r="139" spans="1:34" x14ac:dyDescent="0.3">
      <c r="A139" s="157" t="s">
        <v>992</v>
      </c>
      <c r="B139" s="157" t="s">
        <v>183</v>
      </c>
      <c r="C139" s="157" t="s">
        <v>996</v>
      </c>
      <c r="D139" s="157" t="s">
        <v>202</v>
      </c>
      <c r="E139" s="157" t="s">
        <v>518</v>
      </c>
      <c r="F139" s="158" t="s">
        <v>997</v>
      </c>
      <c r="G139" s="157">
        <v>1</v>
      </c>
      <c r="H139" s="157" t="s">
        <v>22</v>
      </c>
      <c r="K139" s="285">
        <v>65</v>
      </c>
      <c r="M139" s="157">
        <v>1</v>
      </c>
      <c r="N139" s="166">
        <v>92000</v>
      </c>
      <c r="O139" s="166">
        <f t="shared" si="30"/>
        <v>92000</v>
      </c>
      <c r="P139" s="173">
        <v>0.45</v>
      </c>
      <c r="Q139" s="503">
        <f t="shared" si="31"/>
        <v>50600.000000000007</v>
      </c>
      <c r="R139" s="206">
        <f t="shared" si="32"/>
        <v>50600.000000000007</v>
      </c>
      <c r="S139" s="815">
        <f t="shared" si="33"/>
        <v>0.14865902071604586</v>
      </c>
      <c r="T139" s="1502">
        <f t="shared" si="34"/>
        <v>50600.000000000007</v>
      </c>
      <c r="U139" s="169"/>
      <c r="V139" s="169">
        <f>T139</f>
        <v>50600.000000000007</v>
      </c>
      <c r="Z139" s="188"/>
      <c r="AA139" s="395">
        <f>T139</f>
        <v>50600.000000000007</v>
      </c>
      <c r="AB139" s="188"/>
      <c r="AC139" s="169"/>
      <c r="AF139" s="169">
        <f>T139</f>
        <v>50600.000000000007</v>
      </c>
      <c r="AH139" s="286"/>
    </row>
    <row r="140" spans="1:34" x14ac:dyDescent="0.3">
      <c r="A140" s="157" t="s">
        <v>992</v>
      </c>
      <c r="B140" s="157" t="s">
        <v>183</v>
      </c>
      <c r="C140" s="157" t="s">
        <v>993</v>
      </c>
      <c r="D140" s="157" t="s">
        <v>21</v>
      </c>
      <c r="E140" s="157" t="s">
        <v>518</v>
      </c>
      <c r="F140" s="158" t="s">
        <v>541</v>
      </c>
      <c r="G140" s="157">
        <v>5</v>
      </c>
      <c r="H140" s="157" t="s">
        <v>22</v>
      </c>
      <c r="I140" s="285">
        <v>5</v>
      </c>
      <c r="K140" s="1489"/>
      <c r="M140" s="157">
        <v>1</v>
      </c>
      <c r="N140" s="166">
        <v>45000</v>
      </c>
      <c r="O140" s="166">
        <f t="shared" si="30"/>
        <v>225000</v>
      </c>
      <c r="P140" s="173">
        <v>0.45</v>
      </c>
      <c r="Q140" s="503">
        <f t="shared" si="31"/>
        <v>24750.000000000004</v>
      </c>
      <c r="R140" s="206">
        <f t="shared" si="32"/>
        <v>123750.00000000001</v>
      </c>
      <c r="S140" s="815">
        <f t="shared" si="33"/>
        <v>0.36356825718598174</v>
      </c>
      <c r="T140" s="1502">
        <f t="shared" si="34"/>
        <v>123750.00000000001</v>
      </c>
      <c r="U140" s="169">
        <f>T140</f>
        <v>123750.00000000001</v>
      </c>
      <c r="Z140" s="188"/>
      <c r="AA140" s="395">
        <f>T140</f>
        <v>123750.00000000001</v>
      </c>
      <c r="AB140" s="188"/>
      <c r="AC140" s="169"/>
      <c r="AF140" s="169">
        <f t="shared" ref="AF140:AF141" si="35">T140</f>
        <v>123750.00000000001</v>
      </c>
      <c r="AH140" s="286"/>
    </row>
    <row r="141" spans="1:34" x14ac:dyDescent="0.3">
      <c r="A141" s="157" t="s">
        <v>992</v>
      </c>
      <c r="B141" s="157" t="s">
        <v>183</v>
      </c>
      <c r="C141" s="157" t="s">
        <v>993</v>
      </c>
      <c r="D141" s="157" t="s">
        <v>26</v>
      </c>
      <c r="E141" s="157" t="s">
        <v>520</v>
      </c>
      <c r="F141" s="158" t="s">
        <v>939</v>
      </c>
      <c r="G141" s="157">
        <v>4</v>
      </c>
      <c r="H141" s="157" t="s">
        <v>24</v>
      </c>
      <c r="I141" s="175">
        <v>4</v>
      </c>
      <c r="J141" s="176"/>
      <c r="K141" s="176"/>
      <c r="L141" s="177"/>
      <c r="M141" s="157">
        <v>1</v>
      </c>
      <c r="N141" s="166">
        <v>6300</v>
      </c>
      <c r="O141" s="166">
        <f t="shared" si="30"/>
        <v>25200</v>
      </c>
      <c r="P141" s="173">
        <v>0.45</v>
      </c>
      <c r="Q141" s="503">
        <f t="shared" si="31"/>
        <v>3465.0000000000005</v>
      </c>
      <c r="R141" s="206">
        <f t="shared" si="32"/>
        <v>13860.000000000002</v>
      </c>
      <c r="S141" s="1501">
        <f t="shared" si="33"/>
        <v>4.0719644804829952E-2</v>
      </c>
      <c r="T141" s="1502">
        <f t="shared" si="34"/>
        <v>13860.000000000002</v>
      </c>
      <c r="U141" s="169">
        <f>T141</f>
        <v>13860.000000000002</v>
      </c>
      <c r="Z141" s="394">
        <f>T141</f>
        <v>13860.000000000002</v>
      </c>
      <c r="AA141" s="286"/>
      <c r="AB141" s="188"/>
      <c r="AC141" s="169"/>
      <c r="AF141" s="169">
        <f t="shared" si="35"/>
        <v>13860.000000000002</v>
      </c>
      <c r="AH141" s="286"/>
    </row>
    <row r="142" spans="1:34" x14ac:dyDescent="0.3">
      <c r="A142" s="157" t="s">
        <v>992</v>
      </c>
      <c r="B142" s="157" t="s">
        <v>150</v>
      </c>
      <c r="C142" s="157" t="s">
        <v>998</v>
      </c>
      <c r="D142" s="157" t="s">
        <v>180</v>
      </c>
      <c r="E142" s="157" t="s">
        <v>520</v>
      </c>
      <c r="F142" s="158" t="s">
        <v>552</v>
      </c>
      <c r="G142" s="157">
        <v>15</v>
      </c>
      <c r="H142" s="157" t="s">
        <v>24</v>
      </c>
      <c r="I142" s="175">
        <v>15</v>
      </c>
      <c r="J142" s="176"/>
      <c r="K142" s="176"/>
      <c r="L142" s="177"/>
      <c r="M142" s="157">
        <v>1</v>
      </c>
      <c r="N142" s="166">
        <v>8315</v>
      </c>
      <c r="O142" s="166">
        <f t="shared" si="30"/>
        <v>124725</v>
      </c>
      <c r="P142" s="173">
        <v>0.55000000000000004</v>
      </c>
      <c r="Q142" s="503">
        <f t="shared" si="31"/>
        <v>3741.7499999999995</v>
      </c>
      <c r="R142" s="206">
        <f t="shared" si="32"/>
        <v>56126.249999999993</v>
      </c>
      <c r="S142" s="1501">
        <f t="shared" si="33"/>
        <v>0.16489473046371478</v>
      </c>
      <c r="T142" s="1502">
        <f t="shared" si="34"/>
        <v>56126.249999999993</v>
      </c>
      <c r="W142" s="169">
        <f>T142</f>
        <v>56126.249999999993</v>
      </c>
      <c r="Z142" s="394">
        <f>T142</f>
        <v>56126.249999999993</v>
      </c>
      <c r="AA142" s="286"/>
      <c r="AB142" s="188"/>
      <c r="AG142" s="169">
        <f>T142</f>
        <v>56126.249999999993</v>
      </c>
      <c r="AH142" s="286"/>
    </row>
    <row r="143" spans="1:34" x14ac:dyDescent="0.3">
      <c r="A143" s="172"/>
      <c r="B143" s="157"/>
      <c r="C143" s="157"/>
      <c r="D143" s="157"/>
      <c r="E143" s="157"/>
      <c r="F143" s="158"/>
      <c r="G143" s="157"/>
      <c r="H143" s="157"/>
      <c r="M143" s="157"/>
      <c r="N143" s="166"/>
      <c r="O143" s="173"/>
      <c r="P143" s="166"/>
      <c r="Q143" s="166"/>
      <c r="R143" s="1513"/>
      <c r="S143" s="166"/>
      <c r="T143" s="503"/>
      <c r="Z143" s="188"/>
      <c r="AA143" s="286"/>
      <c r="AB143" s="188"/>
      <c r="AH143" s="286"/>
    </row>
    <row r="144" spans="1:34" x14ac:dyDescent="0.3">
      <c r="A144" s="172"/>
      <c r="B144" s="157"/>
      <c r="C144" s="157"/>
      <c r="D144" s="157"/>
      <c r="E144" s="157"/>
      <c r="F144" s="158"/>
      <c r="G144" s="157"/>
      <c r="H144" s="157"/>
      <c r="M144" s="157"/>
      <c r="N144" s="166"/>
      <c r="O144" s="173"/>
      <c r="P144" s="166"/>
      <c r="Q144" s="166"/>
      <c r="R144" s="1514"/>
      <c r="S144" s="166"/>
      <c r="T144" s="503"/>
      <c r="Z144" s="188"/>
      <c r="AA144" s="286"/>
      <c r="AB144" s="188"/>
      <c r="AH144" s="286"/>
    </row>
    <row r="145" spans="1:34" x14ac:dyDescent="0.3">
      <c r="A145" s="108" t="s">
        <v>992</v>
      </c>
      <c r="B145" s="108" t="s">
        <v>528</v>
      </c>
      <c r="C145" s="289"/>
      <c r="D145" s="252"/>
      <c r="E145" s="252"/>
      <c r="F145" s="253"/>
      <c r="G145" s="252"/>
      <c r="H145" s="252"/>
      <c r="I145" s="254"/>
      <c r="J145" s="254"/>
      <c r="K145" s="254"/>
      <c r="L145" s="254"/>
      <c r="M145" s="252"/>
      <c r="N145" s="255"/>
      <c r="O145" s="256"/>
      <c r="P145" s="290"/>
      <c r="Q145" s="257"/>
      <c r="R145" s="1505"/>
      <c r="S145" s="257"/>
      <c r="T145" s="503"/>
      <c r="X145" s="169"/>
      <c r="Z145" s="188"/>
      <c r="AA145" s="286"/>
      <c r="AB145" s="188"/>
      <c r="AH145" s="286"/>
    </row>
    <row r="146" spans="1:34" x14ac:dyDescent="0.3">
      <c r="A146" s="108" t="s">
        <v>992</v>
      </c>
      <c r="B146" s="108" t="s">
        <v>529</v>
      </c>
      <c r="C146" s="289"/>
      <c r="D146" s="252"/>
      <c r="E146" s="252"/>
      <c r="F146" s="253"/>
      <c r="G146" s="252"/>
      <c r="H146" s="252"/>
      <c r="I146" s="254"/>
      <c r="J146" s="254"/>
      <c r="K146" s="254"/>
      <c r="L146" s="254"/>
      <c r="M146" s="252"/>
      <c r="N146" s="255"/>
      <c r="O146" s="256"/>
      <c r="P146" s="290"/>
      <c r="Q146" s="257"/>
      <c r="R146" s="1505">
        <v>35000</v>
      </c>
      <c r="S146" s="735">
        <f>R146/$R$148</f>
        <v>0.1028273858707827</v>
      </c>
      <c r="T146" s="1502">
        <f>R146</f>
        <v>35000</v>
      </c>
      <c r="Y146" s="169">
        <f>T146</f>
        <v>35000</v>
      </c>
      <c r="Z146" s="188"/>
      <c r="AA146" s="286"/>
      <c r="AB146" s="188"/>
      <c r="AH146" s="286"/>
    </row>
    <row r="147" spans="1:34" x14ac:dyDescent="0.3">
      <c r="I147" s="115">
        <f>I148/$M$148</f>
        <v>0.27200000000000002</v>
      </c>
      <c r="J147" s="115">
        <f t="shared" ref="J147:K147" si="36">J148/$M$148</f>
        <v>0.20799999999999999</v>
      </c>
      <c r="K147" s="115">
        <f t="shared" si="36"/>
        <v>0.52</v>
      </c>
      <c r="T147" s="166"/>
      <c r="Z147" s="1476"/>
      <c r="AA147" s="1452"/>
      <c r="AB147" s="1476"/>
      <c r="AC147" s="208"/>
      <c r="AD147" s="208"/>
      <c r="AE147" s="208"/>
      <c r="AF147" s="208"/>
      <c r="AG147" s="208"/>
      <c r="AH147" s="1452"/>
    </row>
    <row r="148" spans="1:34" x14ac:dyDescent="0.3">
      <c r="A148" s="326" t="s">
        <v>531</v>
      </c>
      <c r="B148" s="327"/>
      <c r="C148" s="327"/>
      <c r="D148" s="327"/>
      <c r="E148" s="327"/>
      <c r="F148" s="328"/>
      <c r="G148" s="327"/>
      <c r="H148" s="327"/>
      <c r="I148" s="697">
        <f>+I137+I138+I141+I142+I140</f>
        <v>34</v>
      </c>
      <c r="J148" s="697">
        <f>J137</f>
        <v>26</v>
      </c>
      <c r="K148" s="697">
        <f>K139</f>
        <v>65</v>
      </c>
      <c r="L148" s="697"/>
      <c r="M148" s="327">
        <f>SUM(I148:L148)</f>
        <v>125</v>
      </c>
      <c r="N148" s="329"/>
      <c r="O148" s="330"/>
      <c r="P148" s="329"/>
      <c r="Q148" s="331"/>
      <c r="R148" s="1507">
        <f>SUM(R137:R146)</f>
        <v>340376.25</v>
      </c>
      <c r="S148" s="332">
        <f>SUM(S133:S147)</f>
        <v>1</v>
      </c>
      <c r="T148" s="516">
        <f>SUM(T133:T147)</f>
        <v>340376.25</v>
      </c>
      <c r="U148" s="517">
        <f>SUM(U133:U146)</f>
        <v>137610.00000000003</v>
      </c>
      <c r="V148" s="335">
        <f>SUM(V133:V146)</f>
        <v>111640</v>
      </c>
      <c r="W148" s="335">
        <f>SUM(W133:W146)</f>
        <v>56126.249999999993</v>
      </c>
      <c r="X148" s="335"/>
      <c r="Y148" s="335">
        <f>SUM(Y131:Y146)</f>
        <v>35000</v>
      </c>
      <c r="Z148" s="518">
        <f>SUM(Z137:Z146)</f>
        <v>89426.25</v>
      </c>
      <c r="AA148" s="518">
        <f>SUM(AA137:AA146)</f>
        <v>215950</v>
      </c>
      <c r="AB148" s="1508"/>
      <c r="AC148" s="340"/>
      <c r="AD148" s="340">
        <f t="shared" ref="AD148:AF148" si="37">SUM(AD130:AD147)</f>
        <v>61040</v>
      </c>
      <c r="AE148" s="340"/>
      <c r="AF148" s="340">
        <f t="shared" si="37"/>
        <v>188210.00000000003</v>
      </c>
      <c r="AG148" s="340">
        <f>SUM(AG132:AG147)</f>
        <v>56126.249999999993</v>
      </c>
      <c r="AH148" s="593"/>
    </row>
    <row r="149" spans="1:34" x14ac:dyDescent="0.3">
      <c r="A149" s="342" t="s">
        <v>532</v>
      </c>
      <c r="B149" s="343"/>
      <c r="C149" s="343"/>
      <c r="D149" s="343"/>
      <c r="E149" s="343"/>
      <c r="F149" s="344"/>
      <c r="G149" s="343"/>
      <c r="H149" s="343"/>
      <c r="I149" s="700">
        <f>I142+I141+I138+I140</f>
        <v>34</v>
      </c>
      <c r="J149" s="700">
        <f>I142+I141+I138+J137</f>
        <v>55</v>
      </c>
      <c r="K149" s="700">
        <f>I142+I141+K139+I138</f>
        <v>94</v>
      </c>
      <c r="L149" s="700"/>
      <c r="M149" s="343">
        <f>SUM(I149:L149)</f>
        <v>183</v>
      </c>
      <c r="N149" s="345"/>
      <c r="O149" s="346"/>
      <c r="P149" s="345"/>
      <c r="Q149" s="345"/>
      <c r="R149" s="1509"/>
      <c r="S149" s="347"/>
      <c r="T149" s="520"/>
      <c r="U149" s="533">
        <f>U148/T148</f>
        <v>0.40428790199081172</v>
      </c>
      <c r="V149" s="350">
        <f>V148/T148</f>
        <v>0.3279899816746909</v>
      </c>
      <c r="W149" s="350">
        <f>W148/U148</f>
        <v>0.40786461739699137</v>
      </c>
      <c r="X149" s="350"/>
      <c r="Y149" s="350">
        <f>Y148/T148</f>
        <v>0.1028273858707827</v>
      </c>
      <c r="Z149" s="313">
        <f>Z148/T148</f>
        <v>0.26272764330648807</v>
      </c>
      <c r="AA149" s="522">
        <f>AA148/T148</f>
        <v>0.63444497082272922</v>
      </c>
      <c r="AB149" s="1510"/>
      <c r="AC149" s="355"/>
      <c r="AD149" s="355"/>
      <c r="AE149" s="355"/>
      <c r="AF149" s="355"/>
      <c r="AG149" s="355"/>
      <c r="AH149" s="356"/>
    </row>
    <row r="150" spans="1:34" x14ac:dyDescent="0.3">
      <c r="A150" s="243" t="s">
        <v>533</v>
      </c>
      <c r="B150" s="193"/>
      <c r="C150" s="193"/>
      <c r="D150" s="193"/>
      <c r="E150" s="193"/>
      <c r="F150" s="244"/>
      <c r="G150" s="193"/>
      <c r="H150" s="193"/>
      <c r="I150" s="2182">
        <f>I149/$M$149</f>
        <v>0.18579234972677597</v>
      </c>
      <c r="J150" s="2182">
        <f t="shared" ref="J150:K150" si="38">J149/$M$149</f>
        <v>0.30054644808743169</v>
      </c>
      <c r="K150" s="2182">
        <f t="shared" si="38"/>
        <v>0.51366120218579236</v>
      </c>
      <c r="L150" s="245"/>
      <c r="M150" s="193"/>
      <c r="N150" s="246"/>
      <c r="O150" s="196"/>
      <c r="P150" s="246"/>
      <c r="Q150" s="196"/>
      <c r="R150" s="194">
        <f>U148</f>
        <v>137610.00000000003</v>
      </c>
      <c r="S150" s="247">
        <f>R150/R155</f>
        <v>0.40428790199081172</v>
      </c>
      <c r="T150" s="99"/>
      <c r="Y150" s="248"/>
      <c r="Z150" s="761">
        <f>I138+I141+I142</f>
        <v>29</v>
      </c>
      <c r="AA150" s="761">
        <f>J137+K139+I140</f>
        <v>96</v>
      </c>
      <c r="AB150" s="1464"/>
      <c r="AC150" s="143"/>
      <c r="AD150" s="143"/>
      <c r="AE150" s="143"/>
      <c r="AF150" s="143"/>
      <c r="AG150" s="143"/>
      <c r="AH150" s="143"/>
    </row>
    <row r="151" spans="1:34" x14ac:dyDescent="0.3">
      <c r="A151" s="251" t="s">
        <v>11</v>
      </c>
      <c r="B151" s="252"/>
      <c r="C151" s="252"/>
      <c r="D151" s="252"/>
      <c r="E151" s="252"/>
      <c r="F151" s="253"/>
      <c r="G151" s="252"/>
      <c r="H151" s="252"/>
      <c r="I151" s="254"/>
      <c r="J151" s="254"/>
      <c r="K151" s="254"/>
      <c r="L151" s="254"/>
      <c r="M151" s="252"/>
      <c r="N151" s="255"/>
      <c r="O151" s="256"/>
      <c r="P151" s="255"/>
      <c r="Q151" s="256"/>
      <c r="R151" s="257">
        <f>V148</f>
        <v>111640</v>
      </c>
      <c r="S151" s="256">
        <f>R151/R155</f>
        <v>0.3279899816746909</v>
      </c>
      <c r="T151" s="1477">
        <f>R148/M148</f>
        <v>2723.01</v>
      </c>
      <c r="U151" s="1511" t="s">
        <v>973</v>
      </c>
      <c r="Z151" s="195">
        <f>Z150/M148</f>
        <v>0.23200000000000001</v>
      </c>
      <c r="AA151" s="195">
        <f>AA150/M148</f>
        <v>0.76800000000000002</v>
      </c>
    </row>
    <row r="152" spans="1:34" x14ac:dyDescent="0.3">
      <c r="A152" s="251" t="s">
        <v>536</v>
      </c>
      <c r="B152" s="252"/>
      <c r="C152" s="252"/>
      <c r="D152" s="252"/>
      <c r="E152" s="252"/>
      <c r="F152" s="253"/>
      <c r="G152" s="252"/>
      <c r="H152" s="252"/>
      <c r="I152" s="254"/>
      <c r="J152" s="254"/>
      <c r="K152" s="254"/>
      <c r="L152" s="254"/>
      <c r="M152" s="252"/>
      <c r="N152" s="255"/>
      <c r="O152" s="256"/>
      <c r="P152" s="255"/>
      <c r="Q152" s="256"/>
      <c r="R152" s="257">
        <f>W148</f>
        <v>56126.249999999993</v>
      </c>
      <c r="S152" s="109">
        <f>R152/R155</f>
        <v>0.16489473046371478</v>
      </c>
      <c r="T152" s="99"/>
      <c r="Z152" s="2728" t="s">
        <v>537</v>
      </c>
      <c r="AA152" s="2729"/>
    </row>
    <row r="153" spans="1:34" x14ac:dyDescent="0.3">
      <c r="A153" s="251" t="s">
        <v>528</v>
      </c>
      <c r="B153" s="252"/>
      <c r="C153" s="252"/>
      <c r="D153" s="252"/>
      <c r="E153" s="252"/>
      <c r="F153" s="253"/>
      <c r="G153" s="252"/>
      <c r="H153" s="252"/>
      <c r="I153" s="254"/>
      <c r="J153" s="254"/>
      <c r="K153" s="254"/>
      <c r="L153" s="254"/>
      <c r="M153" s="252"/>
      <c r="N153" s="255"/>
      <c r="O153" s="256"/>
      <c r="P153" s="255"/>
      <c r="Q153" s="256"/>
      <c r="R153" s="257"/>
      <c r="S153" s="262">
        <f>R153/R155</f>
        <v>0</v>
      </c>
      <c r="T153" s="99"/>
    </row>
    <row r="154" spans="1:34" x14ac:dyDescent="0.3">
      <c r="A154" s="251" t="s">
        <v>529</v>
      </c>
      <c r="B154" s="252"/>
      <c r="C154" s="252"/>
      <c r="D154" s="252"/>
      <c r="E154" s="252"/>
      <c r="F154" s="253"/>
      <c r="G154" s="252"/>
      <c r="H154" s="252"/>
      <c r="I154" s="254"/>
      <c r="J154" s="254"/>
      <c r="K154" s="254"/>
      <c r="L154" s="254"/>
      <c r="M154" s="252"/>
      <c r="N154" s="255"/>
      <c r="O154" s="256"/>
      <c r="P154" s="255"/>
      <c r="Q154" s="256"/>
      <c r="R154" s="257">
        <f>Y148</f>
        <v>35000</v>
      </c>
      <c r="S154" s="262">
        <f>R154/R155</f>
        <v>0.1028273858707827</v>
      </c>
      <c r="T154" s="99"/>
    </row>
    <row r="155" spans="1:34" x14ac:dyDescent="0.3">
      <c r="A155" s="243"/>
      <c r="B155" s="193"/>
      <c r="C155" s="193"/>
      <c r="D155" s="193"/>
      <c r="E155" s="193"/>
      <c r="F155" s="244"/>
      <c r="G155" s="193"/>
      <c r="H155" s="193"/>
      <c r="I155" s="245"/>
      <c r="J155" s="245"/>
      <c r="K155" s="245"/>
      <c r="L155" s="245"/>
      <c r="M155" s="193"/>
      <c r="N155" s="246"/>
      <c r="O155" s="196"/>
      <c r="P155" s="246"/>
      <c r="Q155" s="196"/>
      <c r="R155" s="194">
        <f>SUM(R150:R154)</f>
        <v>340376.25</v>
      </c>
      <c r="S155" s="247">
        <f>SUM(S150:S154)</f>
        <v>1</v>
      </c>
    </row>
    <row r="156" spans="1:34" x14ac:dyDescent="0.3">
      <c r="T156" s="5"/>
    </row>
    <row r="157" spans="1:34" x14ac:dyDescent="0.3">
      <c r="T157" s="5"/>
    </row>
    <row r="158" spans="1:34" x14ac:dyDescent="0.3">
      <c r="T158" s="5"/>
    </row>
    <row r="159" spans="1:34" x14ac:dyDescent="0.3">
      <c r="T159" s="5"/>
    </row>
    <row r="160" spans="1:34" x14ac:dyDescent="0.3">
      <c r="T160" s="5"/>
    </row>
    <row r="161" spans="1:34" x14ac:dyDescent="0.3">
      <c r="T161" s="5"/>
    </row>
    <row r="162" spans="1:34" x14ac:dyDescent="0.3">
      <c r="D162" s="1" t="s">
        <v>1005</v>
      </c>
      <c r="E162" s="1"/>
      <c r="F162" s="2" t="s">
        <v>629</v>
      </c>
      <c r="T162" s="5"/>
    </row>
    <row r="163" spans="1:34" x14ac:dyDescent="0.3">
      <c r="D163" s="1" t="s">
        <v>473</v>
      </c>
      <c r="E163" s="1"/>
      <c r="F163" s="2" t="s">
        <v>1006</v>
      </c>
      <c r="T163" s="5"/>
    </row>
    <row r="164" spans="1:34" x14ac:dyDescent="0.3">
      <c r="D164" s="1" t="s">
        <v>475</v>
      </c>
      <c r="E164" s="1"/>
      <c r="F164" s="2" t="s">
        <v>1007</v>
      </c>
      <c r="T164" s="5"/>
    </row>
    <row r="165" spans="1:34" x14ac:dyDescent="0.3">
      <c r="D165" s="1" t="s">
        <v>477</v>
      </c>
      <c r="E165" s="1"/>
      <c r="F165" s="2" t="s">
        <v>1008</v>
      </c>
      <c r="T165" s="5"/>
    </row>
    <row r="166" spans="1:34" ht="18" x14ac:dyDescent="0.35">
      <c r="A166" s="118" t="s">
        <v>567</v>
      </c>
      <c r="T166" s="5"/>
    </row>
    <row r="167" spans="1:34" x14ac:dyDescent="0.3">
      <c r="T167" s="5"/>
    </row>
    <row r="168" spans="1:34" x14ac:dyDescent="0.3">
      <c r="A168" s="2446" t="s">
        <v>480</v>
      </c>
      <c r="B168" s="2447"/>
      <c r="C168" s="2447"/>
      <c r="D168" s="2447"/>
      <c r="E168" s="2447"/>
      <c r="F168" s="2447"/>
      <c r="G168" s="2447"/>
      <c r="H168" s="2447"/>
      <c r="I168" s="2447"/>
      <c r="J168" s="2447"/>
      <c r="K168" s="2447"/>
      <c r="L168" s="2447"/>
      <c r="M168" s="2447"/>
      <c r="N168" s="2447"/>
      <c r="O168" s="2447"/>
      <c r="P168" s="2447"/>
      <c r="Q168" s="2447"/>
      <c r="R168" s="2447"/>
      <c r="S168" s="2448"/>
      <c r="T168" s="2374" t="s">
        <v>584</v>
      </c>
      <c r="U168" s="2375"/>
      <c r="V168" s="2375"/>
      <c r="W168" s="2375"/>
      <c r="X168" s="2375"/>
      <c r="Y168" s="2375"/>
      <c r="Z168" s="2375"/>
      <c r="AA168" s="2375"/>
      <c r="AB168" s="2375"/>
      <c r="AC168" s="2375"/>
      <c r="AD168" s="2375"/>
      <c r="AE168" s="2375"/>
      <c r="AF168" s="2375"/>
      <c r="AG168" s="2375"/>
      <c r="AH168" s="2376"/>
    </row>
    <row r="169" spans="1:34" ht="18" x14ac:dyDescent="0.35">
      <c r="A169" s="2227" t="s">
        <v>482</v>
      </c>
      <c r="B169" s="2215" t="s">
        <v>483</v>
      </c>
      <c r="C169" s="2215" t="s">
        <v>484</v>
      </c>
      <c r="D169" s="2215" t="s">
        <v>485</v>
      </c>
      <c r="E169" s="2215" t="s">
        <v>486</v>
      </c>
      <c r="F169" s="2213" t="s">
        <v>487</v>
      </c>
      <c r="G169" s="2215" t="s">
        <v>488</v>
      </c>
      <c r="H169" s="2215" t="s">
        <v>489</v>
      </c>
      <c r="I169" s="2217" t="s">
        <v>490</v>
      </c>
      <c r="J169" s="373"/>
      <c r="K169" s="373"/>
      <c r="L169" s="2218"/>
      <c r="M169" s="374" t="s">
        <v>491</v>
      </c>
      <c r="N169" s="375" t="s">
        <v>492</v>
      </c>
      <c r="O169" s="375" t="s">
        <v>812</v>
      </c>
      <c r="P169" s="376" t="s">
        <v>493</v>
      </c>
      <c r="Q169" s="375" t="s">
        <v>492</v>
      </c>
      <c r="R169" s="375" t="s">
        <v>494</v>
      </c>
      <c r="S169" s="2327" t="s">
        <v>495</v>
      </c>
      <c r="T169" s="703" t="s">
        <v>496</v>
      </c>
      <c r="U169" s="2388" t="s">
        <v>497</v>
      </c>
      <c r="V169" s="2389"/>
      <c r="W169" s="2389"/>
      <c r="X169" s="2389"/>
      <c r="Y169" s="2389"/>
      <c r="Z169" s="2394" t="s">
        <v>498</v>
      </c>
      <c r="AA169" s="2395"/>
      <c r="AB169" s="2394" t="s">
        <v>499</v>
      </c>
      <c r="AC169" s="2398"/>
      <c r="AD169" s="2398"/>
      <c r="AE169" s="2398"/>
      <c r="AF169" s="2398"/>
      <c r="AG169" s="2398"/>
      <c r="AH169" s="2395"/>
    </row>
    <row r="170" spans="1:34" ht="18" x14ac:dyDescent="0.35">
      <c r="A170" s="2341"/>
      <c r="B170" s="2326"/>
      <c r="C170" s="2326"/>
      <c r="D170" s="2326"/>
      <c r="E170" s="2326"/>
      <c r="F170" s="2342"/>
      <c r="G170" s="2326"/>
      <c r="H170" s="2326"/>
      <c r="I170" s="536" t="s">
        <v>500</v>
      </c>
      <c r="J170" s="536" t="s">
        <v>501</v>
      </c>
      <c r="K170" s="536" t="s">
        <v>502</v>
      </c>
      <c r="L170" s="536" t="s">
        <v>503</v>
      </c>
      <c r="M170" s="537" t="s">
        <v>504</v>
      </c>
      <c r="N170" s="538" t="s">
        <v>505</v>
      </c>
      <c r="O170" s="538" t="s">
        <v>813</v>
      </c>
      <c r="P170" s="539" t="s">
        <v>506</v>
      </c>
      <c r="Q170" s="538" t="s">
        <v>507</v>
      </c>
      <c r="R170" s="538" t="s">
        <v>507</v>
      </c>
      <c r="S170" s="2328"/>
      <c r="T170" s="704" t="s">
        <v>508</v>
      </c>
      <c r="U170" s="2391"/>
      <c r="V170" s="2392"/>
      <c r="W170" s="2392"/>
      <c r="X170" s="2392"/>
      <c r="Y170" s="2392"/>
      <c r="Z170" s="2396"/>
      <c r="AA170" s="2397"/>
      <c r="AB170" s="2396"/>
      <c r="AC170" s="2399"/>
      <c r="AD170" s="2399"/>
      <c r="AE170" s="2399"/>
      <c r="AF170" s="2399"/>
      <c r="AG170" s="2399"/>
      <c r="AH170" s="2397"/>
    </row>
    <row r="171" spans="1:34" ht="18" x14ac:dyDescent="0.35">
      <c r="A171" s="2763" t="s">
        <v>568</v>
      </c>
      <c r="B171" s="2764"/>
      <c r="C171" s="2764"/>
      <c r="D171" s="2764"/>
      <c r="E171" s="2764"/>
      <c r="F171" s="2764"/>
      <c r="G171" s="2764"/>
      <c r="H171" s="2764"/>
      <c r="I171" s="2764"/>
      <c r="J171" s="2764"/>
      <c r="K171" s="2764"/>
      <c r="L171" s="2764"/>
      <c r="M171" s="2764"/>
      <c r="N171" s="2764"/>
      <c r="O171" s="2764"/>
      <c r="P171" s="2764"/>
      <c r="Q171" s="2764"/>
      <c r="R171" s="2765"/>
      <c r="S171" s="1515"/>
      <c r="T171" s="1498"/>
      <c r="U171" s="719" t="s">
        <v>510</v>
      </c>
      <c r="V171" s="717" t="s">
        <v>11</v>
      </c>
      <c r="W171" s="717" t="s">
        <v>511</v>
      </c>
      <c r="X171" s="717" t="s">
        <v>512</v>
      </c>
      <c r="Y171" s="717" t="s">
        <v>513</v>
      </c>
      <c r="Z171" s="1495" t="s">
        <v>514</v>
      </c>
      <c r="AA171" s="1494" t="s">
        <v>515</v>
      </c>
      <c r="AB171" s="717" t="s">
        <v>298</v>
      </c>
      <c r="AC171" s="717" t="s">
        <v>299</v>
      </c>
      <c r="AD171" s="717" t="s">
        <v>300</v>
      </c>
      <c r="AE171" s="717" t="s">
        <v>301</v>
      </c>
      <c r="AF171" s="717" t="s">
        <v>6</v>
      </c>
      <c r="AG171" s="717" t="s">
        <v>139</v>
      </c>
      <c r="AH171" s="718"/>
    </row>
    <row r="172" spans="1:34" x14ac:dyDescent="0.3">
      <c r="A172" s="154"/>
      <c r="B172" s="462"/>
      <c r="C172" s="462"/>
      <c r="D172" s="462"/>
      <c r="E172" s="462"/>
      <c r="F172" s="463"/>
      <c r="G172" s="462"/>
      <c r="H172" s="462"/>
      <c r="I172" s="465"/>
      <c r="J172" s="465"/>
      <c r="K172" s="465"/>
      <c r="L172" s="465"/>
      <c r="M172" s="462"/>
      <c r="N172" s="468"/>
      <c r="O172" s="469"/>
      <c r="P172" s="468"/>
      <c r="Q172" s="468"/>
      <c r="R172" s="1496"/>
      <c r="T172" s="468"/>
      <c r="Z172" s="188"/>
      <c r="AA172" s="286"/>
      <c r="AB172" s="464"/>
      <c r="AC172" s="465"/>
      <c r="AD172" s="465"/>
      <c r="AE172" s="465"/>
      <c r="AF172" s="465"/>
      <c r="AG172" s="465"/>
      <c r="AH172" s="466"/>
    </row>
    <row r="173" spans="1:34" x14ac:dyDescent="0.3">
      <c r="A173" s="157" t="s">
        <v>992</v>
      </c>
      <c r="B173" s="157" t="s">
        <v>199</v>
      </c>
      <c r="C173" s="157" t="s">
        <v>993</v>
      </c>
      <c r="D173" s="157" t="s">
        <v>21</v>
      </c>
      <c r="E173" s="157" t="s">
        <v>518</v>
      </c>
      <c r="F173" s="158" t="s">
        <v>587</v>
      </c>
      <c r="G173" s="157">
        <v>1</v>
      </c>
      <c r="H173" s="157" t="s">
        <v>147</v>
      </c>
      <c r="I173" s="175">
        <v>1</v>
      </c>
      <c r="J173" s="688"/>
      <c r="L173" s="180"/>
      <c r="M173" s="157">
        <v>1</v>
      </c>
      <c r="N173" s="503">
        <v>12511</v>
      </c>
      <c r="O173" s="166">
        <f t="shared" ref="O173:O178" si="39">N173*M173*G173</f>
        <v>12511</v>
      </c>
      <c r="P173" s="173">
        <v>0.69</v>
      </c>
      <c r="Q173" s="503">
        <f t="shared" ref="Q173:Q178" si="40">N173*(1-P173)</f>
        <v>3878.4100000000008</v>
      </c>
      <c r="R173" s="166">
        <f t="shared" ref="R173:R178" si="41">Q173*M173*G173</f>
        <v>3878.4100000000008</v>
      </c>
      <c r="S173" s="815">
        <f t="shared" ref="S173:S178" si="42">R173/$R$184</f>
        <v>2.2175913248856118E-2</v>
      </c>
      <c r="T173" s="1502">
        <f>R173*4</f>
        <v>15513.640000000003</v>
      </c>
      <c r="U173" s="169">
        <f>T173</f>
        <v>15513.640000000003</v>
      </c>
      <c r="V173" s="169"/>
      <c r="W173" s="169"/>
      <c r="X173" s="169"/>
      <c r="Y173" s="169"/>
      <c r="Z173" s="394"/>
      <c r="AA173" s="395">
        <f>T173</f>
        <v>15513.640000000003</v>
      </c>
      <c r="AB173" s="188"/>
      <c r="AD173" s="169">
        <f>T173</f>
        <v>15513.640000000003</v>
      </c>
      <c r="AH173" s="286"/>
    </row>
    <row r="174" spans="1:34" x14ac:dyDescent="0.3">
      <c r="A174" s="157" t="s">
        <v>992</v>
      </c>
      <c r="B174" s="157" t="s">
        <v>200</v>
      </c>
      <c r="C174" s="157" t="s">
        <v>995</v>
      </c>
      <c r="D174" s="157" t="s">
        <v>201</v>
      </c>
      <c r="E174" s="157" t="s">
        <v>518</v>
      </c>
      <c r="F174" s="158" t="s">
        <v>581</v>
      </c>
      <c r="G174" s="157">
        <v>1</v>
      </c>
      <c r="H174" s="157" t="s">
        <v>22</v>
      </c>
      <c r="I174" s="772"/>
      <c r="J174" s="688">
        <v>26</v>
      </c>
      <c r="L174" s="180"/>
      <c r="M174" s="163">
        <v>1</v>
      </c>
      <c r="N174" s="503">
        <v>65000</v>
      </c>
      <c r="O174" s="166">
        <f t="shared" si="39"/>
        <v>65000</v>
      </c>
      <c r="P174" s="173">
        <v>0.36</v>
      </c>
      <c r="Q174" s="503">
        <f t="shared" si="40"/>
        <v>41600</v>
      </c>
      <c r="R174" s="166">
        <f t="shared" si="41"/>
        <v>41600</v>
      </c>
      <c r="S174" s="815">
        <f t="shared" si="42"/>
        <v>0.23785984234581034</v>
      </c>
      <c r="T174" s="1502">
        <f t="shared" ref="T174:T178" si="43">R174*4</f>
        <v>166400</v>
      </c>
      <c r="U174" s="169"/>
      <c r="V174" s="169">
        <f>T174</f>
        <v>166400</v>
      </c>
      <c r="W174" s="169"/>
      <c r="X174" s="169"/>
      <c r="Y174" s="169"/>
      <c r="Z174" s="394">
        <f>T174</f>
        <v>166400</v>
      </c>
      <c r="AA174" s="395"/>
      <c r="AB174" s="188"/>
      <c r="AD174" s="169">
        <f>T174</f>
        <v>166400</v>
      </c>
      <c r="AH174" s="286"/>
    </row>
    <row r="175" spans="1:34" x14ac:dyDescent="0.3">
      <c r="A175" s="157" t="s">
        <v>992</v>
      </c>
      <c r="B175" s="157" t="s">
        <v>200</v>
      </c>
      <c r="C175" s="157" t="s">
        <v>995</v>
      </c>
      <c r="D175" s="157" t="s">
        <v>202</v>
      </c>
      <c r="E175" s="157" t="s">
        <v>520</v>
      </c>
      <c r="F175" s="158" t="s">
        <v>541</v>
      </c>
      <c r="G175" s="157">
        <v>1</v>
      </c>
      <c r="H175" s="157" t="s">
        <v>24</v>
      </c>
      <c r="I175" s="175">
        <v>10</v>
      </c>
      <c r="J175" s="176"/>
      <c r="K175" s="176"/>
      <c r="L175" s="177"/>
      <c r="M175" s="163">
        <v>1</v>
      </c>
      <c r="N175" s="503">
        <v>64800</v>
      </c>
      <c r="O175" s="166">
        <f t="shared" si="39"/>
        <v>64800</v>
      </c>
      <c r="P175" s="173">
        <v>0.7</v>
      </c>
      <c r="Q175" s="503">
        <f t="shared" si="40"/>
        <v>19440.000000000004</v>
      </c>
      <c r="R175" s="166">
        <f t="shared" si="41"/>
        <v>19440.000000000004</v>
      </c>
      <c r="S175" s="815">
        <f t="shared" si="42"/>
        <v>0.11115373401929217</v>
      </c>
      <c r="T175" s="1502">
        <f t="shared" si="43"/>
        <v>77760.000000000015</v>
      </c>
      <c r="U175" s="169"/>
      <c r="V175" s="169">
        <f>T175</f>
        <v>77760.000000000015</v>
      </c>
      <c r="Z175" s="188"/>
      <c r="AA175" s="395">
        <f>T175</f>
        <v>77760.000000000015</v>
      </c>
      <c r="AB175" s="188"/>
      <c r="AC175" s="169"/>
      <c r="AF175" s="169">
        <f>T175</f>
        <v>77760.000000000015</v>
      </c>
      <c r="AH175" s="286"/>
    </row>
    <row r="176" spans="1:34" x14ac:dyDescent="0.3">
      <c r="A176" s="157" t="s">
        <v>992</v>
      </c>
      <c r="B176" s="157" t="s">
        <v>183</v>
      </c>
      <c r="C176" s="157" t="s">
        <v>996</v>
      </c>
      <c r="D176" s="157" t="s">
        <v>202</v>
      </c>
      <c r="E176" s="157" t="s">
        <v>518</v>
      </c>
      <c r="F176" s="158" t="s">
        <v>997</v>
      </c>
      <c r="G176" s="157">
        <v>1</v>
      </c>
      <c r="H176" s="157" t="s">
        <v>22</v>
      </c>
      <c r="K176" s="285">
        <v>65</v>
      </c>
      <c r="M176" s="157">
        <v>1</v>
      </c>
      <c r="N176" s="166">
        <v>92000</v>
      </c>
      <c r="O176" s="166">
        <f t="shared" si="39"/>
        <v>92000</v>
      </c>
      <c r="P176" s="173">
        <v>0.45</v>
      </c>
      <c r="Q176" s="503">
        <f t="shared" si="40"/>
        <v>50600.000000000007</v>
      </c>
      <c r="R176" s="166">
        <f t="shared" si="41"/>
        <v>50600.000000000007</v>
      </c>
      <c r="S176" s="815">
        <f t="shared" si="42"/>
        <v>0.28931990439177896</v>
      </c>
      <c r="T176" s="1502">
        <f t="shared" si="43"/>
        <v>202400.00000000003</v>
      </c>
      <c r="U176" s="169"/>
      <c r="V176" s="169">
        <f>T176</f>
        <v>202400.00000000003</v>
      </c>
      <c r="Z176" s="188"/>
      <c r="AA176" s="395">
        <f>T176</f>
        <v>202400.00000000003</v>
      </c>
      <c r="AB176" s="188"/>
      <c r="AC176" s="169"/>
      <c r="AF176" s="169">
        <f t="shared" ref="AF176:AF177" si="44">T176</f>
        <v>202400.00000000003</v>
      </c>
      <c r="AH176" s="286"/>
    </row>
    <row r="177" spans="1:34" x14ac:dyDescent="0.3">
      <c r="A177" s="157" t="s">
        <v>992</v>
      </c>
      <c r="B177" s="157" t="s">
        <v>183</v>
      </c>
      <c r="C177" s="157" t="s">
        <v>993</v>
      </c>
      <c r="D177" s="157" t="s">
        <v>26</v>
      </c>
      <c r="E177" s="157" t="s">
        <v>520</v>
      </c>
      <c r="F177" s="158" t="s">
        <v>588</v>
      </c>
      <c r="G177" s="157">
        <v>2</v>
      </c>
      <c r="H177" s="157" t="s">
        <v>24</v>
      </c>
      <c r="I177" s="175">
        <v>2</v>
      </c>
      <c r="J177" s="176"/>
      <c r="K177" s="176"/>
      <c r="L177" s="177"/>
      <c r="M177" s="157">
        <v>1</v>
      </c>
      <c r="N177" s="166">
        <v>6300</v>
      </c>
      <c r="O177" s="166">
        <f t="shared" si="39"/>
        <v>12600</v>
      </c>
      <c r="P177" s="173">
        <v>0.45</v>
      </c>
      <c r="Q177" s="503">
        <f t="shared" si="40"/>
        <v>3465.0000000000005</v>
      </c>
      <c r="R177" s="166">
        <f t="shared" si="41"/>
        <v>6930.0000000000009</v>
      </c>
      <c r="S177" s="815">
        <f t="shared" si="42"/>
        <v>3.9624247775395818E-2</v>
      </c>
      <c r="T177" s="1502">
        <f t="shared" si="43"/>
        <v>27720.000000000004</v>
      </c>
      <c r="U177" s="169">
        <f>T177</f>
        <v>27720.000000000004</v>
      </c>
      <c r="Z177" s="394">
        <f>T177</f>
        <v>27720.000000000004</v>
      </c>
      <c r="AA177" s="286"/>
      <c r="AB177" s="188"/>
      <c r="AC177" s="169"/>
      <c r="AF177" s="169">
        <f t="shared" si="44"/>
        <v>27720.000000000004</v>
      </c>
      <c r="AH177" s="286"/>
    </row>
    <row r="178" spans="1:34" x14ac:dyDescent="0.3">
      <c r="A178" s="157" t="s">
        <v>992</v>
      </c>
      <c r="B178" s="157" t="s">
        <v>150</v>
      </c>
      <c r="C178" s="157" t="s">
        <v>998</v>
      </c>
      <c r="D178" s="157" t="s">
        <v>50</v>
      </c>
      <c r="E178" s="157" t="s">
        <v>520</v>
      </c>
      <c r="F178" s="158" t="s">
        <v>613</v>
      </c>
      <c r="G178" s="157">
        <v>15</v>
      </c>
      <c r="H178" s="157" t="s">
        <v>24</v>
      </c>
      <c r="I178" s="175">
        <v>15</v>
      </c>
      <c r="J178" s="176"/>
      <c r="K178" s="176"/>
      <c r="L178" s="177"/>
      <c r="M178" s="157">
        <v>1</v>
      </c>
      <c r="N178" s="166">
        <v>4214</v>
      </c>
      <c r="O178" s="166">
        <f t="shared" si="39"/>
        <v>63210</v>
      </c>
      <c r="P178" s="173">
        <v>0.55000000000000004</v>
      </c>
      <c r="Q178" s="503">
        <f t="shared" si="40"/>
        <v>1896.2999999999997</v>
      </c>
      <c r="R178" s="166">
        <f t="shared" si="41"/>
        <v>28444.499999999996</v>
      </c>
      <c r="S178" s="815">
        <f t="shared" si="42"/>
        <v>0.16263952609628371</v>
      </c>
      <c r="T178" s="1502">
        <f t="shared" si="43"/>
        <v>113777.99999999999</v>
      </c>
      <c r="W178" s="169">
        <f>T178</f>
        <v>113777.99999999999</v>
      </c>
      <c r="Z178" s="394">
        <f>T178</f>
        <v>113777.99999999999</v>
      </c>
      <c r="AA178" s="286"/>
      <c r="AB178" s="188"/>
      <c r="AG178" s="169">
        <f>T178</f>
        <v>113777.99999999999</v>
      </c>
      <c r="AH178" s="286"/>
    </row>
    <row r="179" spans="1:34" x14ac:dyDescent="0.3">
      <c r="A179" s="172"/>
      <c r="B179" s="157"/>
      <c r="C179" s="157"/>
      <c r="D179" s="157"/>
      <c r="E179" s="157"/>
      <c r="F179" s="158"/>
      <c r="G179" s="157"/>
      <c r="H179" s="157"/>
      <c r="M179" s="157"/>
      <c r="N179" s="166"/>
      <c r="O179" s="173"/>
      <c r="P179" s="166"/>
      <c r="Q179" s="166"/>
      <c r="R179" s="1516"/>
      <c r="T179" s="503"/>
      <c r="Z179" s="188"/>
      <c r="AA179" s="286"/>
      <c r="AB179" s="188"/>
      <c r="AH179" s="286"/>
    </row>
    <row r="180" spans="1:34" x14ac:dyDescent="0.3">
      <c r="A180" s="172"/>
      <c r="B180" s="157"/>
      <c r="C180" s="157"/>
      <c r="D180" s="157"/>
      <c r="E180" s="157"/>
      <c r="F180" s="158"/>
      <c r="G180" s="157"/>
      <c r="H180" s="157"/>
      <c r="M180" s="157"/>
      <c r="N180" s="166"/>
      <c r="O180" s="173"/>
      <c r="P180" s="166"/>
      <c r="Q180" s="166"/>
      <c r="R180" s="1504"/>
      <c r="T180" s="503"/>
      <c r="Z180" s="188"/>
      <c r="AA180" s="286"/>
      <c r="AB180" s="188"/>
      <c r="AH180" s="286"/>
    </row>
    <row r="181" spans="1:34" x14ac:dyDescent="0.3">
      <c r="A181" s="108" t="s">
        <v>992</v>
      </c>
      <c r="B181" s="108" t="s">
        <v>528</v>
      </c>
      <c r="C181" s="289"/>
      <c r="D181" s="252"/>
      <c r="E181" s="252"/>
      <c r="F181" s="253"/>
      <c r="G181" s="252"/>
      <c r="H181" s="252"/>
      <c r="I181" s="254"/>
      <c r="J181" s="254"/>
      <c r="K181" s="254"/>
      <c r="L181" s="254"/>
      <c r="M181" s="252"/>
      <c r="N181" s="255"/>
      <c r="O181" s="256"/>
      <c r="P181" s="290"/>
      <c r="Q181" s="257"/>
      <c r="R181" s="1505"/>
      <c r="S181" s="257"/>
      <c r="T181" s="503"/>
      <c r="X181" s="169"/>
      <c r="Z181" s="188"/>
      <c r="AA181" s="286"/>
      <c r="AB181" s="188"/>
      <c r="AH181" s="286"/>
    </row>
    <row r="182" spans="1:34" x14ac:dyDescent="0.3">
      <c r="A182" s="108" t="s">
        <v>992</v>
      </c>
      <c r="B182" s="108" t="s">
        <v>529</v>
      </c>
      <c r="C182" s="289"/>
      <c r="D182" s="252"/>
      <c r="E182" s="252"/>
      <c r="F182" s="253"/>
      <c r="G182" s="252"/>
      <c r="H182" s="252"/>
      <c r="I182" s="254"/>
      <c r="J182" s="254"/>
      <c r="K182" s="254"/>
      <c r="L182" s="254"/>
      <c r="M182" s="252"/>
      <c r="N182" s="255"/>
      <c r="O182" s="256"/>
      <c r="P182" s="290"/>
      <c r="Q182" s="257"/>
      <c r="R182" s="1505">
        <v>24000</v>
      </c>
      <c r="S182" s="735">
        <f>R182/$R$184</f>
        <v>0.13722683212258291</v>
      </c>
      <c r="T182" s="1502">
        <f>R182*4</f>
        <v>96000</v>
      </c>
      <c r="Y182" s="169">
        <f>T182</f>
        <v>96000</v>
      </c>
      <c r="Z182" s="188"/>
      <c r="AA182" s="286"/>
      <c r="AB182" s="188"/>
      <c r="AH182" s="286"/>
    </row>
    <row r="183" spans="1:34" x14ac:dyDescent="0.3">
      <c r="I183" s="115">
        <f>I184/$M$184</f>
        <v>0.23529411764705882</v>
      </c>
      <c r="J183" s="115">
        <f t="shared" ref="J183:K183" si="45">J184/$M$184</f>
        <v>0.21848739495798319</v>
      </c>
      <c r="K183" s="115">
        <f t="shared" si="45"/>
        <v>0.54621848739495793</v>
      </c>
      <c r="S183" s="203"/>
      <c r="T183" s="1517"/>
      <c r="Y183" s="1452"/>
      <c r="AA183" s="1452"/>
      <c r="AH183" s="1452"/>
    </row>
    <row r="184" spans="1:34" x14ac:dyDescent="0.3">
      <c r="A184" s="396" t="s">
        <v>531</v>
      </c>
      <c r="B184" s="373"/>
      <c r="C184" s="373"/>
      <c r="D184" s="373"/>
      <c r="E184" s="373"/>
      <c r="F184" s="397"/>
      <c r="G184" s="373"/>
      <c r="H184" s="373"/>
      <c r="I184" s="705">
        <f>I178+I177+I175+I173</f>
        <v>28</v>
      </c>
      <c r="J184" s="705">
        <f>J174</f>
        <v>26</v>
      </c>
      <c r="K184" s="705">
        <f>K176</f>
        <v>65</v>
      </c>
      <c r="L184" s="705"/>
      <c r="M184" s="373">
        <f>SUM(I184:L184)</f>
        <v>119</v>
      </c>
      <c r="N184" s="398"/>
      <c r="O184" s="399"/>
      <c r="P184" s="398"/>
      <c r="Q184" s="400"/>
      <c r="R184" s="1518">
        <f>SUM(R173:R182)</f>
        <v>174892.91</v>
      </c>
      <c r="S184" s="401">
        <f>SUM(S173:S183)</f>
        <v>1</v>
      </c>
      <c r="T184" s="541">
        <f>SUM(T169:T183)</f>
        <v>699571.64</v>
      </c>
      <c r="U184" s="542">
        <f>SUM(U173:U182)</f>
        <v>43233.640000000007</v>
      </c>
      <c r="V184" s="404">
        <f>SUM(V173:V182)</f>
        <v>446560</v>
      </c>
      <c r="W184" s="404">
        <f>SUM(W173:W182)</f>
        <v>113777.99999999999</v>
      </c>
      <c r="X184" s="404"/>
      <c r="Y184" s="404">
        <f>SUM(Y173:Y182)</f>
        <v>96000</v>
      </c>
      <c r="Z184" s="543">
        <f>SUM(Z173:Z182)</f>
        <v>307898</v>
      </c>
      <c r="AA184" s="543">
        <f>SUM(AA173:AA182)</f>
        <v>295673.64</v>
      </c>
      <c r="AB184" s="1519"/>
      <c r="AC184" s="408"/>
      <c r="AD184" s="408">
        <f t="shared" ref="AD184" si="46">SUM(AD166:AD183)</f>
        <v>181913.64</v>
      </c>
      <c r="AE184" s="408"/>
      <c r="AF184" s="408">
        <f t="shared" ref="AF184" si="47">SUM(AF166:AF183)</f>
        <v>307880.00000000006</v>
      </c>
      <c r="AG184" s="408">
        <f>SUM(AG168:AG183)</f>
        <v>113777.99999999999</v>
      </c>
      <c r="AH184" s="597"/>
    </row>
    <row r="185" spans="1:34" x14ac:dyDescent="0.3">
      <c r="A185" s="410" t="s">
        <v>532</v>
      </c>
      <c r="B185" s="411"/>
      <c r="C185" s="411"/>
      <c r="D185" s="411"/>
      <c r="E185" s="411"/>
      <c r="F185" s="412"/>
      <c r="G185" s="411"/>
      <c r="H185" s="411"/>
      <c r="I185" s="707">
        <f>I178+I177+I175+I173</f>
        <v>28</v>
      </c>
      <c r="J185" s="707">
        <f>I178+I177+I175+J174+I173</f>
        <v>54</v>
      </c>
      <c r="K185" s="707">
        <f>I178+I177+K176+I175</f>
        <v>92</v>
      </c>
      <c r="L185" s="707"/>
      <c r="M185" s="411">
        <f>SUM(I185:L185)</f>
        <v>174</v>
      </c>
      <c r="N185" s="413"/>
      <c r="O185" s="414"/>
      <c r="P185" s="413"/>
      <c r="Q185" s="413"/>
      <c r="R185" s="1520"/>
      <c r="S185" s="415"/>
      <c r="T185" s="546"/>
      <c r="U185" s="624">
        <f>U184/T184</f>
        <v>6.1800161024251933E-2</v>
      </c>
      <c r="V185" s="418">
        <f>V184/T184</f>
        <v>0.63833348075688146</v>
      </c>
      <c r="W185" s="418">
        <f>W184/U184</f>
        <v>2.631700684929605</v>
      </c>
      <c r="X185" s="418"/>
      <c r="Y185" s="418">
        <f>Y184/T184</f>
        <v>0.13722683212258291</v>
      </c>
      <c r="Z185" s="539">
        <f>Z184/T184</f>
        <v>0.44012361621748991</v>
      </c>
      <c r="AA185" s="548">
        <f>AA184/T184</f>
        <v>0.42264955165992724</v>
      </c>
      <c r="AB185" s="1521"/>
      <c r="AC185" s="423"/>
      <c r="AD185" s="423"/>
      <c r="AE185" s="423"/>
      <c r="AF185" s="423"/>
      <c r="AG185" s="423"/>
      <c r="AH185" s="424"/>
    </row>
    <row r="186" spans="1:34" x14ac:dyDescent="0.3">
      <c r="A186" s="243" t="s">
        <v>533</v>
      </c>
      <c r="B186" s="193"/>
      <c r="C186" s="193"/>
      <c r="D186" s="193"/>
      <c r="E186" s="193"/>
      <c r="F186" s="244"/>
      <c r="G186" s="193"/>
      <c r="H186" s="193"/>
      <c r="I186" s="2182">
        <f>I185/$M$185</f>
        <v>0.16091954022988506</v>
      </c>
      <c r="J186" s="2182">
        <f t="shared" ref="J186:K186" si="48">J185/$M$185</f>
        <v>0.31034482758620691</v>
      </c>
      <c r="K186" s="2182">
        <f t="shared" si="48"/>
        <v>0.52873563218390807</v>
      </c>
      <c r="L186" s="245"/>
      <c r="M186" s="193"/>
      <c r="N186" s="246"/>
      <c r="O186" s="196"/>
      <c r="P186" s="246"/>
      <c r="Q186" s="196"/>
      <c r="R186" s="194">
        <f>U184/4</f>
        <v>10808.410000000002</v>
      </c>
      <c r="S186" s="247">
        <f>R186/R191</f>
        <v>6.1800161024251933E-2</v>
      </c>
      <c r="T186" s="99"/>
      <c r="Y186" s="248"/>
      <c r="Z186" s="761">
        <f>I175+I177+I178</f>
        <v>27</v>
      </c>
      <c r="AA186" s="761">
        <f>I173+J174+K176</f>
        <v>92</v>
      </c>
      <c r="AB186" s="4"/>
    </row>
    <row r="187" spans="1:34" x14ac:dyDescent="0.3">
      <c r="A187" s="251" t="s">
        <v>11</v>
      </c>
      <c r="B187" s="252"/>
      <c r="C187" s="252"/>
      <c r="D187" s="252"/>
      <c r="E187" s="252"/>
      <c r="F187" s="253"/>
      <c r="G187" s="252"/>
      <c r="H187" s="252"/>
      <c r="I187" s="254"/>
      <c r="J187" s="254"/>
      <c r="K187" s="254"/>
      <c r="L187" s="254"/>
      <c r="M187" s="252"/>
      <c r="N187" s="255"/>
      <c r="O187" s="256"/>
      <c r="P187" s="255"/>
      <c r="Q187" s="256"/>
      <c r="R187" s="257">
        <f>V184/4</f>
        <v>111640</v>
      </c>
      <c r="S187" s="256">
        <f>R187/R191</f>
        <v>0.63833348075688146</v>
      </c>
      <c r="T187" s="1485">
        <f>R184/M184</f>
        <v>1469.6883193277311</v>
      </c>
      <c r="U187" s="1522" t="s">
        <v>973</v>
      </c>
      <c r="Z187" s="195">
        <f>Z186/M184</f>
        <v>0.22689075630252101</v>
      </c>
      <c r="AA187" s="195">
        <f>AA186/M184</f>
        <v>0.77310924369747902</v>
      </c>
    </row>
    <row r="188" spans="1:34" x14ac:dyDescent="0.3">
      <c r="A188" s="251" t="s">
        <v>536</v>
      </c>
      <c r="B188" s="252"/>
      <c r="C188" s="252"/>
      <c r="D188" s="252"/>
      <c r="E188" s="252"/>
      <c r="F188" s="253"/>
      <c r="G188" s="252"/>
      <c r="H188" s="252"/>
      <c r="I188" s="254"/>
      <c r="J188" s="254"/>
      <c r="K188" s="254"/>
      <c r="L188" s="254"/>
      <c r="M188" s="252"/>
      <c r="N188" s="255"/>
      <c r="O188" s="256"/>
      <c r="P188" s="255"/>
      <c r="Q188" s="256"/>
      <c r="R188" s="257">
        <f>W184/4</f>
        <v>28444.499999999996</v>
      </c>
      <c r="S188" s="109">
        <f>R188/R191</f>
        <v>0.16263952609628371</v>
      </c>
      <c r="T188" s="99"/>
      <c r="Z188" s="2728" t="s">
        <v>537</v>
      </c>
      <c r="AA188" s="2729"/>
    </row>
    <row r="189" spans="1:34" x14ac:dyDescent="0.3">
      <c r="A189" s="251" t="s">
        <v>528</v>
      </c>
      <c r="B189" s="252"/>
      <c r="C189" s="252"/>
      <c r="D189" s="252"/>
      <c r="E189" s="252"/>
      <c r="F189" s="253"/>
      <c r="G189" s="252"/>
      <c r="H189" s="252"/>
      <c r="I189" s="254"/>
      <c r="J189" s="254"/>
      <c r="K189" s="254"/>
      <c r="L189" s="254"/>
      <c r="M189" s="252"/>
      <c r="N189" s="255"/>
      <c r="O189" s="256"/>
      <c r="P189" s="255"/>
      <c r="Q189" s="256"/>
      <c r="R189" s="257"/>
      <c r="S189" s="262">
        <f>R189/R191</f>
        <v>0</v>
      </c>
      <c r="T189" s="99"/>
    </row>
    <row r="190" spans="1:34" x14ac:dyDescent="0.3">
      <c r="A190" s="251" t="s">
        <v>529</v>
      </c>
      <c r="B190" s="252"/>
      <c r="C190" s="252"/>
      <c r="D190" s="252"/>
      <c r="E190" s="252"/>
      <c r="F190" s="253"/>
      <c r="G190" s="252"/>
      <c r="H190" s="252"/>
      <c r="I190" s="254"/>
      <c r="J190" s="254"/>
      <c r="K190" s="254"/>
      <c r="L190" s="254"/>
      <c r="M190" s="252"/>
      <c r="N190" s="255"/>
      <c r="O190" s="256"/>
      <c r="P190" s="255"/>
      <c r="Q190" s="256"/>
      <c r="R190" s="257">
        <f>Y184/4</f>
        <v>24000</v>
      </c>
      <c r="S190" s="262">
        <f>R190/R191</f>
        <v>0.13722683212258291</v>
      </c>
      <c r="T190" s="99"/>
    </row>
    <row r="191" spans="1:34" x14ac:dyDescent="0.3">
      <c r="A191" s="464"/>
      <c r="B191" s="527"/>
      <c r="C191" s="527"/>
      <c r="D191" s="527"/>
      <c r="E191" s="527"/>
      <c r="F191" s="528"/>
      <c r="G191" s="527"/>
      <c r="H191" s="527"/>
      <c r="I191" s="465"/>
      <c r="J191" s="465"/>
      <c r="K191" s="465"/>
      <c r="L191" s="465"/>
      <c r="M191" s="527"/>
      <c r="N191" s="529"/>
      <c r="O191" s="530"/>
      <c r="P191" s="529"/>
      <c r="Q191" s="196"/>
      <c r="R191" s="194">
        <f>SUM(R186:R190)</f>
        <v>174892.91</v>
      </c>
      <c r="S191" s="247">
        <f>SUM(S186:S190)</f>
        <v>1</v>
      </c>
    </row>
    <row r="192" spans="1:34" x14ac:dyDescent="0.3">
      <c r="A192" s="464"/>
      <c r="B192" s="527"/>
      <c r="C192" s="527"/>
      <c r="D192" s="527"/>
      <c r="E192" s="527"/>
      <c r="F192" s="528"/>
      <c r="G192" s="527"/>
      <c r="H192" s="527"/>
      <c r="I192" s="465"/>
      <c r="J192" s="465"/>
      <c r="K192" s="465"/>
      <c r="L192" s="465"/>
      <c r="M192" s="527"/>
      <c r="N192" s="529"/>
      <c r="O192" s="530"/>
      <c r="P192" s="529"/>
      <c r="T192" s="5"/>
    </row>
    <row r="193" spans="1:34" x14ac:dyDescent="0.3">
      <c r="AA193" s="303">
        <f>SUM(AB194:AG194)</f>
        <v>2924349.1300000004</v>
      </c>
      <c r="AB193" s="1404" t="s">
        <v>298</v>
      </c>
      <c r="AC193" s="1405" t="s">
        <v>299</v>
      </c>
      <c r="AD193" s="1405" t="s">
        <v>300</v>
      </c>
      <c r="AE193" s="1405" t="s">
        <v>301</v>
      </c>
      <c r="AF193" s="1405" t="s">
        <v>6</v>
      </c>
      <c r="AG193" s="1405" t="s">
        <v>139</v>
      </c>
      <c r="AH193" s="1406"/>
    </row>
    <row r="194" spans="1:34" ht="18" x14ac:dyDescent="0.35">
      <c r="A194" s="430" t="s">
        <v>569</v>
      </c>
      <c r="B194" s="431"/>
      <c r="C194" s="431"/>
      <c r="D194" s="432"/>
      <c r="E194" s="432"/>
      <c r="F194" s="433"/>
      <c r="G194" s="432"/>
      <c r="H194" s="432"/>
      <c r="I194" s="434"/>
      <c r="J194" s="434"/>
      <c r="K194" s="434"/>
      <c r="L194" s="434"/>
      <c r="M194" s="431"/>
      <c r="N194" s="435"/>
      <c r="O194" s="436"/>
      <c r="P194" s="435"/>
      <c r="Q194" s="435"/>
      <c r="R194" s="763"/>
      <c r="S194" s="763"/>
      <c r="T194" s="763">
        <f>T184+T148+T120+T84+T53</f>
        <v>3200349.13</v>
      </c>
      <c r="AA194" t="s">
        <v>601</v>
      </c>
      <c r="AB194" s="1083">
        <f>AB184+AB148+AB120+AB84+AB53</f>
        <v>123446.25</v>
      </c>
      <c r="AC194" s="1035">
        <f t="shared" ref="AC194:AH194" si="49">AC184+AC148+AC120+AC84+AC53</f>
        <v>244585.74000000005</v>
      </c>
      <c r="AD194" s="1035">
        <f t="shared" si="49"/>
        <v>708985.64</v>
      </c>
      <c r="AE194" s="1035">
        <f t="shared" si="49"/>
        <v>255750.00000000006</v>
      </c>
      <c r="AF194" s="1035">
        <f t="shared" si="49"/>
        <v>1320650.0000000002</v>
      </c>
      <c r="AG194" s="1035">
        <f t="shared" si="49"/>
        <v>270931.49999999994</v>
      </c>
      <c r="AH194" s="1084">
        <f t="shared" si="49"/>
        <v>0</v>
      </c>
    </row>
    <row r="195" spans="1:34" x14ac:dyDescent="0.3">
      <c r="Q195" s="120"/>
      <c r="R195" s="3"/>
      <c r="S195" s="3" t="s">
        <v>571</v>
      </c>
      <c r="T195" s="764">
        <f>D20-T194</f>
        <v>-25227.004999999423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76"/>
  <sheetViews>
    <sheetView topLeftCell="A33" workbookViewId="0">
      <selection activeCell="H45" sqref="H45:H50"/>
    </sheetView>
  </sheetViews>
  <sheetFormatPr defaultRowHeight="14.4" x14ac:dyDescent="0.3"/>
  <sheetData>
    <row r="1" spans="1:32" x14ac:dyDescent="0.3">
      <c r="A1" s="43" t="s">
        <v>309</v>
      </c>
      <c r="B1" s="43" t="s">
        <v>334</v>
      </c>
      <c r="C1" s="43" t="s">
        <v>310</v>
      </c>
      <c r="D1" s="43" t="s">
        <v>311</v>
      </c>
      <c r="E1" s="43" t="s">
        <v>312</v>
      </c>
      <c r="F1" s="43" t="s">
        <v>313</v>
      </c>
      <c r="G1" s="2185" t="s">
        <v>1167</v>
      </c>
      <c r="H1" s="2185" t="s">
        <v>1169</v>
      </c>
      <c r="I1" s="43" t="s">
        <v>314</v>
      </c>
      <c r="J1" s="43" t="s">
        <v>315</v>
      </c>
      <c r="K1" s="43" t="s">
        <v>335</v>
      </c>
      <c r="L1" s="43" t="s">
        <v>336</v>
      </c>
      <c r="M1" s="43" t="s">
        <v>316</v>
      </c>
      <c r="N1" s="43" t="s">
        <v>317</v>
      </c>
      <c r="O1" s="43" t="s">
        <v>318</v>
      </c>
      <c r="P1" s="43" t="s">
        <v>319</v>
      </c>
      <c r="Q1" s="43" t="s">
        <v>320</v>
      </c>
      <c r="R1" s="43" t="s">
        <v>321</v>
      </c>
      <c r="S1" s="43" t="s">
        <v>341</v>
      </c>
      <c r="T1" s="44" t="s">
        <v>337</v>
      </c>
      <c r="U1" s="43" t="s">
        <v>322</v>
      </c>
      <c r="V1" s="44" t="s">
        <v>338</v>
      </c>
      <c r="W1" s="44" t="s">
        <v>339</v>
      </c>
      <c r="X1" s="45"/>
      <c r="Y1" s="45"/>
      <c r="AB1" s="43"/>
      <c r="AD1" s="43"/>
    </row>
    <row r="2" spans="1:32" x14ac:dyDescent="0.3">
      <c r="A2" s="47" t="s">
        <v>327</v>
      </c>
      <c r="B2" s="47" t="s">
        <v>323</v>
      </c>
      <c r="C2" s="47" t="s">
        <v>384</v>
      </c>
      <c r="D2" s="47" t="s">
        <v>385</v>
      </c>
      <c r="E2" s="1" t="s">
        <v>198</v>
      </c>
      <c r="F2" s="1" t="s">
        <v>26</v>
      </c>
      <c r="G2" s="2186">
        <v>6</v>
      </c>
      <c r="H2" s="2186">
        <f>VLOOKUP(G2,Pesos!A:B,2,0)</f>
        <v>0.4</v>
      </c>
      <c r="I2" s="48" t="s">
        <v>305</v>
      </c>
      <c r="J2" s="48"/>
      <c r="K2" s="19">
        <v>5</v>
      </c>
      <c r="L2" s="1">
        <v>12</v>
      </c>
      <c r="M2" s="1">
        <v>2</v>
      </c>
      <c r="N2" s="1" t="s">
        <v>24</v>
      </c>
      <c r="O2" s="48">
        <v>2</v>
      </c>
      <c r="P2" s="48"/>
      <c r="Q2" s="48"/>
      <c r="R2" s="48"/>
      <c r="S2" s="48">
        <v>1</v>
      </c>
      <c r="T2" s="7">
        <v>20835</v>
      </c>
      <c r="U2" s="24">
        <v>0.65</v>
      </c>
      <c r="V2" s="49">
        <f>T2*(1-U2)</f>
        <v>7292.2499999999991</v>
      </c>
      <c r="W2" s="49">
        <f>V2*S2*M2</f>
        <v>14584.499999999998</v>
      </c>
      <c r="X2" s="50"/>
      <c r="Y2" s="51"/>
      <c r="Z2" s="48"/>
      <c r="AA2" s="47"/>
      <c r="AB2" s="43"/>
      <c r="AC2" s="43"/>
      <c r="AD2" s="43"/>
      <c r="AE2" s="43"/>
      <c r="AF2" s="43"/>
    </row>
    <row r="3" spans="1:32" x14ac:dyDescent="0.3">
      <c r="A3" s="47" t="s">
        <v>327</v>
      </c>
      <c r="B3" s="47" t="s">
        <v>323</v>
      </c>
      <c r="C3" s="47" t="s">
        <v>384</v>
      </c>
      <c r="D3" s="47" t="s">
        <v>385</v>
      </c>
      <c r="E3" s="1" t="s">
        <v>198</v>
      </c>
      <c r="F3" s="1" t="s">
        <v>103</v>
      </c>
      <c r="G3" s="2186">
        <v>1</v>
      </c>
      <c r="H3" s="2186">
        <f>VLOOKUP(G3,Pesos!A:B,2,0)</f>
        <v>0.9</v>
      </c>
      <c r="I3" s="48" t="s">
        <v>305</v>
      </c>
      <c r="K3" s="19">
        <v>3</v>
      </c>
      <c r="L3" s="1">
        <v>6</v>
      </c>
      <c r="M3" s="1">
        <v>1</v>
      </c>
      <c r="N3" s="1" t="s">
        <v>24</v>
      </c>
      <c r="O3" s="48">
        <v>1</v>
      </c>
      <c r="S3" s="48">
        <v>1</v>
      </c>
      <c r="T3" s="7">
        <v>74550</v>
      </c>
      <c r="U3" s="24">
        <v>0.65</v>
      </c>
      <c r="V3" s="49">
        <f t="shared" ref="V3:V10" si="0">T3*(1-U3)</f>
        <v>26092.5</v>
      </c>
      <c r="W3" s="49">
        <f t="shared" ref="W3:W10" si="1">V3*S3*M3</f>
        <v>26092.5</v>
      </c>
      <c r="X3" s="52"/>
      <c r="Y3" s="53"/>
      <c r="Z3" s="48"/>
    </row>
    <row r="4" spans="1:32" x14ac:dyDescent="0.3">
      <c r="A4" s="47" t="s">
        <v>327</v>
      </c>
      <c r="B4" s="47" t="s">
        <v>323</v>
      </c>
      <c r="C4" s="47" t="s">
        <v>384</v>
      </c>
      <c r="D4" s="47" t="s">
        <v>385</v>
      </c>
      <c r="E4" s="1" t="s">
        <v>199</v>
      </c>
      <c r="F4" s="1" t="s">
        <v>26</v>
      </c>
      <c r="G4" s="2186">
        <v>6</v>
      </c>
      <c r="H4" s="2186">
        <f>VLOOKUP(G4,Pesos!A:B,2,0)</f>
        <v>0.4</v>
      </c>
      <c r="I4" s="48" t="s">
        <v>305</v>
      </c>
      <c r="K4" s="19">
        <v>5</v>
      </c>
      <c r="L4" s="1">
        <v>12</v>
      </c>
      <c r="M4" s="1">
        <v>2</v>
      </c>
      <c r="N4" s="1" t="s">
        <v>24</v>
      </c>
      <c r="O4" s="48">
        <v>2</v>
      </c>
      <c r="S4" s="48">
        <v>1</v>
      </c>
      <c r="T4" s="7">
        <v>10000</v>
      </c>
      <c r="U4" s="24">
        <v>0.42</v>
      </c>
      <c r="V4" s="49">
        <f t="shared" si="0"/>
        <v>5800.0000000000009</v>
      </c>
      <c r="W4" s="49">
        <f t="shared" si="1"/>
        <v>11600.000000000002</v>
      </c>
      <c r="X4" s="52"/>
      <c r="Y4" s="53"/>
      <c r="Z4" s="48"/>
    </row>
    <row r="5" spans="1:32" x14ac:dyDescent="0.3">
      <c r="A5" s="47" t="s">
        <v>327</v>
      </c>
      <c r="B5" s="47" t="s">
        <v>323</v>
      </c>
      <c r="C5" s="47" t="s">
        <v>384</v>
      </c>
      <c r="D5" s="47" t="s">
        <v>385</v>
      </c>
      <c r="E5" s="1" t="s">
        <v>199</v>
      </c>
      <c r="F5" s="1" t="s">
        <v>21</v>
      </c>
      <c r="G5" s="2186">
        <v>3</v>
      </c>
      <c r="H5" s="2186">
        <f>VLOOKUP(G5,Pesos!A:B,2,0)</f>
        <v>0.7</v>
      </c>
      <c r="J5" s="48" t="s">
        <v>305</v>
      </c>
      <c r="K5" s="19">
        <v>7</v>
      </c>
      <c r="L5" s="1">
        <v>15</v>
      </c>
      <c r="M5" s="1">
        <v>3</v>
      </c>
      <c r="N5" s="1" t="s">
        <v>147</v>
      </c>
      <c r="O5" s="48">
        <v>2</v>
      </c>
      <c r="S5" s="48">
        <v>1</v>
      </c>
      <c r="T5" s="7">
        <v>12511</v>
      </c>
      <c r="U5" s="24">
        <v>0.69</v>
      </c>
      <c r="V5" s="49">
        <f t="shared" si="0"/>
        <v>3878.4100000000008</v>
      </c>
      <c r="W5" s="49">
        <f t="shared" si="1"/>
        <v>11635.230000000003</v>
      </c>
      <c r="X5" s="50"/>
      <c r="Y5" s="53"/>
      <c r="Z5" s="48"/>
    </row>
    <row r="6" spans="1:32" x14ac:dyDescent="0.3">
      <c r="A6" s="47" t="s">
        <v>327</v>
      </c>
      <c r="B6" s="47" t="s">
        <v>323</v>
      </c>
      <c r="C6" s="47" t="s">
        <v>384</v>
      </c>
      <c r="D6" s="47" t="s">
        <v>385</v>
      </c>
      <c r="E6" s="1" t="s">
        <v>200</v>
      </c>
      <c r="F6" s="1" t="s">
        <v>103</v>
      </c>
      <c r="G6" s="2186">
        <v>1</v>
      </c>
      <c r="H6" s="2186">
        <f>VLOOKUP(G6,Pesos!A:B,2,0)</f>
        <v>0.9</v>
      </c>
      <c r="J6" s="48" t="s">
        <v>305</v>
      </c>
      <c r="K6" s="19">
        <v>2</v>
      </c>
      <c r="L6" s="1">
        <v>5</v>
      </c>
      <c r="M6" s="1">
        <v>1</v>
      </c>
      <c r="N6" s="1" t="s">
        <v>24</v>
      </c>
      <c r="O6" s="48">
        <v>1</v>
      </c>
      <c r="S6" s="48">
        <v>1</v>
      </c>
      <c r="T6" s="7">
        <v>138600</v>
      </c>
      <c r="U6" s="24">
        <v>0.64</v>
      </c>
      <c r="V6" s="49">
        <f t="shared" si="0"/>
        <v>49896</v>
      </c>
      <c r="W6" s="49">
        <f t="shared" si="1"/>
        <v>49896</v>
      </c>
      <c r="X6" s="52"/>
      <c r="Y6" s="53"/>
      <c r="Z6" s="48"/>
    </row>
    <row r="7" spans="1:32" x14ac:dyDescent="0.3">
      <c r="A7" s="47" t="s">
        <v>327</v>
      </c>
      <c r="B7" s="47" t="s">
        <v>323</v>
      </c>
      <c r="C7" s="47" t="s">
        <v>384</v>
      </c>
      <c r="D7" s="47" t="s">
        <v>385</v>
      </c>
      <c r="E7" s="1" t="s">
        <v>200</v>
      </c>
      <c r="F7" s="1" t="s">
        <v>201</v>
      </c>
      <c r="G7" s="2186">
        <v>2</v>
      </c>
      <c r="H7" s="2186">
        <f>VLOOKUP(G7,Pesos!A:B,2,0)</f>
        <v>0.8</v>
      </c>
      <c r="J7" s="48" t="s">
        <v>305</v>
      </c>
      <c r="K7" s="19">
        <v>26</v>
      </c>
      <c r="L7" s="1">
        <v>26</v>
      </c>
      <c r="M7" s="1">
        <v>1</v>
      </c>
      <c r="N7" s="1" t="s">
        <v>22</v>
      </c>
      <c r="P7" s="48">
        <v>25</v>
      </c>
      <c r="S7" s="48">
        <v>1</v>
      </c>
      <c r="T7" s="7">
        <v>65000</v>
      </c>
      <c r="U7" s="24">
        <v>0.36</v>
      </c>
      <c r="V7" s="49">
        <f t="shared" si="0"/>
        <v>41600</v>
      </c>
      <c r="W7" s="49">
        <f t="shared" si="1"/>
        <v>41600</v>
      </c>
      <c r="X7" s="52"/>
      <c r="Y7" s="53"/>
      <c r="Z7" s="48"/>
    </row>
    <row r="8" spans="1:32" x14ac:dyDescent="0.3">
      <c r="A8" s="47" t="s">
        <v>327</v>
      </c>
      <c r="B8" s="47" t="s">
        <v>323</v>
      </c>
      <c r="C8" s="47" t="s">
        <v>384</v>
      </c>
      <c r="D8" s="47" t="s">
        <v>385</v>
      </c>
      <c r="E8" s="1" t="s">
        <v>200</v>
      </c>
      <c r="F8" s="1" t="s">
        <v>202</v>
      </c>
      <c r="G8" s="2186">
        <v>4</v>
      </c>
      <c r="H8" s="2186">
        <f>VLOOKUP(G8,Pesos!A:B,2,0)</f>
        <v>0.6</v>
      </c>
      <c r="I8" s="48" t="s">
        <v>305</v>
      </c>
      <c r="K8" s="19">
        <v>10</v>
      </c>
      <c r="L8" s="1">
        <v>20</v>
      </c>
      <c r="M8" s="1">
        <v>1</v>
      </c>
      <c r="N8" s="1" t="s">
        <v>24</v>
      </c>
      <c r="O8" s="48">
        <v>10</v>
      </c>
      <c r="S8" s="48">
        <v>1</v>
      </c>
      <c r="T8" s="7">
        <v>64800</v>
      </c>
      <c r="U8" s="24">
        <v>0.7</v>
      </c>
      <c r="V8" s="49">
        <f t="shared" si="0"/>
        <v>19440.000000000004</v>
      </c>
      <c r="W8" s="49">
        <f t="shared" si="1"/>
        <v>19440.000000000004</v>
      </c>
      <c r="X8" s="52"/>
      <c r="Y8" s="53"/>
      <c r="Z8" s="48"/>
    </row>
    <row r="9" spans="1:32" x14ac:dyDescent="0.3">
      <c r="A9" s="47" t="s">
        <v>327</v>
      </c>
      <c r="B9" s="47" t="s">
        <v>323</v>
      </c>
      <c r="C9" s="47" t="s">
        <v>384</v>
      </c>
      <c r="D9" s="47" t="s">
        <v>385</v>
      </c>
      <c r="E9" s="1" t="s">
        <v>195</v>
      </c>
      <c r="F9" s="1" t="s">
        <v>11</v>
      </c>
      <c r="G9" s="2186">
        <v>5</v>
      </c>
      <c r="H9" s="2186">
        <f>VLOOKUP(G9,Pesos!A:B,2,0)</f>
        <v>0.5</v>
      </c>
      <c r="I9" s="48" t="s">
        <v>305</v>
      </c>
      <c r="K9" s="19">
        <v>50</v>
      </c>
      <c r="L9" s="1">
        <v>50</v>
      </c>
      <c r="M9" s="1">
        <v>1</v>
      </c>
      <c r="N9" s="1" t="s">
        <v>22</v>
      </c>
      <c r="O9" s="48">
        <v>50</v>
      </c>
      <c r="S9" s="48">
        <v>1</v>
      </c>
      <c r="T9" s="5">
        <v>115500</v>
      </c>
      <c r="U9" s="24">
        <v>0.7</v>
      </c>
      <c r="V9" s="49">
        <f t="shared" si="0"/>
        <v>34650.000000000007</v>
      </c>
      <c r="W9" s="49">
        <f t="shared" si="1"/>
        <v>34650.000000000007</v>
      </c>
      <c r="X9" s="52"/>
      <c r="Y9" s="53"/>
      <c r="Z9" s="48"/>
    </row>
    <row r="10" spans="1:32" x14ac:dyDescent="0.3">
      <c r="A10" s="47" t="s">
        <v>327</v>
      </c>
      <c r="B10" s="47" t="s">
        <v>323</v>
      </c>
      <c r="C10" s="47" t="s">
        <v>384</v>
      </c>
      <c r="D10" s="47" t="s">
        <v>385</v>
      </c>
      <c r="E10" s="1" t="s">
        <v>183</v>
      </c>
      <c r="F10" s="1" t="s">
        <v>202</v>
      </c>
      <c r="G10" s="2186">
        <v>4</v>
      </c>
      <c r="H10" s="2186">
        <f>VLOOKUP(G10,Pesos!A:B,2,0)</f>
        <v>0.6</v>
      </c>
      <c r="J10" s="48" t="s">
        <v>305</v>
      </c>
      <c r="K10" s="19">
        <v>65</v>
      </c>
      <c r="L10" s="1">
        <v>65</v>
      </c>
      <c r="M10" s="1">
        <v>1</v>
      </c>
      <c r="N10" s="1" t="s">
        <v>22</v>
      </c>
      <c r="Q10" s="48">
        <v>65</v>
      </c>
      <c r="R10" s="52"/>
      <c r="S10" s="48">
        <v>1</v>
      </c>
      <c r="T10" s="5">
        <v>92000</v>
      </c>
      <c r="U10" s="24">
        <v>0.45</v>
      </c>
      <c r="V10" s="49">
        <f t="shared" si="0"/>
        <v>50600.000000000007</v>
      </c>
      <c r="W10" s="49">
        <f t="shared" si="1"/>
        <v>50600.000000000007</v>
      </c>
      <c r="X10" s="52"/>
    </row>
    <row r="11" spans="1:32" x14ac:dyDescent="0.3">
      <c r="A11" s="47" t="s">
        <v>327</v>
      </c>
      <c r="B11" s="47" t="s">
        <v>323</v>
      </c>
      <c r="C11" s="47" t="s">
        <v>384</v>
      </c>
      <c r="D11" s="47" t="s">
        <v>385</v>
      </c>
      <c r="E11" s="1" t="s">
        <v>183</v>
      </c>
      <c r="F11" s="1" t="s">
        <v>21</v>
      </c>
      <c r="G11" s="2186">
        <v>3</v>
      </c>
      <c r="H11" s="2186">
        <f>VLOOKUP(G11,Pesos!A:B,2,0)</f>
        <v>0.7</v>
      </c>
      <c r="J11" s="48" t="s">
        <v>305</v>
      </c>
      <c r="K11" s="1">
        <v>7</v>
      </c>
      <c r="L11" s="1">
        <v>15</v>
      </c>
      <c r="M11" s="1">
        <v>2</v>
      </c>
      <c r="N11" s="1" t="s">
        <v>22</v>
      </c>
      <c r="R11" s="48">
        <v>2</v>
      </c>
      <c r="S11" s="48">
        <v>1</v>
      </c>
      <c r="T11" s="5">
        <v>45000</v>
      </c>
      <c r="U11" s="24">
        <v>0.45</v>
      </c>
      <c r="V11" s="49">
        <f t="shared" ref="V11" si="2">T11*(1-U11)</f>
        <v>24750.000000000004</v>
      </c>
      <c r="W11" s="49">
        <f t="shared" ref="W11" si="3">V11*S11*M11</f>
        <v>49500.000000000007</v>
      </c>
      <c r="X11" s="52"/>
    </row>
    <row r="12" spans="1:32" x14ac:dyDescent="0.3">
      <c r="A12" s="47" t="s">
        <v>327</v>
      </c>
      <c r="B12" s="47" t="s">
        <v>323</v>
      </c>
      <c r="C12" s="47" t="s">
        <v>384</v>
      </c>
      <c r="D12" s="47" t="s">
        <v>385</v>
      </c>
      <c r="E12" s="1" t="s">
        <v>183</v>
      </c>
      <c r="F12" s="1" t="s">
        <v>26</v>
      </c>
      <c r="G12" s="2186">
        <v>6</v>
      </c>
      <c r="H12" s="2186">
        <f>VLOOKUP(G12,Pesos!A:B,2,0)</f>
        <v>0.4</v>
      </c>
      <c r="I12" s="48" t="s">
        <v>305</v>
      </c>
      <c r="K12" s="1">
        <v>5</v>
      </c>
      <c r="L12" s="1">
        <v>12</v>
      </c>
      <c r="M12" s="1">
        <v>2</v>
      </c>
      <c r="N12" s="1" t="s">
        <v>24</v>
      </c>
      <c r="O12" s="48">
        <v>2</v>
      </c>
      <c r="S12" s="48">
        <v>1</v>
      </c>
      <c r="T12" s="5">
        <v>6300</v>
      </c>
      <c r="U12" s="24">
        <v>0.45</v>
      </c>
      <c r="V12" s="57">
        <f t="shared" ref="V12:V18" si="4">T12*(1-U12)</f>
        <v>3465.0000000000005</v>
      </c>
      <c r="W12" s="57">
        <f t="shared" ref="W12:W18" si="5">V12*S12*M12</f>
        <v>6930.0000000000009</v>
      </c>
    </row>
    <row r="13" spans="1:32" x14ac:dyDescent="0.3">
      <c r="A13" s="47" t="s">
        <v>327</v>
      </c>
      <c r="B13" s="47" t="s">
        <v>323</v>
      </c>
      <c r="C13" s="47" t="s">
        <v>384</v>
      </c>
      <c r="D13" s="47" t="s">
        <v>385</v>
      </c>
      <c r="E13" s="1" t="s">
        <v>183</v>
      </c>
      <c r="F13" s="1" t="s">
        <v>103</v>
      </c>
      <c r="G13" s="2186">
        <v>1</v>
      </c>
      <c r="H13" s="2186">
        <f>VLOOKUP(G13,Pesos!A:B,2,0)</f>
        <v>0.9</v>
      </c>
      <c r="I13" s="48" t="s">
        <v>305</v>
      </c>
      <c r="K13" s="1">
        <v>3</v>
      </c>
      <c r="L13" s="1">
        <v>6</v>
      </c>
      <c r="M13" s="1">
        <v>1</v>
      </c>
      <c r="N13" s="1" t="s">
        <v>24</v>
      </c>
      <c r="O13" s="48">
        <v>1</v>
      </c>
      <c r="S13" s="48">
        <v>1</v>
      </c>
      <c r="T13" s="5">
        <v>110000</v>
      </c>
      <c r="U13" s="24">
        <v>0.45</v>
      </c>
      <c r="V13" s="57">
        <f t="shared" si="4"/>
        <v>60500.000000000007</v>
      </c>
      <c r="W13" s="57">
        <f t="shared" si="5"/>
        <v>60500.000000000007</v>
      </c>
    </row>
    <row r="14" spans="1:32" x14ac:dyDescent="0.3">
      <c r="E14" s="1"/>
      <c r="F14" s="1"/>
      <c r="G14" s="2186"/>
      <c r="H14" s="2186"/>
      <c r="K14" s="1"/>
      <c r="M14" s="1"/>
      <c r="N14" s="1"/>
      <c r="T14" s="7"/>
      <c r="U14" s="24"/>
      <c r="V14" s="57"/>
      <c r="W14" s="57"/>
    </row>
    <row r="15" spans="1:32" x14ac:dyDescent="0.3">
      <c r="A15" s="47" t="s">
        <v>340</v>
      </c>
      <c r="B15" s="47" t="s">
        <v>323</v>
      </c>
      <c r="C15" s="47" t="s">
        <v>384</v>
      </c>
      <c r="D15" s="47" t="s">
        <v>385</v>
      </c>
      <c r="E15" s="1" t="s">
        <v>198</v>
      </c>
      <c r="F15" s="1" t="s">
        <v>26</v>
      </c>
      <c r="G15" s="2186">
        <v>5</v>
      </c>
      <c r="H15" s="2186">
        <f>VLOOKUP(G15,Pesos!A:B,2,0)</f>
        <v>0.5</v>
      </c>
      <c r="I15" s="48" t="s">
        <v>305</v>
      </c>
      <c r="J15" s="1"/>
      <c r="K15" s="1">
        <v>5</v>
      </c>
      <c r="L15" s="48">
        <v>12</v>
      </c>
      <c r="M15" s="1">
        <v>2</v>
      </c>
      <c r="N15" s="1" t="s">
        <v>24</v>
      </c>
      <c r="O15" s="48">
        <v>2</v>
      </c>
      <c r="S15" s="48">
        <v>1</v>
      </c>
      <c r="T15" s="7">
        <v>20835</v>
      </c>
      <c r="U15" s="24">
        <v>0.65</v>
      </c>
      <c r="V15" s="57">
        <f t="shared" si="4"/>
        <v>7292.2499999999991</v>
      </c>
      <c r="W15" s="57">
        <f t="shared" si="5"/>
        <v>14584.499999999998</v>
      </c>
    </row>
    <row r="16" spans="1:32" x14ac:dyDescent="0.3">
      <c r="A16" s="47" t="s">
        <v>340</v>
      </c>
      <c r="B16" s="47" t="s">
        <v>323</v>
      </c>
      <c r="C16" s="47" t="s">
        <v>384</v>
      </c>
      <c r="D16" s="47" t="s">
        <v>385</v>
      </c>
      <c r="E16" s="1" t="s">
        <v>198</v>
      </c>
      <c r="F16" s="1" t="s">
        <v>103</v>
      </c>
      <c r="G16" s="2186">
        <v>6</v>
      </c>
      <c r="H16" s="2186">
        <f>VLOOKUP(G16,Pesos!A:B,2,0)</f>
        <v>0.4</v>
      </c>
      <c r="I16" s="48" t="s">
        <v>305</v>
      </c>
      <c r="J16" s="1"/>
      <c r="K16" s="1">
        <v>3</v>
      </c>
      <c r="L16" s="48">
        <v>6</v>
      </c>
      <c r="M16" s="1">
        <v>1</v>
      </c>
      <c r="N16" s="1" t="s">
        <v>24</v>
      </c>
      <c r="O16" s="48">
        <v>1</v>
      </c>
      <c r="S16" s="48">
        <v>1</v>
      </c>
      <c r="T16" s="7">
        <v>74550</v>
      </c>
      <c r="U16" s="24">
        <v>0.65</v>
      </c>
      <c r="V16" s="57">
        <f t="shared" si="4"/>
        <v>26092.5</v>
      </c>
      <c r="W16" s="57">
        <f t="shared" si="5"/>
        <v>26092.5</v>
      </c>
    </row>
    <row r="17" spans="1:23" x14ac:dyDescent="0.3">
      <c r="A17" s="47" t="s">
        <v>340</v>
      </c>
      <c r="B17" s="47" t="s">
        <v>323</v>
      </c>
      <c r="C17" s="47" t="s">
        <v>384</v>
      </c>
      <c r="D17" s="47" t="s">
        <v>385</v>
      </c>
      <c r="E17" s="1" t="s">
        <v>199</v>
      </c>
      <c r="F17" s="1" t="s">
        <v>26</v>
      </c>
      <c r="G17" s="2186">
        <v>5</v>
      </c>
      <c r="H17" s="2186">
        <f>VLOOKUP(G17,Pesos!A:B,2,0)</f>
        <v>0.5</v>
      </c>
      <c r="I17" s="48" t="s">
        <v>305</v>
      </c>
      <c r="J17" s="1"/>
      <c r="K17" s="1">
        <v>5</v>
      </c>
      <c r="L17" s="48">
        <v>12</v>
      </c>
      <c r="M17" s="1">
        <v>2</v>
      </c>
      <c r="N17" s="1" t="s">
        <v>24</v>
      </c>
      <c r="O17" s="48">
        <v>2</v>
      </c>
      <c r="S17" s="48">
        <v>1</v>
      </c>
      <c r="T17" s="7">
        <v>10000</v>
      </c>
      <c r="U17" s="24">
        <v>0.42</v>
      </c>
      <c r="V17" s="57">
        <f t="shared" si="4"/>
        <v>5800.0000000000009</v>
      </c>
      <c r="W17" s="57">
        <f t="shared" si="5"/>
        <v>11600.000000000002</v>
      </c>
    </row>
    <row r="18" spans="1:23" x14ac:dyDescent="0.3">
      <c r="A18" s="47" t="s">
        <v>340</v>
      </c>
      <c r="B18" s="47" t="s">
        <v>323</v>
      </c>
      <c r="C18" s="47" t="s">
        <v>384</v>
      </c>
      <c r="D18" s="47" t="s">
        <v>385</v>
      </c>
      <c r="E18" s="1" t="s">
        <v>199</v>
      </c>
      <c r="F18" s="1" t="s">
        <v>21</v>
      </c>
      <c r="G18" s="2186">
        <v>1</v>
      </c>
      <c r="H18" s="2186">
        <f>VLOOKUP(G18,Pesos!A:B,2,0)</f>
        <v>0.9</v>
      </c>
      <c r="J18" s="1" t="s">
        <v>305</v>
      </c>
      <c r="K18" s="1">
        <v>7</v>
      </c>
      <c r="L18" s="48">
        <v>15</v>
      </c>
      <c r="M18" s="1">
        <v>3</v>
      </c>
      <c r="N18" s="1" t="s">
        <v>147</v>
      </c>
      <c r="O18" s="48">
        <v>2</v>
      </c>
      <c r="S18" s="48">
        <v>1</v>
      </c>
      <c r="T18" s="7">
        <v>12511</v>
      </c>
      <c r="U18" s="24">
        <v>0.69</v>
      </c>
      <c r="V18" s="57">
        <f t="shared" si="4"/>
        <v>3878.4100000000008</v>
      </c>
      <c r="W18" s="57">
        <f t="shared" si="5"/>
        <v>11635.230000000003</v>
      </c>
    </row>
    <row r="19" spans="1:23" x14ac:dyDescent="0.3">
      <c r="A19" s="47" t="s">
        <v>340</v>
      </c>
      <c r="B19" s="47" t="s">
        <v>323</v>
      </c>
      <c r="C19" s="47" t="s">
        <v>384</v>
      </c>
      <c r="D19" s="47" t="s">
        <v>385</v>
      </c>
      <c r="E19" s="1" t="s">
        <v>200</v>
      </c>
      <c r="F19" s="1" t="s">
        <v>103</v>
      </c>
      <c r="G19" s="2186">
        <v>5</v>
      </c>
      <c r="H19" s="2186">
        <f>VLOOKUP(G19,Pesos!A:B,2,0)</f>
        <v>0.5</v>
      </c>
      <c r="J19" s="1" t="s">
        <v>305</v>
      </c>
      <c r="K19" s="10">
        <v>2</v>
      </c>
      <c r="L19" s="48">
        <v>5</v>
      </c>
      <c r="M19" s="1">
        <v>1</v>
      </c>
      <c r="N19" s="1" t="s">
        <v>24</v>
      </c>
      <c r="O19" s="48">
        <v>1</v>
      </c>
      <c r="S19" s="48">
        <v>1</v>
      </c>
      <c r="T19" s="7">
        <v>138600</v>
      </c>
      <c r="U19" s="24">
        <v>0.64</v>
      </c>
      <c r="V19" s="57">
        <f t="shared" ref="V19:V26" si="6">T19*(1-U19)</f>
        <v>49896</v>
      </c>
      <c r="W19" s="57">
        <f t="shared" ref="W19:W26" si="7">V19*S19*M19</f>
        <v>49896</v>
      </c>
    </row>
    <row r="20" spans="1:23" x14ac:dyDescent="0.3">
      <c r="A20" s="47" t="s">
        <v>340</v>
      </c>
      <c r="B20" s="47" t="s">
        <v>323</v>
      </c>
      <c r="C20" s="47" t="s">
        <v>384</v>
      </c>
      <c r="D20" s="47" t="s">
        <v>385</v>
      </c>
      <c r="E20" s="1" t="s">
        <v>200</v>
      </c>
      <c r="F20" s="1" t="s">
        <v>201</v>
      </c>
      <c r="G20" s="2186">
        <v>4</v>
      </c>
      <c r="H20" s="2186">
        <f>VLOOKUP(G20,Pesos!A:B,2,0)</f>
        <v>0.6</v>
      </c>
      <c r="J20" s="1" t="s">
        <v>305</v>
      </c>
      <c r="K20" s="20">
        <v>26</v>
      </c>
      <c r="L20" s="48">
        <v>26</v>
      </c>
      <c r="M20" s="1">
        <v>1</v>
      </c>
      <c r="N20" s="1" t="s">
        <v>22</v>
      </c>
      <c r="P20" s="48">
        <v>26</v>
      </c>
      <c r="S20" s="1">
        <v>1</v>
      </c>
      <c r="T20" s="7">
        <v>65000</v>
      </c>
      <c r="U20" s="24">
        <v>0.36</v>
      </c>
      <c r="V20" s="57">
        <f t="shared" si="6"/>
        <v>41600</v>
      </c>
      <c r="W20" s="57">
        <f t="shared" si="7"/>
        <v>41600</v>
      </c>
    </row>
    <row r="21" spans="1:23" x14ac:dyDescent="0.3">
      <c r="A21" s="47" t="s">
        <v>340</v>
      </c>
      <c r="B21" s="47" t="s">
        <v>323</v>
      </c>
      <c r="C21" s="47" t="s">
        <v>384</v>
      </c>
      <c r="D21" s="47" t="s">
        <v>385</v>
      </c>
      <c r="E21" s="1" t="s">
        <v>200</v>
      </c>
      <c r="F21" s="1" t="s">
        <v>202</v>
      </c>
      <c r="G21" s="2186">
        <v>2</v>
      </c>
      <c r="H21" s="2186">
        <f>VLOOKUP(G21,Pesos!A:B,2,0)</f>
        <v>0.8</v>
      </c>
      <c r="I21" s="48" t="s">
        <v>305</v>
      </c>
      <c r="J21" s="1"/>
      <c r="K21" s="48">
        <v>10</v>
      </c>
      <c r="L21" s="48">
        <v>20</v>
      </c>
      <c r="M21" s="1">
        <v>1</v>
      </c>
      <c r="N21" s="1" t="s">
        <v>24</v>
      </c>
      <c r="P21" s="48">
        <v>10</v>
      </c>
      <c r="S21" s="1">
        <v>1</v>
      </c>
      <c r="T21" s="7">
        <v>64800</v>
      </c>
      <c r="U21" s="24">
        <v>0.7</v>
      </c>
      <c r="V21" s="57">
        <f t="shared" si="6"/>
        <v>19440.000000000004</v>
      </c>
      <c r="W21" s="57">
        <f t="shared" si="7"/>
        <v>19440.000000000004</v>
      </c>
    </row>
    <row r="22" spans="1:23" x14ac:dyDescent="0.3">
      <c r="A22" s="47" t="s">
        <v>340</v>
      </c>
      <c r="B22" s="47" t="s">
        <v>323</v>
      </c>
      <c r="C22" s="47" t="s">
        <v>384</v>
      </c>
      <c r="D22" s="47" t="s">
        <v>385</v>
      </c>
      <c r="E22" s="1" t="s">
        <v>195</v>
      </c>
      <c r="F22" s="1" t="s">
        <v>11</v>
      </c>
      <c r="G22" s="2186">
        <v>3</v>
      </c>
      <c r="H22" s="2186">
        <f>VLOOKUP(G22,Pesos!A:B,2,0)</f>
        <v>0.7</v>
      </c>
      <c r="I22" s="48" t="s">
        <v>305</v>
      </c>
      <c r="J22" s="1"/>
      <c r="K22" s="48">
        <v>50</v>
      </c>
      <c r="L22" s="48">
        <v>50</v>
      </c>
      <c r="M22" s="1">
        <v>1</v>
      </c>
      <c r="N22" s="1" t="s">
        <v>22</v>
      </c>
      <c r="O22" s="48">
        <v>50</v>
      </c>
      <c r="S22" s="1">
        <v>1</v>
      </c>
      <c r="T22" s="5">
        <v>115500</v>
      </c>
      <c r="U22" s="24">
        <v>0.7</v>
      </c>
      <c r="V22" s="57">
        <f t="shared" si="6"/>
        <v>34650.000000000007</v>
      </c>
      <c r="W22" s="57">
        <f t="shared" si="7"/>
        <v>34650.000000000007</v>
      </c>
    </row>
    <row r="23" spans="1:23" x14ac:dyDescent="0.3">
      <c r="A23" s="47" t="s">
        <v>340</v>
      </c>
      <c r="B23" s="47" t="s">
        <v>323</v>
      </c>
      <c r="C23" s="47" t="s">
        <v>384</v>
      </c>
      <c r="D23" s="47" t="s">
        <v>385</v>
      </c>
      <c r="E23" s="1" t="s">
        <v>183</v>
      </c>
      <c r="F23" s="1" t="s">
        <v>202</v>
      </c>
      <c r="G23" s="2186">
        <v>2</v>
      </c>
      <c r="H23" s="2186">
        <f>VLOOKUP(G23,Pesos!A:B,2,0)</f>
        <v>0.8</v>
      </c>
      <c r="J23" s="1" t="s">
        <v>305</v>
      </c>
      <c r="K23" s="48">
        <v>65</v>
      </c>
      <c r="L23" s="48">
        <v>65</v>
      </c>
      <c r="M23" s="1">
        <v>1</v>
      </c>
      <c r="N23" s="1" t="s">
        <v>22</v>
      </c>
      <c r="Q23" s="48">
        <v>65</v>
      </c>
      <c r="S23" s="1">
        <v>1</v>
      </c>
      <c r="T23" s="5">
        <v>92000</v>
      </c>
      <c r="U23" s="24">
        <v>0.45</v>
      </c>
      <c r="V23" s="57">
        <f t="shared" si="6"/>
        <v>50600.000000000007</v>
      </c>
      <c r="W23" s="57">
        <f t="shared" si="7"/>
        <v>50600.000000000007</v>
      </c>
    </row>
    <row r="24" spans="1:23" x14ac:dyDescent="0.3">
      <c r="A24" s="47" t="s">
        <v>340</v>
      </c>
      <c r="B24" s="47" t="s">
        <v>323</v>
      </c>
      <c r="C24" s="47" t="s">
        <v>384</v>
      </c>
      <c r="D24" s="47" t="s">
        <v>385</v>
      </c>
      <c r="E24" s="1" t="s">
        <v>183</v>
      </c>
      <c r="F24" s="1" t="s">
        <v>21</v>
      </c>
      <c r="G24" s="2186">
        <v>1</v>
      </c>
      <c r="H24" s="2186">
        <f>VLOOKUP(G24,Pesos!A:B,2,0)</f>
        <v>0.9</v>
      </c>
      <c r="J24" s="1" t="s">
        <v>305</v>
      </c>
      <c r="K24" s="48">
        <v>7</v>
      </c>
      <c r="L24" s="48">
        <v>15</v>
      </c>
      <c r="M24" s="1">
        <v>2</v>
      </c>
      <c r="N24" s="1" t="s">
        <v>22</v>
      </c>
      <c r="R24" s="48">
        <v>2</v>
      </c>
      <c r="S24" s="1">
        <v>1</v>
      </c>
      <c r="T24" s="5">
        <v>45000</v>
      </c>
      <c r="U24" s="24">
        <v>0.45</v>
      </c>
      <c r="V24" s="57">
        <f t="shared" si="6"/>
        <v>24750.000000000004</v>
      </c>
      <c r="W24" s="57">
        <f t="shared" si="7"/>
        <v>49500.000000000007</v>
      </c>
    </row>
    <row r="25" spans="1:23" x14ac:dyDescent="0.3">
      <c r="A25" s="47" t="s">
        <v>340</v>
      </c>
      <c r="B25" s="47" t="s">
        <v>323</v>
      </c>
      <c r="C25" s="47" t="s">
        <v>384</v>
      </c>
      <c r="D25" s="47" t="s">
        <v>385</v>
      </c>
      <c r="E25" s="1" t="s">
        <v>183</v>
      </c>
      <c r="F25" s="1" t="s">
        <v>26</v>
      </c>
      <c r="G25" s="2186">
        <v>5</v>
      </c>
      <c r="H25" s="2186">
        <f>VLOOKUP(G25,Pesos!A:B,2,0)</f>
        <v>0.5</v>
      </c>
      <c r="I25" s="48" t="s">
        <v>305</v>
      </c>
      <c r="J25" s="1"/>
      <c r="K25" s="48">
        <v>5</v>
      </c>
      <c r="L25" s="48">
        <v>12</v>
      </c>
      <c r="M25" s="1">
        <v>2</v>
      </c>
      <c r="N25" s="1" t="s">
        <v>24</v>
      </c>
      <c r="O25" s="48">
        <v>2</v>
      </c>
      <c r="S25" s="48">
        <v>1</v>
      </c>
      <c r="T25" s="5">
        <v>6300</v>
      </c>
      <c r="U25" s="24">
        <v>0.45</v>
      </c>
      <c r="V25" s="57">
        <f t="shared" si="6"/>
        <v>3465.0000000000005</v>
      </c>
      <c r="W25" s="57">
        <f t="shared" si="7"/>
        <v>6930.0000000000009</v>
      </c>
    </row>
    <row r="26" spans="1:23" x14ac:dyDescent="0.3">
      <c r="A26" s="47" t="s">
        <v>340</v>
      </c>
      <c r="B26" s="47" t="s">
        <v>323</v>
      </c>
      <c r="C26" s="47" t="s">
        <v>384</v>
      </c>
      <c r="D26" s="47" t="s">
        <v>385</v>
      </c>
      <c r="E26" s="1" t="s">
        <v>183</v>
      </c>
      <c r="F26" s="1" t="s">
        <v>103</v>
      </c>
      <c r="G26" s="2186">
        <v>6</v>
      </c>
      <c r="H26" s="2186">
        <f>VLOOKUP(G26,Pesos!A:B,2,0)</f>
        <v>0.4</v>
      </c>
      <c r="I26" s="48" t="s">
        <v>305</v>
      </c>
      <c r="J26" s="1"/>
      <c r="K26" s="48">
        <v>3</v>
      </c>
      <c r="L26" s="48">
        <v>6</v>
      </c>
      <c r="M26" s="1">
        <v>1</v>
      </c>
      <c r="N26" s="1" t="s">
        <v>24</v>
      </c>
      <c r="O26" s="48">
        <v>1</v>
      </c>
      <c r="S26" s="48">
        <v>1</v>
      </c>
      <c r="T26" s="5">
        <v>110000</v>
      </c>
      <c r="U26" s="24">
        <v>0.45</v>
      </c>
      <c r="V26" s="57">
        <f t="shared" si="6"/>
        <v>60500.000000000007</v>
      </c>
      <c r="W26" s="57">
        <f t="shared" si="7"/>
        <v>60500.000000000007</v>
      </c>
    </row>
    <row r="27" spans="1:23" x14ac:dyDescent="0.3">
      <c r="G27" s="2196"/>
      <c r="H27" s="2196"/>
    </row>
    <row r="28" spans="1:23" x14ac:dyDescent="0.3">
      <c r="A28" s="47" t="s">
        <v>342</v>
      </c>
      <c r="B28" s="47" t="s">
        <v>323</v>
      </c>
      <c r="C28" s="47" t="s">
        <v>384</v>
      </c>
      <c r="D28" s="47" t="s">
        <v>385</v>
      </c>
      <c r="E28" s="1" t="s">
        <v>199</v>
      </c>
      <c r="F28" s="1" t="s">
        <v>26</v>
      </c>
      <c r="G28" s="2186">
        <v>5</v>
      </c>
      <c r="H28" s="2186">
        <f>VLOOKUP(G28,Pesos!A:B,2,0)</f>
        <v>0.5</v>
      </c>
      <c r="I28" s="48" t="s">
        <v>305</v>
      </c>
      <c r="K28" s="48">
        <v>4</v>
      </c>
      <c r="L28" s="1">
        <v>9</v>
      </c>
      <c r="M28" s="1">
        <v>2</v>
      </c>
      <c r="N28" s="1" t="s">
        <v>24</v>
      </c>
      <c r="O28" s="48">
        <v>2</v>
      </c>
      <c r="S28" s="48">
        <v>1</v>
      </c>
      <c r="T28" s="7">
        <v>10000</v>
      </c>
      <c r="U28" s="24">
        <v>0.42</v>
      </c>
      <c r="V28" s="57">
        <f t="shared" ref="V28:V36" si="8">T28*(1-U28)</f>
        <v>5800.0000000000009</v>
      </c>
      <c r="W28" s="57">
        <f t="shared" ref="W28:W36" si="9">V28*S28*M28</f>
        <v>11600.000000000002</v>
      </c>
    </row>
    <row r="29" spans="1:23" x14ac:dyDescent="0.3">
      <c r="A29" s="47" t="s">
        <v>342</v>
      </c>
      <c r="B29" s="47" t="s">
        <v>323</v>
      </c>
      <c r="C29" s="47" t="s">
        <v>384</v>
      </c>
      <c r="D29" s="47" t="s">
        <v>385</v>
      </c>
      <c r="E29" s="1" t="s">
        <v>199</v>
      </c>
      <c r="F29" s="1" t="s">
        <v>21</v>
      </c>
      <c r="G29" s="2186">
        <v>2</v>
      </c>
      <c r="H29" s="2186">
        <f>VLOOKUP(G29,Pesos!A:B,2,0)</f>
        <v>0.8</v>
      </c>
      <c r="J29" s="48" t="s">
        <v>305</v>
      </c>
      <c r="K29" s="48">
        <v>5</v>
      </c>
      <c r="L29" s="1">
        <v>10</v>
      </c>
      <c r="M29" s="1">
        <v>2</v>
      </c>
      <c r="N29" s="1" t="s">
        <v>147</v>
      </c>
      <c r="O29" s="48">
        <v>2</v>
      </c>
      <c r="S29" s="48">
        <v>1</v>
      </c>
      <c r="T29" s="7">
        <v>12511</v>
      </c>
      <c r="U29" s="24">
        <v>0.69</v>
      </c>
      <c r="V29" s="57">
        <f t="shared" si="8"/>
        <v>3878.4100000000008</v>
      </c>
      <c r="W29" s="57">
        <f t="shared" si="9"/>
        <v>7756.8200000000015</v>
      </c>
    </row>
    <row r="30" spans="1:23" x14ac:dyDescent="0.3">
      <c r="A30" s="47" t="s">
        <v>342</v>
      </c>
      <c r="B30" s="47" t="s">
        <v>323</v>
      </c>
      <c r="C30" s="47" t="s">
        <v>384</v>
      </c>
      <c r="D30" s="47" t="s">
        <v>385</v>
      </c>
      <c r="E30" s="1" t="s">
        <v>200</v>
      </c>
      <c r="F30" s="1" t="s">
        <v>103</v>
      </c>
      <c r="G30" s="2186">
        <v>1</v>
      </c>
      <c r="H30" s="2186">
        <f>VLOOKUP(G30,Pesos!A:B,2,0)</f>
        <v>0.9</v>
      </c>
      <c r="J30" s="48" t="s">
        <v>305</v>
      </c>
      <c r="K30" s="48">
        <v>1</v>
      </c>
      <c r="L30" s="1">
        <v>2</v>
      </c>
      <c r="M30" s="1">
        <v>1</v>
      </c>
      <c r="N30" s="1" t="s">
        <v>24</v>
      </c>
      <c r="O30" s="48">
        <v>1</v>
      </c>
      <c r="S30" s="48">
        <v>1</v>
      </c>
      <c r="T30" s="7">
        <v>138600</v>
      </c>
      <c r="U30" s="24">
        <v>0.64</v>
      </c>
      <c r="V30" s="57">
        <f t="shared" si="8"/>
        <v>49896</v>
      </c>
      <c r="W30" s="57">
        <f t="shared" si="9"/>
        <v>49896</v>
      </c>
    </row>
    <row r="31" spans="1:23" x14ac:dyDescent="0.3">
      <c r="A31" s="47" t="s">
        <v>342</v>
      </c>
      <c r="B31" s="47" t="s">
        <v>323</v>
      </c>
      <c r="C31" s="47" t="s">
        <v>384</v>
      </c>
      <c r="D31" s="47" t="s">
        <v>385</v>
      </c>
      <c r="E31" s="1" t="s">
        <v>200</v>
      </c>
      <c r="F31" s="1" t="s">
        <v>201</v>
      </c>
      <c r="G31" s="2186">
        <v>4</v>
      </c>
      <c r="H31" s="2186">
        <f>VLOOKUP(G31,Pesos!A:B,2,0)</f>
        <v>0.6</v>
      </c>
      <c r="J31" s="48" t="s">
        <v>305</v>
      </c>
      <c r="K31" s="48">
        <v>26</v>
      </c>
      <c r="L31" s="1">
        <v>26</v>
      </c>
      <c r="M31" s="1">
        <v>1</v>
      </c>
      <c r="N31" s="1" t="s">
        <v>22</v>
      </c>
      <c r="P31" s="48">
        <v>26</v>
      </c>
      <c r="S31" s="48">
        <v>1</v>
      </c>
      <c r="T31" s="7">
        <v>65000</v>
      </c>
      <c r="U31" s="24">
        <v>0.36</v>
      </c>
      <c r="V31" s="57">
        <f t="shared" si="8"/>
        <v>41600</v>
      </c>
      <c r="W31" s="57">
        <f t="shared" si="9"/>
        <v>41600</v>
      </c>
    </row>
    <row r="32" spans="1:23" x14ac:dyDescent="0.3">
      <c r="A32" s="47" t="s">
        <v>342</v>
      </c>
      <c r="B32" s="47" t="s">
        <v>323</v>
      </c>
      <c r="C32" s="47" t="s">
        <v>384</v>
      </c>
      <c r="D32" s="47" t="s">
        <v>385</v>
      </c>
      <c r="E32" s="1" t="s">
        <v>200</v>
      </c>
      <c r="F32" s="1" t="s">
        <v>202</v>
      </c>
      <c r="G32" s="2186">
        <v>3</v>
      </c>
      <c r="H32" s="2186">
        <f>VLOOKUP(G32,Pesos!A:B,2,0)</f>
        <v>0.7</v>
      </c>
      <c r="I32" s="48" t="s">
        <v>305</v>
      </c>
      <c r="K32" s="48">
        <v>8</v>
      </c>
      <c r="L32" s="1">
        <v>15</v>
      </c>
      <c r="M32" s="1">
        <v>1</v>
      </c>
      <c r="N32" s="1" t="s">
        <v>24</v>
      </c>
      <c r="P32" s="48">
        <v>10</v>
      </c>
      <c r="S32" s="48">
        <v>1</v>
      </c>
      <c r="T32" s="7">
        <v>64800</v>
      </c>
      <c r="U32" s="24">
        <v>0.7</v>
      </c>
      <c r="V32" s="57">
        <f t="shared" si="8"/>
        <v>19440.000000000004</v>
      </c>
      <c r="W32" s="57">
        <f t="shared" si="9"/>
        <v>19440.000000000004</v>
      </c>
    </row>
    <row r="33" spans="1:23" x14ac:dyDescent="0.3">
      <c r="A33" s="47" t="s">
        <v>342</v>
      </c>
      <c r="B33" s="47" t="s">
        <v>323</v>
      </c>
      <c r="C33" s="47" t="s">
        <v>384</v>
      </c>
      <c r="D33" s="47" t="s">
        <v>385</v>
      </c>
      <c r="E33" s="1" t="s">
        <v>183</v>
      </c>
      <c r="F33" s="1" t="s">
        <v>202</v>
      </c>
      <c r="G33" s="2186">
        <v>3</v>
      </c>
      <c r="H33" s="2186">
        <f>VLOOKUP(G33,Pesos!A:B,2,0)</f>
        <v>0.7</v>
      </c>
      <c r="J33" s="48" t="s">
        <v>305</v>
      </c>
      <c r="K33" s="48">
        <v>65</v>
      </c>
      <c r="L33" s="1">
        <v>65</v>
      </c>
      <c r="M33" s="1">
        <v>1</v>
      </c>
      <c r="N33" s="1" t="s">
        <v>22</v>
      </c>
      <c r="Q33" s="48">
        <v>65</v>
      </c>
      <c r="S33" s="48">
        <v>1</v>
      </c>
      <c r="T33" s="5">
        <v>92000</v>
      </c>
      <c r="U33" s="24">
        <v>0.45</v>
      </c>
      <c r="V33" s="57">
        <f t="shared" si="8"/>
        <v>50600.000000000007</v>
      </c>
      <c r="W33" s="57">
        <f t="shared" si="9"/>
        <v>50600.000000000007</v>
      </c>
    </row>
    <row r="34" spans="1:23" x14ac:dyDescent="0.3">
      <c r="A34" s="47" t="s">
        <v>342</v>
      </c>
      <c r="B34" s="47" t="s">
        <v>323</v>
      </c>
      <c r="C34" s="47" t="s">
        <v>384</v>
      </c>
      <c r="D34" s="47" t="s">
        <v>385</v>
      </c>
      <c r="E34" s="1" t="s">
        <v>183</v>
      </c>
      <c r="F34" s="1" t="s">
        <v>21</v>
      </c>
      <c r="G34" s="2186">
        <v>2</v>
      </c>
      <c r="H34" s="2186">
        <f>VLOOKUP(G34,Pesos!A:B,2,0)</f>
        <v>0.8</v>
      </c>
      <c r="J34" s="48" t="s">
        <v>305</v>
      </c>
      <c r="K34" s="48">
        <v>5</v>
      </c>
      <c r="L34" s="1">
        <v>10</v>
      </c>
      <c r="M34" s="1">
        <v>2</v>
      </c>
      <c r="N34" s="1" t="s">
        <v>22</v>
      </c>
      <c r="O34" s="48">
        <v>2</v>
      </c>
      <c r="S34" s="48">
        <v>1</v>
      </c>
      <c r="T34" s="5">
        <v>45000</v>
      </c>
      <c r="U34" s="24">
        <v>0.45</v>
      </c>
      <c r="V34" s="57">
        <f t="shared" si="8"/>
        <v>24750.000000000004</v>
      </c>
      <c r="W34" s="57">
        <f t="shared" si="9"/>
        <v>49500.000000000007</v>
      </c>
    </row>
    <row r="35" spans="1:23" x14ac:dyDescent="0.3">
      <c r="A35" s="47" t="s">
        <v>342</v>
      </c>
      <c r="B35" s="47" t="s">
        <v>323</v>
      </c>
      <c r="C35" s="47" t="s">
        <v>384</v>
      </c>
      <c r="D35" s="47" t="s">
        <v>385</v>
      </c>
      <c r="E35" s="1" t="s">
        <v>183</v>
      </c>
      <c r="F35" s="1" t="s">
        <v>26</v>
      </c>
      <c r="G35" s="2186">
        <v>5</v>
      </c>
      <c r="H35" s="2186">
        <f>VLOOKUP(G35,Pesos!A:B,2,0)</f>
        <v>0.5</v>
      </c>
      <c r="I35" s="48" t="s">
        <v>305</v>
      </c>
      <c r="K35" s="48">
        <v>4</v>
      </c>
      <c r="L35" s="1">
        <v>9</v>
      </c>
      <c r="M35" s="1">
        <v>2</v>
      </c>
      <c r="N35" s="1" t="s">
        <v>24</v>
      </c>
      <c r="O35" s="48">
        <v>2</v>
      </c>
      <c r="S35" s="48">
        <v>1</v>
      </c>
      <c r="T35" s="5">
        <v>6300</v>
      </c>
      <c r="U35" s="24">
        <v>0.45</v>
      </c>
      <c r="V35" s="57">
        <f t="shared" si="8"/>
        <v>3465.0000000000005</v>
      </c>
      <c r="W35" s="57">
        <f t="shared" si="9"/>
        <v>6930.0000000000009</v>
      </c>
    </row>
    <row r="36" spans="1:23" x14ac:dyDescent="0.3">
      <c r="A36" s="47" t="s">
        <v>342</v>
      </c>
      <c r="B36" s="47" t="s">
        <v>323</v>
      </c>
      <c r="C36" s="47" t="s">
        <v>384</v>
      </c>
      <c r="D36" s="47" t="s">
        <v>385</v>
      </c>
      <c r="E36" s="1" t="s">
        <v>183</v>
      </c>
      <c r="F36" s="1" t="s">
        <v>103</v>
      </c>
      <c r="G36" s="2186">
        <v>1</v>
      </c>
      <c r="H36" s="2186">
        <f>VLOOKUP(G36,Pesos!A:B,2,0)</f>
        <v>0.9</v>
      </c>
      <c r="I36" s="48" t="s">
        <v>305</v>
      </c>
      <c r="K36" s="48">
        <v>1</v>
      </c>
      <c r="L36" s="1">
        <v>2</v>
      </c>
      <c r="M36" s="1">
        <v>1</v>
      </c>
      <c r="N36" s="1" t="s">
        <v>24</v>
      </c>
      <c r="O36" s="48">
        <v>1</v>
      </c>
      <c r="S36" s="48">
        <v>1</v>
      </c>
      <c r="T36" s="5">
        <v>110000</v>
      </c>
      <c r="U36" s="24">
        <v>0.45</v>
      </c>
      <c r="V36" s="57">
        <f t="shared" si="8"/>
        <v>60500.000000000007</v>
      </c>
      <c r="W36" s="57">
        <f t="shared" si="9"/>
        <v>60500.000000000007</v>
      </c>
    </row>
    <row r="37" spans="1:23" x14ac:dyDescent="0.3">
      <c r="G37" s="2196"/>
      <c r="H37" s="2196"/>
    </row>
    <row r="38" spans="1:23" x14ac:dyDescent="0.3">
      <c r="A38" s="47" t="s">
        <v>343</v>
      </c>
      <c r="B38" s="47" t="s">
        <v>323</v>
      </c>
      <c r="C38" s="47" t="s">
        <v>384</v>
      </c>
      <c r="D38" s="47" t="s">
        <v>385</v>
      </c>
      <c r="E38" s="1" t="s">
        <v>200</v>
      </c>
      <c r="F38" s="1" t="s">
        <v>201</v>
      </c>
      <c r="G38" s="2186">
        <v>4</v>
      </c>
      <c r="H38" s="2186">
        <f>VLOOKUP(G38,Pesos!A:B,2,0)</f>
        <v>0.6</v>
      </c>
      <c r="J38" s="48" t="s">
        <v>305</v>
      </c>
      <c r="K38" s="48">
        <v>26</v>
      </c>
      <c r="L38" s="1">
        <v>26</v>
      </c>
      <c r="M38" s="1">
        <v>1</v>
      </c>
      <c r="N38" s="1" t="s">
        <v>22</v>
      </c>
      <c r="P38" s="48">
        <v>26</v>
      </c>
      <c r="S38" s="48">
        <v>1</v>
      </c>
      <c r="T38" s="7">
        <v>65000</v>
      </c>
      <c r="U38" s="24">
        <v>0.36</v>
      </c>
      <c r="V38" s="57">
        <f t="shared" ref="V38:V43" si="10">T38*(1-U38)</f>
        <v>41600</v>
      </c>
      <c r="W38" s="57">
        <f t="shared" ref="W38:W43" si="11">V38*S38*M38</f>
        <v>41600</v>
      </c>
    </row>
    <row r="39" spans="1:23" x14ac:dyDescent="0.3">
      <c r="A39" s="47" t="s">
        <v>343</v>
      </c>
      <c r="B39" s="47" t="s">
        <v>323</v>
      </c>
      <c r="C39" s="47" t="s">
        <v>384</v>
      </c>
      <c r="D39" s="47" t="s">
        <v>385</v>
      </c>
      <c r="E39" s="1" t="s">
        <v>200</v>
      </c>
      <c r="F39" s="1" t="s">
        <v>202</v>
      </c>
      <c r="G39" s="2186">
        <v>2</v>
      </c>
      <c r="H39" s="2186">
        <f>VLOOKUP(G39,Pesos!A:B,2,0)</f>
        <v>0.8</v>
      </c>
      <c r="I39" s="48" t="s">
        <v>305</v>
      </c>
      <c r="K39" s="48">
        <v>8</v>
      </c>
      <c r="L39" s="1">
        <v>15</v>
      </c>
      <c r="M39" s="1">
        <v>1</v>
      </c>
      <c r="N39" s="1" t="s">
        <v>24</v>
      </c>
      <c r="O39" s="48">
        <v>10</v>
      </c>
      <c r="S39" s="48">
        <v>1</v>
      </c>
      <c r="T39" s="7">
        <v>64800</v>
      </c>
      <c r="U39" s="24">
        <v>0.7</v>
      </c>
      <c r="V39" s="57">
        <f t="shared" si="10"/>
        <v>19440.000000000004</v>
      </c>
      <c r="W39" s="57">
        <f t="shared" si="11"/>
        <v>19440.000000000004</v>
      </c>
    </row>
    <row r="40" spans="1:23" x14ac:dyDescent="0.3">
      <c r="A40" s="47" t="s">
        <v>343</v>
      </c>
      <c r="B40" s="47" t="s">
        <v>323</v>
      </c>
      <c r="C40" s="47" t="s">
        <v>384</v>
      </c>
      <c r="D40" s="47" t="s">
        <v>385</v>
      </c>
      <c r="E40" s="1" t="s">
        <v>183</v>
      </c>
      <c r="F40" s="1" t="s">
        <v>202</v>
      </c>
      <c r="G40" s="2186">
        <v>2</v>
      </c>
      <c r="H40" s="2186">
        <f>VLOOKUP(G40,Pesos!A:B,2,0)</f>
        <v>0.8</v>
      </c>
      <c r="J40" s="48" t="s">
        <v>305</v>
      </c>
      <c r="K40" s="48">
        <v>65</v>
      </c>
      <c r="L40" s="1">
        <v>65</v>
      </c>
      <c r="M40" s="1">
        <v>1</v>
      </c>
      <c r="N40" s="1" t="s">
        <v>22</v>
      </c>
      <c r="Q40" s="48">
        <v>65</v>
      </c>
      <c r="S40" s="48">
        <v>1</v>
      </c>
      <c r="T40" s="5">
        <v>92000</v>
      </c>
      <c r="U40" s="24">
        <v>0.45</v>
      </c>
      <c r="V40" s="57">
        <f t="shared" si="10"/>
        <v>50600.000000000007</v>
      </c>
      <c r="W40" s="57">
        <f t="shared" si="11"/>
        <v>50600.000000000007</v>
      </c>
    </row>
    <row r="41" spans="1:23" x14ac:dyDescent="0.3">
      <c r="A41" s="47" t="s">
        <v>343</v>
      </c>
      <c r="B41" s="47" t="s">
        <v>323</v>
      </c>
      <c r="C41" s="47" t="s">
        <v>384</v>
      </c>
      <c r="D41" s="47" t="s">
        <v>385</v>
      </c>
      <c r="E41" s="1" t="s">
        <v>183</v>
      </c>
      <c r="F41" s="1" t="s">
        <v>21</v>
      </c>
      <c r="G41" s="2186">
        <v>1</v>
      </c>
      <c r="H41" s="2186">
        <f>VLOOKUP(G41,Pesos!A:B,2,0)</f>
        <v>0.9</v>
      </c>
      <c r="J41" s="48" t="s">
        <v>305</v>
      </c>
      <c r="K41" s="48">
        <v>5</v>
      </c>
      <c r="L41" s="1">
        <v>10</v>
      </c>
      <c r="M41" s="1">
        <v>5</v>
      </c>
      <c r="N41" s="1" t="s">
        <v>22</v>
      </c>
      <c r="O41" s="48">
        <v>5</v>
      </c>
      <c r="S41" s="48">
        <v>1</v>
      </c>
      <c r="T41" s="5">
        <v>45000</v>
      </c>
      <c r="U41" s="24">
        <v>0.45</v>
      </c>
      <c r="V41" s="57">
        <f t="shared" si="10"/>
        <v>24750.000000000004</v>
      </c>
      <c r="W41" s="57">
        <f t="shared" si="11"/>
        <v>123750.00000000001</v>
      </c>
    </row>
    <row r="42" spans="1:23" x14ac:dyDescent="0.3">
      <c r="A42" s="47" t="s">
        <v>343</v>
      </c>
      <c r="B42" s="47" t="s">
        <v>323</v>
      </c>
      <c r="C42" s="47" t="s">
        <v>384</v>
      </c>
      <c r="D42" s="47" t="s">
        <v>385</v>
      </c>
      <c r="E42" s="1" t="s">
        <v>183</v>
      </c>
      <c r="F42" s="1" t="s">
        <v>26</v>
      </c>
      <c r="G42" s="2186">
        <v>5</v>
      </c>
      <c r="H42" s="2186">
        <f>VLOOKUP(G42,Pesos!A:B,2,0)</f>
        <v>0.5</v>
      </c>
      <c r="I42" s="48" t="s">
        <v>305</v>
      </c>
      <c r="K42" s="48">
        <v>4</v>
      </c>
      <c r="L42" s="1">
        <v>9</v>
      </c>
      <c r="M42" s="1">
        <v>4</v>
      </c>
      <c r="N42" s="1" t="s">
        <v>24</v>
      </c>
      <c r="O42" s="48">
        <v>4</v>
      </c>
      <c r="S42" s="48">
        <v>1</v>
      </c>
      <c r="T42" s="5">
        <v>6300</v>
      </c>
      <c r="U42" s="24">
        <v>0.45</v>
      </c>
      <c r="V42" s="57">
        <f t="shared" si="10"/>
        <v>3465.0000000000005</v>
      </c>
      <c r="W42" s="57">
        <f t="shared" si="11"/>
        <v>13860.000000000002</v>
      </c>
    </row>
    <row r="43" spans="1:23" x14ac:dyDescent="0.3">
      <c r="A43" s="47" t="s">
        <v>343</v>
      </c>
      <c r="B43" s="47" t="s">
        <v>323</v>
      </c>
      <c r="C43" s="47" t="s">
        <v>384</v>
      </c>
      <c r="D43" s="47" t="s">
        <v>385</v>
      </c>
      <c r="E43" s="1" t="s">
        <v>150</v>
      </c>
      <c r="F43" s="1" t="s">
        <v>180</v>
      </c>
      <c r="G43" s="2186">
        <v>3</v>
      </c>
      <c r="H43" s="2186">
        <f>VLOOKUP(G43,Pesos!A:B,2,0)</f>
        <v>0.7</v>
      </c>
      <c r="I43" s="48" t="s">
        <v>305</v>
      </c>
      <c r="K43" s="48">
        <v>10</v>
      </c>
      <c r="L43" s="1">
        <v>20</v>
      </c>
      <c r="M43" s="1">
        <v>15</v>
      </c>
      <c r="N43" s="1" t="s">
        <v>24</v>
      </c>
      <c r="O43" s="48">
        <v>15</v>
      </c>
      <c r="S43" s="48">
        <v>1</v>
      </c>
      <c r="T43" s="5">
        <v>8315</v>
      </c>
      <c r="U43" s="24">
        <v>0.55000000000000004</v>
      </c>
      <c r="V43" s="57">
        <f t="shared" si="10"/>
        <v>3741.7499999999995</v>
      </c>
      <c r="W43" s="57">
        <f t="shared" si="11"/>
        <v>56126.249999999993</v>
      </c>
    </row>
    <row r="44" spans="1:23" x14ac:dyDescent="0.3">
      <c r="G44" s="2196"/>
      <c r="H44" s="2196"/>
    </row>
    <row r="45" spans="1:23" x14ac:dyDescent="0.3">
      <c r="A45" s="47" t="s">
        <v>326</v>
      </c>
      <c r="B45" s="47" t="s">
        <v>323</v>
      </c>
      <c r="C45" s="47" t="s">
        <v>384</v>
      </c>
      <c r="D45" s="47" t="s">
        <v>385</v>
      </c>
      <c r="E45" s="1" t="s">
        <v>199</v>
      </c>
      <c r="F45" s="1" t="s">
        <v>21</v>
      </c>
      <c r="G45" s="2186">
        <v>1</v>
      </c>
      <c r="H45" s="2186">
        <f>VLOOKUP(G45,Pesos!A:B,2,0)</f>
        <v>0.9</v>
      </c>
      <c r="J45" s="48" t="s">
        <v>305</v>
      </c>
      <c r="K45" s="48">
        <v>3</v>
      </c>
      <c r="L45" s="1">
        <v>5</v>
      </c>
      <c r="M45" s="1">
        <v>1</v>
      </c>
      <c r="N45" s="1" t="s">
        <v>147</v>
      </c>
      <c r="O45" s="48">
        <v>1</v>
      </c>
      <c r="S45" s="48">
        <v>1</v>
      </c>
      <c r="T45" s="7">
        <v>12511</v>
      </c>
      <c r="U45" s="24">
        <v>0.69</v>
      </c>
      <c r="V45" s="57">
        <f t="shared" ref="V45:V50" si="12">T45*(1-U45)</f>
        <v>3878.4100000000008</v>
      </c>
      <c r="W45" s="57">
        <f t="shared" ref="W45:W50" si="13">V45*S45*M45</f>
        <v>3878.4100000000008</v>
      </c>
    </row>
    <row r="46" spans="1:23" x14ac:dyDescent="0.3">
      <c r="A46" s="47" t="s">
        <v>326</v>
      </c>
      <c r="B46" s="47" t="s">
        <v>323</v>
      </c>
      <c r="C46" s="47" t="s">
        <v>384</v>
      </c>
      <c r="D46" s="47" t="s">
        <v>385</v>
      </c>
      <c r="E46" s="1" t="s">
        <v>200</v>
      </c>
      <c r="F46" s="1" t="s">
        <v>201</v>
      </c>
      <c r="G46" s="2186">
        <v>4</v>
      </c>
      <c r="H46" s="2186">
        <f>VLOOKUP(G46,Pesos!A:B,2,0)</f>
        <v>0.6</v>
      </c>
      <c r="J46" s="48" t="s">
        <v>305</v>
      </c>
      <c r="K46" s="48">
        <v>26</v>
      </c>
      <c r="L46" s="1">
        <v>26</v>
      </c>
      <c r="M46" s="1">
        <v>1</v>
      </c>
      <c r="N46" s="1" t="s">
        <v>22</v>
      </c>
      <c r="P46" s="48">
        <v>26</v>
      </c>
      <c r="S46" s="48">
        <v>1</v>
      </c>
      <c r="T46" s="7">
        <v>65000</v>
      </c>
      <c r="U46" s="24">
        <v>0.36</v>
      </c>
      <c r="V46" s="57">
        <f t="shared" si="12"/>
        <v>41600</v>
      </c>
      <c r="W46" s="57">
        <f t="shared" si="13"/>
        <v>41600</v>
      </c>
    </row>
    <row r="47" spans="1:23" x14ac:dyDescent="0.3">
      <c r="A47" s="47" t="s">
        <v>326</v>
      </c>
      <c r="B47" s="47" t="s">
        <v>323</v>
      </c>
      <c r="C47" s="47" t="s">
        <v>384</v>
      </c>
      <c r="D47" s="47" t="s">
        <v>385</v>
      </c>
      <c r="E47" s="1" t="s">
        <v>200</v>
      </c>
      <c r="F47" s="1" t="s">
        <v>202</v>
      </c>
      <c r="G47" s="2186">
        <v>2</v>
      </c>
      <c r="H47" s="2186">
        <f>VLOOKUP(G47,Pesos!A:B,2,0)</f>
        <v>0.8</v>
      </c>
      <c r="I47" s="48" t="s">
        <v>305</v>
      </c>
      <c r="K47" s="48">
        <v>5</v>
      </c>
      <c r="L47" s="1">
        <v>10</v>
      </c>
      <c r="M47" s="1">
        <v>1</v>
      </c>
      <c r="N47" s="1" t="s">
        <v>24</v>
      </c>
      <c r="O47" s="48">
        <v>10</v>
      </c>
      <c r="S47" s="48">
        <v>1</v>
      </c>
      <c r="T47" s="7">
        <v>64800</v>
      </c>
      <c r="U47" s="24">
        <v>0.7</v>
      </c>
      <c r="V47" s="57">
        <f t="shared" si="12"/>
        <v>19440.000000000004</v>
      </c>
      <c r="W47" s="57">
        <f t="shared" si="13"/>
        <v>19440.000000000004</v>
      </c>
    </row>
    <row r="48" spans="1:23" x14ac:dyDescent="0.3">
      <c r="A48" s="47" t="s">
        <v>326</v>
      </c>
      <c r="B48" s="47" t="s">
        <v>323</v>
      </c>
      <c r="C48" s="47" t="s">
        <v>384</v>
      </c>
      <c r="D48" s="47" t="s">
        <v>385</v>
      </c>
      <c r="E48" s="1" t="s">
        <v>183</v>
      </c>
      <c r="F48" s="1" t="s">
        <v>202</v>
      </c>
      <c r="G48" s="2186">
        <v>2</v>
      </c>
      <c r="H48" s="2186">
        <f>VLOOKUP(G48,Pesos!A:B,2,0)</f>
        <v>0.8</v>
      </c>
      <c r="J48" s="48" t="s">
        <v>305</v>
      </c>
      <c r="K48" s="48">
        <v>65</v>
      </c>
      <c r="L48" s="1">
        <v>65</v>
      </c>
      <c r="M48" s="1">
        <v>1</v>
      </c>
      <c r="N48" s="1" t="s">
        <v>22</v>
      </c>
      <c r="Q48" s="48">
        <v>65</v>
      </c>
      <c r="S48" s="48">
        <v>1</v>
      </c>
      <c r="T48" s="5">
        <v>92000</v>
      </c>
      <c r="U48" s="24">
        <v>0.45</v>
      </c>
      <c r="V48" s="57">
        <f t="shared" si="12"/>
        <v>50600.000000000007</v>
      </c>
      <c r="W48" s="57">
        <f t="shared" si="13"/>
        <v>50600.000000000007</v>
      </c>
    </row>
    <row r="49" spans="1:30" x14ac:dyDescent="0.3">
      <c r="A49" s="47" t="s">
        <v>326</v>
      </c>
      <c r="B49" s="47" t="s">
        <v>323</v>
      </c>
      <c r="C49" s="47" t="s">
        <v>384</v>
      </c>
      <c r="D49" s="47" t="s">
        <v>385</v>
      </c>
      <c r="E49" s="1" t="s">
        <v>183</v>
      </c>
      <c r="F49" s="1" t="s">
        <v>26</v>
      </c>
      <c r="G49" s="2186">
        <v>5</v>
      </c>
      <c r="H49" s="2186">
        <f>VLOOKUP(G49,Pesos!A:B,2,0)</f>
        <v>0.5</v>
      </c>
      <c r="I49" s="48" t="s">
        <v>305</v>
      </c>
      <c r="K49" s="48">
        <v>2</v>
      </c>
      <c r="L49" s="1">
        <v>4</v>
      </c>
      <c r="M49" s="1">
        <v>2</v>
      </c>
      <c r="N49" s="1" t="s">
        <v>24</v>
      </c>
      <c r="O49" s="48">
        <v>2</v>
      </c>
      <c r="S49" s="48">
        <v>1</v>
      </c>
      <c r="T49" s="5">
        <v>6300</v>
      </c>
      <c r="U49" s="24">
        <v>0.45</v>
      </c>
      <c r="V49" s="57">
        <f t="shared" si="12"/>
        <v>3465.0000000000005</v>
      </c>
      <c r="W49" s="57">
        <f t="shared" si="13"/>
        <v>6930.0000000000009</v>
      </c>
    </row>
    <row r="50" spans="1:30" x14ac:dyDescent="0.3">
      <c r="A50" s="47" t="s">
        <v>326</v>
      </c>
      <c r="B50" s="47" t="s">
        <v>323</v>
      </c>
      <c r="C50" s="47" t="s">
        <v>384</v>
      </c>
      <c r="D50" s="47" t="s">
        <v>385</v>
      </c>
      <c r="E50" s="1" t="s">
        <v>150</v>
      </c>
      <c r="F50" s="1" t="s">
        <v>50</v>
      </c>
      <c r="G50" s="2186">
        <v>3</v>
      </c>
      <c r="H50" s="2186">
        <f>VLOOKUP(G50,Pesos!A:B,2,0)</f>
        <v>0.7</v>
      </c>
      <c r="I50" s="48" t="s">
        <v>305</v>
      </c>
      <c r="K50" s="48">
        <v>10</v>
      </c>
      <c r="L50" s="1">
        <v>25</v>
      </c>
      <c r="M50" s="1">
        <v>15</v>
      </c>
      <c r="N50" s="1" t="s">
        <v>24</v>
      </c>
      <c r="O50" s="48">
        <v>15</v>
      </c>
      <c r="S50" s="48">
        <v>1</v>
      </c>
      <c r="T50" s="5">
        <v>4214</v>
      </c>
      <c r="U50" s="24">
        <v>0.55000000000000004</v>
      </c>
      <c r="V50" s="57">
        <f t="shared" si="12"/>
        <v>1896.2999999999997</v>
      </c>
      <c r="W50" s="57">
        <f t="shared" si="13"/>
        <v>28444.499999999996</v>
      </c>
    </row>
    <row r="54" spans="1:30" x14ac:dyDescent="0.3">
      <c r="A54" s="47"/>
      <c r="D54" s="43" t="s">
        <v>1158</v>
      </c>
      <c r="E54" s="43" t="s">
        <v>1159</v>
      </c>
      <c r="F54" s="43" t="s">
        <v>1160</v>
      </c>
      <c r="G54" s="43"/>
      <c r="H54" s="1"/>
      <c r="I54" s="1"/>
      <c r="J54" s="1"/>
      <c r="K54" s="1"/>
      <c r="L54" s="1"/>
      <c r="N54" s="1"/>
      <c r="O54" s="1"/>
      <c r="P54" s="1"/>
      <c r="Q54" s="1"/>
      <c r="R54" s="1"/>
      <c r="S54" s="1"/>
      <c r="T54" s="25"/>
      <c r="U54" s="1"/>
      <c r="V54" s="25"/>
      <c r="W54" s="25"/>
      <c r="X54" s="16"/>
      <c r="Y54" s="16"/>
      <c r="AB54" s="1"/>
      <c r="AD54" s="1"/>
    </row>
    <row r="55" spans="1:30" x14ac:dyDescent="0.3">
      <c r="A55" s="47" t="s">
        <v>1161</v>
      </c>
      <c r="B55" s="2174"/>
      <c r="C55" s="2174"/>
      <c r="D55" s="2181">
        <f>E55*(1-10%)</f>
        <v>2206.2524817073172</v>
      </c>
      <c r="E55" s="427">
        <f>'PORTO ALEGRE'!T56</f>
        <v>2451.3916463414635</v>
      </c>
      <c r="F55" s="427">
        <f>E55*(1+15%)</f>
        <v>2819.1003932926828</v>
      </c>
      <c r="G55" s="427"/>
      <c r="H55" s="1"/>
      <c r="I55" s="1"/>
      <c r="J55" s="1"/>
      <c r="K55" s="1"/>
      <c r="L55" s="1"/>
      <c r="N55" s="1"/>
      <c r="O55" s="1"/>
      <c r="P55" s="1"/>
      <c r="Q55" s="1"/>
      <c r="R55" s="1"/>
      <c r="S55" s="1"/>
      <c r="T55" s="25"/>
      <c r="U55" s="1"/>
      <c r="V55" s="25"/>
      <c r="W55" s="25"/>
      <c r="X55" s="16"/>
      <c r="Y55" s="16"/>
      <c r="AB55" s="1"/>
      <c r="AD55" s="1"/>
    </row>
    <row r="56" spans="1:30" x14ac:dyDescent="0.3">
      <c r="A56" s="47" t="s">
        <v>1162</v>
      </c>
      <c r="B56" s="2174"/>
      <c r="C56" s="2174"/>
      <c r="D56" s="2181">
        <f>E56*(1-25%)</f>
        <v>1581.9750785340316</v>
      </c>
      <c r="E56" s="427">
        <f>'PORTO ALEGRE'!T87</f>
        <v>2109.300104712042</v>
      </c>
      <c r="F56" s="427">
        <f>E56*(1+5%)</f>
        <v>2214.7651099476443</v>
      </c>
      <c r="G56" s="427"/>
      <c r="H56" s="1"/>
      <c r="I56" s="1"/>
      <c r="J56" s="1"/>
      <c r="K56" s="1"/>
      <c r="L56" s="1"/>
      <c r="N56" s="1"/>
      <c r="O56" s="1"/>
      <c r="P56" s="1"/>
      <c r="Q56" s="1"/>
      <c r="R56" s="1"/>
      <c r="S56" s="1"/>
      <c r="T56" s="25"/>
      <c r="U56" s="1"/>
      <c r="V56" s="25"/>
      <c r="W56" s="25"/>
      <c r="X56" s="16"/>
      <c r="Y56" s="16"/>
      <c r="AB56" s="1"/>
      <c r="AD56" s="1"/>
    </row>
    <row r="57" spans="1:30" x14ac:dyDescent="0.3">
      <c r="A57" s="47" t="s">
        <v>550</v>
      </c>
      <c r="B57" s="2174"/>
      <c r="C57" s="2174"/>
      <c r="D57" s="2181">
        <f>E57*(1-15%)</f>
        <v>2433.7783513513514</v>
      </c>
      <c r="E57" s="427">
        <f>'PORTO ALEGRE'!T123</f>
        <v>2863.2686486486487</v>
      </c>
      <c r="F57" s="427">
        <f>E57*(1+15%)</f>
        <v>3292.7589459459455</v>
      </c>
      <c r="G57" s="427"/>
      <c r="H57" s="1"/>
      <c r="I57" s="1"/>
      <c r="J57" s="1"/>
      <c r="K57" s="1"/>
      <c r="L57" s="1"/>
      <c r="N57" s="1"/>
      <c r="O57" s="1"/>
      <c r="P57" s="1"/>
      <c r="Q57" s="1"/>
      <c r="R57" s="1"/>
      <c r="S57" s="1"/>
      <c r="T57" s="25"/>
      <c r="U57" s="1"/>
      <c r="V57" s="25"/>
      <c r="W57" s="25"/>
      <c r="X57" s="16"/>
      <c r="Y57" s="16"/>
      <c r="AB57" s="1"/>
      <c r="AD57" s="1"/>
    </row>
    <row r="58" spans="1:30" x14ac:dyDescent="0.3">
      <c r="A58" s="47" t="s">
        <v>679</v>
      </c>
      <c r="B58" s="2174"/>
      <c r="C58" s="2174"/>
      <c r="D58" s="2181">
        <f>E58*(1-25%)</f>
        <v>2042.2575000000002</v>
      </c>
      <c r="E58" s="427">
        <f>'PORTO ALEGRE'!T151</f>
        <v>2723.01</v>
      </c>
      <c r="F58" s="427">
        <f>E58*(1+5%)</f>
        <v>2859.1605000000004</v>
      </c>
      <c r="G58" s="427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25"/>
      <c r="U58" s="1"/>
      <c r="V58" s="25"/>
      <c r="W58" s="25"/>
      <c r="X58" s="16"/>
      <c r="Y58" s="16"/>
      <c r="AB58" s="1"/>
      <c r="AD58" s="1"/>
    </row>
    <row r="59" spans="1:30" x14ac:dyDescent="0.3">
      <c r="A59" s="47" t="s">
        <v>568</v>
      </c>
      <c r="B59" s="2174"/>
      <c r="C59" s="2174"/>
      <c r="D59" s="2181">
        <f>E59*(1-25%)</f>
        <v>1102.2662394957983</v>
      </c>
      <c r="E59" s="427">
        <f>'PORTO ALEGRE'!T187</f>
        <v>1469.6883193277311</v>
      </c>
      <c r="F59" s="427">
        <f>E59*(1+5%)</f>
        <v>1543.1727352941177</v>
      </c>
      <c r="G59" s="427"/>
      <c r="H59" s="1"/>
      <c r="I59" s="1"/>
      <c r="J59" s="1"/>
      <c r="K59" s="1"/>
      <c r="L59" s="1"/>
      <c r="N59" s="1"/>
      <c r="O59" s="1"/>
      <c r="P59" s="1"/>
      <c r="Q59" s="1"/>
      <c r="R59" s="1"/>
      <c r="S59" s="1"/>
      <c r="T59" s="25"/>
      <c r="U59" s="1"/>
      <c r="V59" s="25"/>
      <c r="W59" s="25"/>
      <c r="X59" s="16"/>
      <c r="Y59" s="16"/>
      <c r="AB59" s="1"/>
      <c r="AD59" s="1"/>
    </row>
    <row r="60" spans="1:30" x14ac:dyDescent="0.3">
      <c r="A60" s="47"/>
      <c r="B60" s="47"/>
      <c r="C60" s="47"/>
      <c r="D60" s="48"/>
      <c r="E60" s="1"/>
      <c r="F60" s="1"/>
      <c r="G60" s="1"/>
      <c r="H60" s="1"/>
      <c r="I60" s="1"/>
      <c r="J60" s="1"/>
      <c r="K60" s="1"/>
      <c r="L60" s="1"/>
      <c r="N60" s="1"/>
      <c r="O60" s="1"/>
      <c r="P60" s="1"/>
      <c r="Q60" s="1"/>
      <c r="R60" s="1"/>
      <c r="S60" s="1"/>
      <c r="T60" s="25"/>
      <c r="U60" s="1"/>
      <c r="V60" s="25"/>
      <c r="W60" s="25"/>
      <c r="X60" s="16"/>
      <c r="Y60" s="16"/>
      <c r="AB60" s="1"/>
      <c r="AD60" s="1"/>
    </row>
    <row r="61" spans="1:30" x14ac:dyDescent="0.3">
      <c r="A61" s="47"/>
      <c r="B61" s="46"/>
      <c r="C61" s="46"/>
      <c r="D61" s="2314" t="s">
        <v>1163</v>
      </c>
      <c r="E61" s="2315"/>
      <c r="F61" s="2315"/>
      <c r="G61" s="2316"/>
      <c r="H61" s="1"/>
      <c r="I61" s="1"/>
      <c r="J61" s="1"/>
      <c r="K61" s="1"/>
      <c r="L61" s="1"/>
      <c r="N61" s="1"/>
      <c r="O61" s="1"/>
      <c r="P61" s="1"/>
      <c r="Q61" s="1"/>
      <c r="R61" s="1"/>
      <c r="S61" s="1"/>
      <c r="T61" s="25"/>
      <c r="U61" s="1"/>
      <c r="V61" s="25"/>
      <c r="W61" s="25"/>
      <c r="X61" s="16"/>
      <c r="Y61" s="16"/>
      <c r="AB61" s="1"/>
      <c r="AD61" s="1"/>
    </row>
    <row r="62" spans="1:30" x14ac:dyDescent="0.3">
      <c r="A62" s="47" t="s">
        <v>1161</v>
      </c>
      <c r="B62" s="2175"/>
      <c r="C62" s="2175"/>
      <c r="D62" s="3">
        <v>0.43292682926829268</v>
      </c>
      <c r="E62" s="3">
        <v>0.15853658536585366</v>
      </c>
      <c r="F62" s="3">
        <v>0.39634146341463417</v>
      </c>
      <c r="G62" s="3">
        <v>1.2195121951219513E-2</v>
      </c>
      <c r="H62" s="1"/>
      <c r="I62" s="1"/>
      <c r="J62" s="1"/>
      <c r="K62" s="1"/>
      <c r="L62" s="1"/>
      <c r="N62" s="1"/>
      <c r="O62" s="1"/>
      <c r="P62" s="1"/>
      <c r="Q62" s="1"/>
      <c r="R62" s="1"/>
      <c r="S62" s="1"/>
      <c r="T62" s="25"/>
      <c r="U62" s="1"/>
      <c r="V62" s="25"/>
      <c r="W62" s="25"/>
      <c r="X62" s="16"/>
      <c r="Y62" s="16"/>
      <c r="AB62" s="1"/>
      <c r="AD62" s="1"/>
    </row>
    <row r="63" spans="1:30" x14ac:dyDescent="0.3">
      <c r="A63" s="47" t="s">
        <v>1162</v>
      </c>
      <c r="B63" s="2175"/>
      <c r="C63" s="2175"/>
      <c r="D63" s="2175">
        <v>0.50785340314136129</v>
      </c>
      <c r="E63" s="304">
        <v>0.13612565445026178</v>
      </c>
      <c r="F63" s="304">
        <v>0.34031413612565448</v>
      </c>
      <c r="G63" s="304">
        <v>1.5706806282722512E-2</v>
      </c>
      <c r="H63" s="1"/>
      <c r="I63" s="1"/>
      <c r="J63" s="1"/>
      <c r="K63" s="1"/>
      <c r="L63" s="1"/>
      <c r="N63" s="1"/>
      <c r="O63" s="1"/>
      <c r="P63" s="1"/>
      <c r="Q63" s="1"/>
      <c r="R63" s="1"/>
      <c r="S63" s="1"/>
      <c r="T63" s="25"/>
      <c r="U63" s="1"/>
      <c r="V63" s="25"/>
      <c r="W63" s="25"/>
      <c r="X63" s="16"/>
      <c r="Y63" s="16"/>
      <c r="AB63" s="1"/>
      <c r="AD63" s="1"/>
    </row>
    <row r="64" spans="1:30" x14ac:dyDescent="0.3">
      <c r="A64" s="47" t="s">
        <v>550</v>
      </c>
      <c r="B64" s="2175"/>
      <c r="C64" s="2175"/>
      <c r="D64" s="2175">
        <v>0.18018018018018017</v>
      </c>
      <c r="E64" s="304">
        <v>0.23423423423423423</v>
      </c>
      <c r="F64" s="304">
        <v>0.5855855855855856</v>
      </c>
      <c r="G64" s="304"/>
      <c r="H64" s="1"/>
      <c r="I64" s="1"/>
      <c r="J64" s="1"/>
      <c r="K64" s="1"/>
      <c r="L64" s="1"/>
      <c r="N64" s="1"/>
      <c r="O64" s="1"/>
      <c r="P64" s="1"/>
      <c r="Q64" s="1"/>
      <c r="R64" s="1"/>
      <c r="S64" s="1"/>
      <c r="T64" s="25"/>
      <c r="U64" s="1"/>
      <c r="V64" s="25"/>
      <c r="W64" s="25"/>
      <c r="X64" s="16"/>
      <c r="Y64" s="16"/>
      <c r="AB64" s="1"/>
      <c r="AD64" s="1"/>
    </row>
    <row r="65" spans="1:30" x14ac:dyDescent="0.3">
      <c r="A65" s="47" t="s">
        <v>679</v>
      </c>
      <c r="B65" s="2175"/>
      <c r="C65" s="2175"/>
      <c r="D65" s="2175">
        <v>0.27200000000000002</v>
      </c>
      <c r="E65" s="304">
        <v>0.20799999999999999</v>
      </c>
      <c r="F65" s="304">
        <v>0.52</v>
      </c>
      <c r="G65" s="304"/>
      <c r="H65" s="1"/>
      <c r="I65" s="1"/>
      <c r="J65" s="1"/>
      <c r="K65" s="1"/>
      <c r="L65" s="1"/>
      <c r="N65" s="1"/>
      <c r="O65" s="1"/>
      <c r="P65" s="1"/>
      <c r="Q65" s="1"/>
      <c r="R65" s="1"/>
      <c r="S65" s="1"/>
      <c r="T65" s="25"/>
      <c r="U65" s="1"/>
      <c r="V65" s="25"/>
      <c r="W65" s="25"/>
      <c r="X65" s="16"/>
      <c r="Y65" s="16"/>
      <c r="AB65" s="1"/>
      <c r="AD65" s="1"/>
    </row>
    <row r="66" spans="1:30" x14ac:dyDescent="0.3">
      <c r="A66" s="47" t="s">
        <v>568</v>
      </c>
      <c r="B66" s="47"/>
      <c r="C66" s="47"/>
      <c r="D66" s="2175">
        <v>0.23529411764705882</v>
      </c>
      <c r="E66" s="3">
        <v>0.21848739495798319</v>
      </c>
      <c r="F66" s="304">
        <v>0.54621848739495793</v>
      </c>
      <c r="G66" s="1"/>
      <c r="H66" s="1"/>
      <c r="I66" s="1"/>
      <c r="J66" s="1"/>
      <c r="K66" s="1"/>
      <c r="L66" s="1"/>
      <c r="N66" s="1"/>
      <c r="O66" s="1"/>
      <c r="P66" s="1"/>
      <c r="Q66" s="1"/>
      <c r="R66" s="1"/>
      <c r="S66" s="1"/>
      <c r="T66" s="25"/>
      <c r="U66" s="1"/>
      <c r="V66" s="25"/>
      <c r="W66" s="25"/>
      <c r="X66" s="16"/>
      <c r="Y66" s="16"/>
      <c r="AB66" s="1"/>
      <c r="AD66" s="1"/>
    </row>
    <row r="67" spans="1:30" x14ac:dyDescent="0.3">
      <c r="A67" s="47"/>
      <c r="B67" s="47"/>
      <c r="C67" s="47"/>
      <c r="D67" s="48"/>
      <c r="E67" s="1"/>
      <c r="F67" s="1"/>
      <c r="G67" s="1"/>
      <c r="H67" s="1"/>
      <c r="I67" s="1"/>
      <c r="J67" s="1"/>
      <c r="K67" s="1"/>
      <c r="L67" s="1"/>
      <c r="N67" s="1"/>
      <c r="O67" s="1"/>
      <c r="P67" s="1"/>
      <c r="Q67" s="1"/>
      <c r="R67" s="1"/>
      <c r="S67" s="1"/>
      <c r="T67" s="25"/>
      <c r="U67" s="1"/>
      <c r="V67" s="25"/>
      <c r="W67" s="25"/>
      <c r="X67" s="16"/>
      <c r="Y67" s="16"/>
      <c r="AB67" s="1"/>
      <c r="AD67" s="1"/>
    </row>
    <row r="68" spans="1:30" x14ac:dyDescent="0.3">
      <c r="A68" s="47"/>
      <c r="B68" s="47"/>
      <c r="C68" s="47"/>
      <c r="D68" s="48"/>
      <c r="E68" s="1"/>
      <c r="F68" s="1"/>
      <c r="G68" s="1"/>
      <c r="H68" s="1"/>
      <c r="I68" s="1"/>
      <c r="J68" s="1"/>
      <c r="K68" s="1"/>
      <c r="L68" s="1"/>
      <c r="N68" s="1"/>
      <c r="O68" s="1"/>
      <c r="P68" s="1"/>
      <c r="Q68" s="1"/>
      <c r="R68" s="1"/>
      <c r="S68" s="1"/>
      <c r="T68" s="25"/>
      <c r="U68" s="1"/>
      <c r="V68" s="25"/>
      <c r="W68" s="25"/>
      <c r="X68" s="16"/>
      <c r="Y68" s="16"/>
      <c r="AB68" s="1"/>
      <c r="AD68" s="1"/>
    </row>
    <row r="69" spans="1:30" x14ac:dyDescent="0.3">
      <c r="A69" s="47"/>
      <c r="B69" s="47"/>
      <c r="C69" s="47"/>
      <c r="D69" s="48"/>
      <c r="E69" s="1"/>
      <c r="F69" s="1"/>
      <c r="G69" s="1"/>
      <c r="H69" s="1"/>
      <c r="I69" s="1"/>
      <c r="J69" s="1"/>
      <c r="K69" s="1"/>
      <c r="L69" s="1"/>
      <c r="N69" s="1"/>
      <c r="O69" s="1"/>
      <c r="P69" s="1"/>
      <c r="Q69" s="1"/>
      <c r="R69" s="1"/>
      <c r="S69" s="1"/>
      <c r="T69" s="25"/>
      <c r="U69" s="1"/>
      <c r="V69" s="25"/>
      <c r="W69" s="25"/>
      <c r="X69" s="16"/>
      <c r="Y69" s="16"/>
      <c r="AB69" s="1"/>
      <c r="AD69" s="1"/>
    </row>
    <row r="70" spans="1:30" x14ac:dyDescent="0.3">
      <c r="A70" s="47"/>
      <c r="B70" s="46"/>
      <c r="C70" s="46"/>
      <c r="D70" s="2314" t="s">
        <v>1164</v>
      </c>
      <c r="E70" s="2315"/>
      <c r="F70" s="2315"/>
      <c r="G70" s="2316"/>
      <c r="H70" s="1"/>
      <c r="I70" s="1"/>
      <c r="J70" s="1"/>
      <c r="K70" s="1"/>
      <c r="L70" s="1"/>
      <c r="N70" s="1"/>
      <c r="O70" s="1"/>
      <c r="P70" s="1"/>
      <c r="Q70" s="1"/>
      <c r="R70" s="1"/>
      <c r="S70" s="1"/>
      <c r="T70" s="25"/>
      <c r="U70" s="1"/>
      <c r="V70" s="25"/>
      <c r="W70" s="25"/>
      <c r="X70" s="16"/>
      <c r="Y70" s="16"/>
      <c r="AB70" s="1"/>
      <c r="AD70" s="1"/>
    </row>
    <row r="71" spans="1:30" x14ac:dyDescent="0.3">
      <c r="A71" s="47" t="s">
        <v>1161</v>
      </c>
      <c r="B71" s="2175"/>
      <c r="C71" s="2175"/>
      <c r="D71" s="2175">
        <v>0.31838565022421522</v>
      </c>
      <c r="E71" s="2175">
        <v>0.21076233183856502</v>
      </c>
      <c r="F71" s="2175">
        <v>0.37668161434977576</v>
      </c>
      <c r="G71" s="2175">
        <v>9.417040358744394E-2</v>
      </c>
      <c r="H71" s="1"/>
      <c r="I71" s="1"/>
      <c r="J71" s="1"/>
      <c r="K71" s="1"/>
      <c r="L71" s="1"/>
      <c r="N71" s="1"/>
      <c r="O71" s="1"/>
      <c r="P71" s="1"/>
      <c r="Q71" s="1"/>
      <c r="R71" s="1"/>
      <c r="S71" s="1"/>
      <c r="T71" s="25"/>
      <c r="U71" s="1"/>
      <c r="V71" s="25"/>
      <c r="W71" s="25"/>
      <c r="X71" s="16"/>
      <c r="Y71" s="16"/>
      <c r="AB71" s="1"/>
      <c r="AD71" s="1"/>
    </row>
    <row r="72" spans="1:30" x14ac:dyDescent="0.3">
      <c r="A72" s="47" t="s">
        <v>1162</v>
      </c>
      <c r="B72" s="6"/>
      <c r="C72" s="6"/>
      <c r="D72" s="6">
        <v>0.29573170731707316</v>
      </c>
      <c r="E72" s="2175">
        <v>0.2225609756097561</v>
      </c>
      <c r="F72" s="2175">
        <v>0.33536585365853661</v>
      </c>
      <c r="G72" s="2175">
        <v>0.14634146341463414</v>
      </c>
      <c r="H72" s="1"/>
      <c r="I72" s="1"/>
      <c r="J72" s="1"/>
      <c r="K72" s="1"/>
      <c r="L72" s="1"/>
      <c r="N72" s="1"/>
      <c r="O72" s="1"/>
      <c r="P72" s="1"/>
      <c r="Q72" s="1"/>
      <c r="R72" s="1"/>
      <c r="S72" s="1"/>
      <c r="T72" s="25"/>
      <c r="U72" s="1"/>
      <c r="V72" s="25"/>
      <c r="W72" s="25"/>
      <c r="X72" s="16"/>
      <c r="Y72" s="16"/>
      <c r="AB72" s="1"/>
      <c r="AD72" s="1"/>
    </row>
    <row r="73" spans="1:30" x14ac:dyDescent="0.3">
      <c r="A73" s="47" t="s">
        <v>550</v>
      </c>
      <c r="B73" s="2175"/>
      <c r="C73" s="2175"/>
      <c r="D73" s="2175">
        <v>0.13793103448275862</v>
      </c>
      <c r="E73" s="2175">
        <v>0.30344827586206896</v>
      </c>
      <c r="F73" s="2175">
        <v>0.55862068965517242</v>
      </c>
      <c r="G73" s="2175"/>
      <c r="H73" s="1"/>
      <c r="I73" s="1"/>
      <c r="J73" s="1"/>
      <c r="K73" s="1"/>
      <c r="L73" s="1"/>
      <c r="N73" s="1"/>
      <c r="O73" s="1"/>
      <c r="P73" s="1"/>
      <c r="Q73" s="1"/>
      <c r="R73" s="1"/>
      <c r="S73" s="1"/>
      <c r="T73" s="25"/>
      <c r="U73" s="1"/>
      <c r="V73" s="25"/>
      <c r="W73" s="25"/>
      <c r="X73" s="16"/>
      <c r="Y73" s="16"/>
      <c r="AB73" s="1"/>
      <c r="AD73" s="1"/>
    </row>
    <row r="74" spans="1:30" x14ac:dyDescent="0.3">
      <c r="A74" s="47" t="s">
        <v>679</v>
      </c>
      <c r="B74" s="2175"/>
      <c r="C74" s="2175"/>
      <c r="D74" s="6">
        <v>0.18579234972677597</v>
      </c>
      <c r="E74" s="2175">
        <v>0.30054644808743169</v>
      </c>
      <c r="F74" s="2175">
        <v>0.51366120218579236</v>
      </c>
      <c r="G74" s="2175"/>
      <c r="H74" s="1"/>
      <c r="I74" s="1"/>
      <c r="J74" s="1"/>
      <c r="K74" s="1"/>
      <c r="L74" s="1"/>
      <c r="N74" s="1"/>
      <c r="O74" s="1"/>
      <c r="P74" s="1"/>
      <c r="Q74" s="1"/>
      <c r="R74" s="1"/>
      <c r="S74" s="1"/>
      <c r="T74" s="25"/>
      <c r="U74" s="1"/>
      <c r="V74" s="25"/>
      <c r="W74" s="25"/>
      <c r="X74" s="16"/>
      <c r="Y74" s="16"/>
      <c r="AB74" s="1"/>
      <c r="AD74" s="1"/>
    </row>
    <row r="75" spans="1:30" x14ac:dyDescent="0.3">
      <c r="A75" s="47" t="s">
        <v>568</v>
      </c>
      <c r="B75" s="47"/>
      <c r="C75" s="47"/>
      <c r="D75" s="6">
        <v>0.16091954022988506</v>
      </c>
      <c r="E75" s="2175">
        <v>0.31034482758620691</v>
      </c>
      <c r="F75" s="2175">
        <v>0.52873563218390807</v>
      </c>
      <c r="G75" s="2175"/>
      <c r="H75" s="1"/>
      <c r="I75" s="1"/>
      <c r="J75" s="1"/>
      <c r="K75" s="1"/>
      <c r="L75" s="1"/>
      <c r="N75" s="1"/>
      <c r="O75" s="1"/>
      <c r="P75" s="1"/>
      <c r="Q75" s="1"/>
      <c r="R75" s="1"/>
      <c r="S75" s="1"/>
      <c r="T75" s="25"/>
      <c r="U75" s="1"/>
      <c r="V75" s="25"/>
      <c r="W75" s="25"/>
      <c r="X75" s="16"/>
      <c r="Y75" s="16"/>
      <c r="AB75" s="1"/>
      <c r="AD75" s="1"/>
    </row>
    <row r="76" spans="1:30" x14ac:dyDescent="0.3">
      <c r="E76" s="1"/>
      <c r="F76" s="1"/>
      <c r="G76" s="1"/>
      <c r="H76" s="1"/>
      <c r="I76" s="1"/>
      <c r="J76" s="1"/>
      <c r="K76" s="1"/>
      <c r="L76" s="1"/>
      <c r="N76" s="1"/>
      <c r="O76" s="1"/>
      <c r="P76" s="1"/>
      <c r="Q76" s="1"/>
      <c r="R76" s="1"/>
      <c r="S76" s="1"/>
      <c r="T76" s="25"/>
      <c r="U76" s="1"/>
      <c r="V76" s="25"/>
      <c r="W76" s="25"/>
      <c r="X76" s="16"/>
      <c r="Y76" s="16"/>
      <c r="AB76" s="1"/>
      <c r="AD76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E178"/>
  <sheetViews>
    <sheetView workbookViewId="0"/>
  </sheetViews>
  <sheetFormatPr defaultRowHeight="14.4" x14ac:dyDescent="0.3"/>
  <sheetData>
    <row r="1" spans="1:5" ht="21" x14ac:dyDescent="0.4">
      <c r="A1" s="92" t="s">
        <v>1009</v>
      </c>
    </row>
    <row r="2" spans="1:5" x14ac:dyDescent="0.3">
      <c r="A2" t="s">
        <v>452</v>
      </c>
    </row>
    <row r="3" spans="1:5" x14ac:dyDescent="0.3">
      <c r="A3" s="93"/>
      <c r="B3" s="94"/>
    </row>
    <row r="6" spans="1:5" x14ac:dyDescent="0.3">
      <c r="B6" s="95"/>
    </row>
    <row r="7" spans="1:5" x14ac:dyDescent="0.3">
      <c r="B7" s="96"/>
      <c r="C7" s="603"/>
    </row>
    <row r="8" spans="1:5" x14ac:dyDescent="0.3">
      <c r="A8" s="100" t="s">
        <v>1010</v>
      </c>
      <c r="B8" s="101">
        <v>375258</v>
      </c>
      <c r="C8" s="102"/>
    </row>
    <row r="9" spans="1:5" x14ac:dyDescent="0.3">
      <c r="A9" s="100" t="s">
        <v>1011</v>
      </c>
      <c r="B9" s="101">
        <v>375258</v>
      </c>
      <c r="C9" s="97"/>
    </row>
    <row r="10" spans="1:5" x14ac:dyDescent="0.3">
      <c r="C10" s="97"/>
    </row>
    <row r="11" spans="1:5" x14ac:dyDescent="0.3">
      <c r="A11" s="103" t="s">
        <v>1012</v>
      </c>
      <c r="B11" s="104">
        <v>560738.75</v>
      </c>
      <c r="C11" s="105"/>
    </row>
    <row r="12" spans="1:5" x14ac:dyDescent="0.3">
      <c r="A12" s="100" t="s">
        <v>1013</v>
      </c>
      <c r="B12" s="101">
        <v>560738.75</v>
      </c>
      <c r="C12" s="3"/>
    </row>
    <row r="15" spans="1:5" x14ac:dyDescent="0.3">
      <c r="A15" s="4" t="s">
        <v>457</v>
      </c>
    </row>
    <row r="16" spans="1:5" x14ac:dyDescent="0.3">
      <c r="A16" s="106" t="s">
        <v>458</v>
      </c>
      <c r="B16" s="106"/>
      <c r="C16" s="106" t="s">
        <v>459</v>
      </c>
      <c r="D16" s="106" t="s">
        <v>460</v>
      </c>
      <c r="E16" s="106" t="s">
        <v>461</v>
      </c>
    </row>
    <row r="17" spans="1:30" x14ac:dyDescent="0.3">
      <c r="A17" s="107" t="s">
        <v>606</v>
      </c>
      <c r="B17" s="108" t="s">
        <v>463</v>
      </c>
      <c r="C17" s="109">
        <v>0.43</v>
      </c>
      <c r="D17" s="110">
        <v>241117.66250000001</v>
      </c>
      <c r="E17" s="110">
        <v>80372.554166666669</v>
      </c>
    </row>
    <row r="18" spans="1:30" x14ac:dyDescent="0.3">
      <c r="A18" s="107" t="s">
        <v>607</v>
      </c>
      <c r="B18" s="108" t="s">
        <v>465</v>
      </c>
      <c r="C18" s="109">
        <v>0.46</v>
      </c>
      <c r="D18" s="110">
        <v>257939.82500000001</v>
      </c>
      <c r="E18" s="110">
        <v>51587.965000000004</v>
      </c>
    </row>
    <row r="19" spans="1:30" x14ac:dyDescent="0.3">
      <c r="A19" s="107" t="s">
        <v>608</v>
      </c>
      <c r="B19" s="108">
        <v>3</v>
      </c>
      <c r="C19" s="109">
        <v>0.11</v>
      </c>
      <c r="D19" s="110">
        <v>61681.262499999997</v>
      </c>
      <c r="E19" s="110">
        <v>20560.420833333334</v>
      </c>
    </row>
    <row r="20" spans="1:30" x14ac:dyDescent="0.3">
      <c r="B20" s="1" t="s">
        <v>467</v>
      </c>
      <c r="C20" s="3">
        <v>1</v>
      </c>
      <c r="D20" s="112">
        <v>560738.75</v>
      </c>
    </row>
    <row r="23" spans="1:30" x14ac:dyDescent="0.3">
      <c r="A23" s="100" t="s">
        <v>769</v>
      </c>
      <c r="B23" s="769">
        <v>602757</v>
      </c>
      <c r="Q23" s="115"/>
    </row>
    <row r="24" spans="1:30" x14ac:dyDescent="0.3">
      <c r="A24" s="714" t="s">
        <v>579</v>
      </c>
      <c r="B24" s="770">
        <v>302394</v>
      </c>
      <c r="E24" s="1" t="s">
        <v>470</v>
      </c>
      <c r="F24" s="2" t="s">
        <v>845</v>
      </c>
      <c r="H24" s="1" t="s">
        <v>472</v>
      </c>
      <c r="J24" s="304">
        <v>0.52</v>
      </c>
      <c r="K24" s="304"/>
      <c r="L24" s="304"/>
    </row>
    <row r="25" spans="1:30" x14ac:dyDescent="0.3">
      <c r="E25" s="1" t="s">
        <v>473</v>
      </c>
      <c r="F25" s="2" t="s">
        <v>415</v>
      </c>
      <c r="H25" s="1" t="s">
        <v>473</v>
      </c>
      <c r="J25" s="1">
        <v>18</v>
      </c>
      <c r="K25" s="1"/>
      <c r="L25" s="1"/>
    </row>
    <row r="26" spans="1:30" x14ac:dyDescent="0.3">
      <c r="E26" s="1" t="s">
        <v>475</v>
      </c>
      <c r="F26" s="2" t="s">
        <v>1014</v>
      </c>
      <c r="H26" s="1" t="s">
        <v>475</v>
      </c>
      <c r="J26" s="95">
        <v>935</v>
      </c>
      <c r="K26" s="95"/>
      <c r="L26" s="95"/>
      <c r="P26" s="115"/>
    </row>
    <row r="27" spans="1:30" x14ac:dyDescent="0.3">
      <c r="E27" s="1" t="s">
        <v>477</v>
      </c>
      <c r="F27" s="2" t="s">
        <v>1015</v>
      </c>
      <c r="H27" s="1" t="s">
        <v>477</v>
      </c>
      <c r="J27" s="95">
        <v>2826169</v>
      </c>
      <c r="K27" s="95"/>
      <c r="L27" s="95"/>
      <c r="O27" s="98"/>
      <c r="S27" s="116"/>
    </row>
    <row r="28" spans="1:30" ht="18" x14ac:dyDescent="0.35">
      <c r="A28" s="1037" t="s">
        <v>479</v>
      </c>
      <c r="O28" s="98"/>
      <c r="P28" s="117"/>
    </row>
    <row r="29" spans="1:30" x14ac:dyDescent="0.3">
      <c r="O29" s="119"/>
    </row>
    <row r="30" spans="1:30" x14ac:dyDescent="0.3">
      <c r="A30" s="2587" t="s">
        <v>480</v>
      </c>
      <c r="B30" s="2588"/>
      <c r="C30" s="2588"/>
      <c r="D30" s="2588"/>
      <c r="E30" s="2588"/>
      <c r="F30" s="2588"/>
      <c r="G30" s="2588"/>
      <c r="H30" s="2588"/>
      <c r="I30" s="2588"/>
      <c r="J30" s="2588"/>
      <c r="K30" s="2588"/>
      <c r="L30" s="2588"/>
      <c r="M30" s="2588"/>
      <c r="N30" s="2588"/>
      <c r="O30" s="2588"/>
      <c r="P30" s="2588"/>
      <c r="Q30" s="2588"/>
      <c r="R30" s="2589"/>
      <c r="S30" s="2564" t="s">
        <v>584</v>
      </c>
      <c r="T30" s="2564"/>
      <c r="U30" s="2564"/>
      <c r="V30" s="2564"/>
      <c r="W30" s="2564"/>
      <c r="X30" s="2564"/>
      <c r="Y30" s="2564"/>
      <c r="Z30" s="2564"/>
      <c r="AA30" s="2564"/>
      <c r="AB30" s="2564"/>
      <c r="AC30" s="2564"/>
      <c r="AD30" s="2576"/>
    </row>
    <row r="31" spans="1:30" ht="18" x14ac:dyDescent="0.3">
      <c r="A31" s="2722" t="s">
        <v>482</v>
      </c>
      <c r="B31" s="2723" t="s">
        <v>483</v>
      </c>
      <c r="C31" s="2723" t="s">
        <v>484</v>
      </c>
      <c r="D31" s="2723" t="s">
        <v>485</v>
      </c>
      <c r="E31" s="2723" t="s">
        <v>486</v>
      </c>
      <c r="F31" s="2724" t="s">
        <v>487</v>
      </c>
      <c r="G31" s="2723" t="s">
        <v>488</v>
      </c>
      <c r="H31" s="2723" t="s">
        <v>489</v>
      </c>
      <c r="I31" s="1381" t="s">
        <v>490</v>
      </c>
      <c r="J31" s="1381"/>
      <c r="K31" s="1381"/>
      <c r="L31" s="1381"/>
      <c r="M31" s="1382" t="s">
        <v>491</v>
      </c>
      <c r="N31" s="1383" t="s">
        <v>492</v>
      </c>
      <c r="O31" s="1384" t="s">
        <v>493</v>
      </c>
      <c r="P31" s="1383" t="s">
        <v>492</v>
      </c>
      <c r="Q31" s="1383" t="s">
        <v>494</v>
      </c>
      <c r="R31" s="1385" t="s">
        <v>495</v>
      </c>
      <c r="S31" s="1052" t="s">
        <v>496</v>
      </c>
      <c r="T31" s="2580" t="s">
        <v>497</v>
      </c>
      <c r="U31" s="2580"/>
      <c r="V31" s="2580"/>
      <c r="W31" s="2580"/>
      <c r="X31" s="2580"/>
      <c r="Y31" s="2608" t="s">
        <v>498</v>
      </c>
      <c r="Z31" s="2607"/>
      <c r="AA31" s="2608" t="s">
        <v>499</v>
      </c>
      <c r="AB31" s="2607"/>
      <c r="AC31" s="2607"/>
      <c r="AD31" s="2609"/>
    </row>
    <row r="32" spans="1:30" ht="18" x14ac:dyDescent="0.3">
      <c r="A32" s="2722"/>
      <c r="B32" s="2723"/>
      <c r="C32" s="2723"/>
      <c r="D32" s="2723"/>
      <c r="E32" s="2723"/>
      <c r="F32" s="2724"/>
      <c r="G32" s="2723"/>
      <c r="H32" s="2723"/>
      <c r="I32" s="1386" t="s">
        <v>500</v>
      </c>
      <c r="J32" s="1386" t="s">
        <v>501</v>
      </c>
      <c r="K32" s="1386" t="s">
        <v>502</v>
      </c>
      <c r="L32" s="1386" t="s">
        <v>503</v>
      </c>
      <c r="M32" s="1382" t="s">
        <v>504</v>
      </c>
      <c r="N32" s="1383" t="s">
        <v>505</v>
      </c>
      <c r="O32" s="1384" t="s">
        <v>506</v>
      </c>
      <c r="P32" s="1383" t="s">
        <v>507</v>
      </c>
      <c r="Q32" s="1383" t="s">
        <v>507</v>
      </c>
      <c r="R32" s="1385"/>
      <c r="S32" s="1052" t="s">
        <v>508</v>
      </c>
      <c r="T32" s="2581"/>
      <c r="U32" s="2581"/>
      <c r="V32" s="2581"/>
      <c r="W32" s="2581"/>
      <c r="X32" s="2581"/>
      <c r="Y32" s="2787"/>
      <c r="Z32" s="2788"/>
      <c r="AA32" s="2787"/>
      <c r="AB32" s="2788"/>
      <c r="AC32" s="2788"/>
      <c r="AD32" s="2789"/>
    </row>
    <row r="33" spans="1:30" ht="18" x14ac:dyDescent="0.3">
      <c r="A33" s="2790" t="s">
        <v>509</v>
      </c>
      <c r="B33" s="2791"/>
      <c r="C33" s="2791"/>
      <c r="D33" s="2791"/>
      <c r="E33" s="2791"/>
      <c r="F33" s="2791"/>
      <c r="G33" s="2791"/>
      <c r="H33" s="2791"/>
      <c r="I33" s="2791"/>
      <c r="J33" s="2791"/>
      <c r="K33" s="2791"/>
      <c r="L33" s="2791"/>
      <c r="M33" s="2791"/>
      <c r="N33" s="2791"/>
      <c r="O33" s="2791"/>
      <c r="P33" s="2791"/>
      <c r="Q33" s="2791"/>
      <c r="R33" s="2791"/>
      <c r="S33" s="1523"/>
      <c r="T33" s="1524" t="s">
        <v>510</v>
      </c>
      <c r="U33" s="1525" t="s">
        <v>11</v>
      </c>
      <c r="V33" s="1525" t="s">
        <v>511</v>
      </c>
      <c r="W33" s="1525" t="s">
        <v>512</v>
      </c>
      <c r="X33" s="1526" t="s">
        <v>513</v>
      </c>
      <c r="Y33" s="1527" t="s">
        <v>514</v>
      </c>
      <c r="Z33" s="1528" t="s">
        <v>515</v>
      </c>
      <c r="AA33" s="1527" t="s">
        <v>204</v>
      </c>
      <c r="AB33" s="1528" t="s">
        <v>205</v>
      </c>
      <c r="AC33" s="1528" t="s">
        <v>206</v>
      </c>
      <c r="AD33" s="1529"/>
    </row>
    <row r="34" spans="1:30" x14ac:dyDescent="0.3">
      <c r="A34" s="172"/>
      <c r="B34" s="157"/>
      <c r="C34" s="157"/>
      <c r="D34" s="157"/>
      <c r="E34" s="157"/>
      <c r="F34" s="158"/>
      <c r="G34" s="157"/>
      <c r="H34" s="157"/>
      <c r="I34" s="188"/>
      <c r="L34" s="286"/>
      <c r="M34" s="163"/>
      <c r="N34" s="166"/>
      <c r="O34" s="173"/>
      <c r="P34" s="166"/>
      <c r="Q34" s="166"/>
      <c r="R34" s="167"/>
      <c r="S34" s="166"/>
      <c r="T34" s="188"/>
      <c r="X34" s="286"/>
      <c r="Y34" s="280"/>
      <c r="AA34" s="280"/>
      <c r="AD34" s="152"/>
    </row>
    <row r="35" spans="1:30" x14ac:dyDescent="0.3">
      <c r="A35" s="157"/>
      <c r="B35" s="157"/>
      <c r="C35" s="157"/>
      <c r="D35" s="157"/>
      <c r="E35" s="157"/>
      <c r="F35" s="158"/>
      <c r="G35" s="157"/>
      <c r="H35" s="157"/>
      <c r="I35" s="188"/>
      <c r="L35" s="286"/>
      <c r="M35" s="163"/>
      <c r="N35" s="164"/>
      <c r="O35" s="165"/>
      <c r="P35" s="164"/>
      <c r="Q35" s="164"/>
      <c r="R35" s="1046"/>
      <c r="S35" s="164"/>
      <c r="T35" s="394"/>
      <c r="U35" s="169"/>
      <c r="V35" s="169"/>
      <c r="W35" s="169"/>
      <c r="X35" s="395"/>
      <c r="Y35" s="282"/>
      <c r="Z35" s="169"/>
      <c r="AA35" s="282"/>
      <c r="AD35" s="152"/>
    </row>
    <row r="36" spans="1:30" x14ac:dyDescent="0.3">
      <c r="A36" s="157" t="s">
        <v>1016</v>
      </c>
      <c r="B36" s="157" t="s">
        <v>207</v>
      </c>
      <c r="C36" s="157" t="s">
        <v>1017</v>
      </c>
      <c r="D36" s="157" t="s">
        <v>208</v>
      </c>
      <c r="E36" s="157" t="s">
        <v>520</v>
      </c>
      <c r="F36" s="158" t="s">
        <v>891</v>
      </c>
      <c r="G36" s="157">
        <v>7</v>
      </c>
      <c r="H36" s="157" t="s">
        <v>63</v>
      </c>
      <c r="I36" s="175">
        <v>7</v>
      </c>
      <c r="J36" s="688"/>
      <c r="L36" s="286"/>
      <c r="M36" s="163">
        <v>1</v>
      </c>
      <c r="N36" s="166">
        <v>1800</v>
      </c>
      <c r="O36" s="173">
        <v>0.15</v>
      </c>
      <c r="P36" s="166">
        <f t="shared" ref="P36" si="0">N36*(1-O36)</f>
        <v>1530</v>
      </c>
      <c r="Q36" s="166">
        <f t="shared" ref="Q36:Q42" si="1">P36*M36*G36</f>
        <v>10710</v>
      </c>
      <c r="R36" s="184">
        <f t="shared" ref="R36:R42" si="2">Q36/$Q$47</f>
        <v>0.13134980009320807</v>
      </c>
      <c r="S36" s="503">
        <f t="shared" ref="S36:S45" si="3">Q36*2</f>
        <v>21420</v>
      </c>
      <c r="T36" s="394">
        <f t="shared" ref="T36:T38" si="4">S36</f>
        <v>21420</v>
      </c>
      <c r="X36" s="286"/>
      <c r="Y36" s="282">
        <f>S36</f>
        <v>21420</v>
      </c>
      <c r="Z36" s="169"/>
      <c r="AA36" s="282">
        <f>S36</f>
        <v>21420</v>
      </c>
      <c r="AD36" s="152"/>
    </row>
    <row r="37" spans="1:30" x14ac:dyDescent="0.3">
      <c r="A37" s="157" t="s">
        <v>1016</v>
      </c>
      <c r="B37" s="157" t="s">
        <v>207</v>
      </c>
      <c r="C37" s="157" t="s">
        <v>1017</v>
      </c>
      <c r="D37" s="157" t="s">
        <v>102</v>
      </c>
      <c r="E37" s="157" t="s">
        <v>518</v>
      </c>
      <c r="F37" s="158" t="s">
        <v>521</v>
      </c>
      <c r="G37" s="157">
        <v>2</v>
      </c>
      <c r="H37" s="157" t="s">
        <v>24</v>
      </c>
      <c r="I37" s="2445">
        <v>2</v>
      </c>
      <c r="J37" s="726"/>
      <c r="K37" s="726"/>
      <c r="L37" s="727"/>
      <c r="M37" s="163">
        <v>1</v>
      </c>
      <c r="N37" s="166">
        <v>5000</v>
      </c>
      <c r="O37" s="173">
        <v>0.15</v>
      </c>
      <c r="P37" s="166">
        <f>N37*(1-O37)</f>
        <v>4250</v>
      </c>
      <c r="Q37" s="166">
        <f t="shared" si="1"/>
        <v>8500</v>
      </c>
      <c r="R37" s="167">
        <f t="shared" si="2"/>
        <v>0.10424587308984767</v>
      </c>
      <c r="S37" s="503">
        <f t="shared" si="3"/>
        <v>17000</v>
      </c>
      <c r="T37" s="394">
        <f t="shared" si="4"/>
        <v>17000</v>
      </c>
      <c r="X37" s="286"/>
      <c r="Y37" s="282"/>
      <c r="Z37" s="169">
        <f>S37</f>
        <v>17000</v>
      </c>
      <c r="AA37" s="282">
        <f t="shared" ref="AA37:AA38" si="5">S37</f>
        <v>17000</v>
      </c>
      <c r="AD37" s="152"/>
    </row>
    <row r="38" spans="1:30" x14ac:dyDescent="0.3">
      <c r="A38" s="157" t="s">
        <v>1016</v>
      </c>
      <c r="B38" s="157" t="s">
        <v>207</v>
      </c>
      <c r="C38" s="157" t="s">
        <v>1017</v>
      </c>
      <c r="D38" s="157" t="s">
        <v>26</v>
      </c>
      <c r="E38" s="157" t="s">
        <v>520</v>
      </c>
      <c r="F38" s="158" t="s">
        <v>523</v>
      </c>
      <c r="G38" s="157">
        <v>2</v>
      </c>
      <c r="H38" s="157" t="s">
        <v>24</v>
      </c>
      <c r="I38" s="182">
        <v>2</v>
      </c>
      <c r="J38" s="183"/>
      <c r="K38" s="183"/>
      <c r="L38" s="2239"/>
      <c r="M38" s="163">
        <v>1</v>
      </c>
      <c r="N38" s="166">
        <v>5500</v>
      </c>
      <c r="O38" s="173">
        <v>0.15</v>
      </c>
      <c r="P38" s="166">
        <f t="shared" ref="P38:P42" si="6">N38*(1-O38)</f>
        <v>4675</v>
      </c>
      <c r="Q38" s="166">
        <f t="shared" si="1"/>
        <v>9350</v>
      </c>
      <c r="R38" s="184">
        <f t="shared" si="2"/>
        <v>0.11467046039883244</v>
      </c>
      <c r="S38" s="503">
        <f t="shared" si="3"/>
        <v>18700</v>
      </c>
      <c r="T38" s="394">
        <f t="shared" si="4"/>
        <v>18700</v>
      </c>
      <c r="X38" s="286"/>
      <c r="Y38" s="282">
        <f>S38</f>
        <v>18700</v>
      </c>
      <c r="Z38" s="169"/>
      <c r="AA38" s="282">
        <f t="shared" si="5"/>
        <v>18700</v>
      </c>
      <c r="AB38" s="169"/>
      <c r="AD38" s="152" t="s">
        <v>1018</v>
      </c>
    </row>
    <row r="39" spans="1:30" x14ac:dyDescent="0.3">
      <c r="A39" s="157" t="s">
        <v>1016</v>
      </c>
      <c r="B39" s="157" t="s">
        <v>209</v>
      </c>
      <c r="C39" s="157" t="s">
        <v>1017</v>
      </c>
      <c r="D39" s="157" t="s">
        <v>102</v>
      </c>
      <c r="E39" s="157" t="s">
        <v>518</v>
      </c>
      <c r="F39" s="158" t="s">
        <v>521</v>
      </c>
      <c r="G39" s="157">
        <v>2</v>
      </c>
      <c r="H39" s="157" t="s">
        <v>22</v>
      </c>
      <c r="I39" s="182">
        <v>2</v>
      </c>
      <c r="J39" s="183"/>
      <c r="K39" s="183"/>
      <c r="L39" s="2239"/>
      <c r="M39" s="163">
        <v>1</v>
      </c>
      <c r="N39" s="166">
        <v>18150</v>
      </c>
      <c r="O39" s="173">
        <v>0.56000000000000005</v>
      </c>
      <c r="P39" s="166">
        <f t="shared" si="6"/>
        <v>7985.9999999999991</v>
      </c>
      <c r="Q39" s="166">
        <f t="shared" si="1"/>
        <v>15971.999999999998</v>
      </c>
      <c r="R39" s="167">
        <f t="shared" si="2"/>
        <v>0.19588412764600552</v>
      </c>
      <c r="S39" s="503">
        <f>Q39*2</f>
        <v>31943.999999999996</v>
      </c>
      <c r="T39" s="394">
        <f>S39</f>
        <v>31943.999999999996</v>
      </c>
      <c r="X39" s="286"/>
      <c r="Y39" s="282"/>
      <c r="Z39" s="169">
        <f>S39</f>
        <v>31943.999999999996</v>
      </c>
      <c r="AA39" s="280"/>
      <c r="AB39" s="169">
        <f>S39</f>
        <v>31943.999999999996</v>
      </c>
      <c r="AD39" s="152"/>
    </row>
    <row r="40" spans="1:30" x14ac:dyDescent="0.3">
      <c r="A40" s="157" t="s">
        <v>1016</v>
      </c>
      <c r="B40" s="157" t="s">
        <v>210</v>
      </c>
      <c r="C40" s="157" t="s">
        <v>1017</v>
      </c>
      <c r="D40" s="157" t="s">
        <v>211</v>
      </c>
      <c r="E40" s="157" t="s">
        <v>520</v>
      </c>
      <c r="F40" s="158" t="s">
        <v>169</v>
      </c>
      <c r="G40" s="157">
        <v>5</v>
      </c>
      <c r="H40" s="157" t="s">
        <v>24</v>
      </c>
      <c r="I40" s="175">
        <v>5</v>
      </c>
      <c r="J40" s="688"/>
      <c r="L40" s="286"/>
      <c r="M40" s="163">
        <v>1</v>
      </c>
      <c r="N40" s="166">
        <v>2732</v>
      </c>
      <c r="O40" s="173">
        <v>0.6</v>
      </c>
      <c r="P40" s="166">
        <f t="shared" si="6"/>
        <v>1092.8</v>
      </c>
      <c r="Q40" s="166">
        <f t="shared" si="1"/>
        <v>5464</v>
      </c>
      <c r="R40" s="184">
        <f t="shared" si="2"/>
        <v>6.7011700066226795E-2</v>
      </c>
      <c r="S40" s="503">
        <f>Q40*2</f>
        <v>10928</v>
      </c>
      <c r="T40" s="394"/>
      <c r="U40" s="169">
        <f>S40</f>
        <v>10928</v>
      </c>
      <c r="V40" s="169"/>
      <c r="X40" s="286"/>
      <c r="Y40" s="282">
        <f>S40</f>
        <v>10928</v>
      </c>
      <c r="Z40" s="169"/>
      <c r="AA40" s="280"/>
      <c r="AB40" s="169"/>
      <c r="AC40" s="169">
        <f>S40</f>
        <v>10928</v>
      </c>
      <c r="AD40" s="152"/>
    </row>
    <row r="41" spans="1:30" x14ac:dyDescent="0.3">
      <c r="A41" s="157" t="s">
        <v>1016</v>
      </c>
      <c r="B41" s="157" t="s">
        <v>210</v>
      </c>
      <c r="C41" s="157" t="s">
        <v>1017</v>
      </c>
      <c r="D41" s="157" t="s">
        <v>102</v>
      </c>
      <c r="E41" s="157" t="s">
        <v>518</v>
      </c>
      <c r="F41" s="158" t="s">
        <v>521</v>
      </c>
      <c r="G41" s="157">
        <v>1</v>
      </c>
      <c r="H41" s="157" t="s">
        <v>24</v>
      </c>
      <c r="I41" s="182">
        <v>1</v>
      </c>
      <c r="J41" s="183"/>
      <c r="K41" s="183"/>
      <c r="L41" s="2239"/>
      <c r="M41" s="163">
        <v>1</v>
      </c>
      <c r="N41" s="166">
        <v>19087</v>
      </c>
      <c r="O41" s="173">
        <v>0.6</v>
      </c>
      <c r="P41" s="166">
        <f t="shared" si="6"/>
        <v>7634.8</v>
      </c>
      <c r="Q41" s="166">
        <f t="shared" si="1"/>
        <v>7634.8</v>
      </c>
      <c r="R41" s="167">
        <f t="shared" si="2"/>
        <v>9.3634869631337533E-2</v>
      </c>
      <c r="S41" s="503">
        <f>Q41*2</f>
        <v>15269.6</v>
      </c>
      <c r="T41" s="394">
        <f>S41</f>
        <v>15269.6</v>
      </c>
      <c r="V41" s="169"/>
      <c r="X41" s="286"/>
      <c r="Y41" s="282"/>
      <c r="Z41" s="169">
        <f>S41</f>
        <v>15269.6</v>
      </c>
      <c r="AA41" s="280"/>
      <c r="AC41" s="169">
        <f t="shared" ref="AC41:AC42" si="7">S41</f>
        <v>15269.6</v>
      </c>
      <c r="AD41" s="152"/>
    </row>
    <row r="42" spans="1:30" x14ac:dyDescent="0.3">
      <c r="A42" s="157" t="s">
        <v>1016</v>
      </c>
      <c r="B42" s="157" t="s">
        <v>210</v>
      </c>
      <c r="C42" s="157" t="s">
        <v>1019</v>
      </c>
      <c r="D42" s="157" t="s">
        <v>29</v>
      </c>
      <c r="E42" s="157" t="s">
        <v>524</v>
      </c>
      <c r="F42" s="158" t="s">
        <v>589</v>
      </c>
      <c r="G42" s="157">
        <v>1</v>
      </c>
      <c r="H42" s="157" t="s">
        <v>24</v>
      </c>
      <c r="I42" s="182">
        <v>1</v>
      </c>
      <c r="J42" s="183"/>
      <c r="K42" s="183"/>
      <c r="L42" s="2239"/>
      <c r="M42" s="163">
        <v>1</v>
      </c>
      <c r="N42" s="166">
        <v>27268</v>
      </c>
      <c r="O42" s="173">
        <v>0.6</v>
      </c>
      <c r="P42" s="166">
        <f t="shared" si="6"/>
        <v>10907.2</v>
      </c>
      <c r="Q42" s="166">
        <f t="shared" si="1"/>
        <v>10907.2</v>
      </c>
      <c r="R42" s="184">
        <f t="shared" si="2"/>
        <v>0.13376830434889256</v>
      </c>
      <c r="S42" s="503">
        <f>Q42*2</f>
        <v>21814.400000000001</v>
      </c>
      <c r="T42" s="394">
        <f>S42</f>
        <v>21814.400000000001</v>
      </c>
      <c r="V42" s="169"/>
      <c r="X42" s="286"/>
      <c r="Y42" s="282">
        <f>S42</f>
        <v>21814.400000000001</v>
      </c>
      <c r="Z42" s="169"/>
      <c r="AA42" s="280"/>
      <c r="AC42" s="169">
        <f t="shared" si="7"/>
        <v>21814.400000000001</v>
      </c>
      <c r="AD42" s="171"/>
    </row>
    <row r="43" spans="1:30" x14ac:dyDescent="0.3">
      <c r="A43" s="172"/>
      <c r="B43" s="157"/>
      <c r="C43" s="190"/>
      <c r="D43" s="190"/>
      <c r="E43" s="190"/>
      <c r="F43" s="191"/>
      <c r="G43" s="190"/>
      <c r="H43" s="190"/>
      <c r="I43" s="245"/>
      <c r="J43" s="245"/>
      <c r="K43" s="245"/>
      <c r="L43" s="287"/>
      <c r="M43" s="190"/>
      <c r="N43" s="194"/>
      <c r="O43" s="195"/>
      <c r="P43" s="194"/>
      <c r="Q43" s="166"/>
      <c r="R43" s="393"/>
      <c r="S43" s="503"/>
      <c r="T43" s="188"/>
      <c r="X43" s="286"/>
      <c r="Y43" s="280"/>
      <c r="Z43" s="169"/>
      <c r="AA43" s="280"/>
      <c r="AD43" s="152"/>
    </row>
    <row r="44" spans="1:30" x14ac:dyDescent="0.3">
      <c r="A44" s="108" t="s">
        <v>1020</v>
      </c>
      <c r="B44" s="108" t="s">
        <v>528</v>
      </c>
      <c r="C44" s="289"/>
      <c r="D44" s="252"/>
      <c r="E44" s="252"/>
      <c r="F44" s="253"/>
      <c r="G44" s="252"/>
      <c r="H44" s="252"/>
      <c r="I44" s="254"/>
      <c r="J44" s="254"/>
      <c r="K44" s="254"/>
      <c r="L44" s="254"/>
      <c r="M44" s="252"/>
      <c r="N44" s="255"/>
      <c r="O44" s="256"/>
      <c r="P44" s="290"/>
      <c r="Q44" s="257"/>
      <c r="R44" s="291">
        <f>Q44/Q47</f>
        <v>0</v>
      </c>
      <c r="S44" s="503">
        <f>Q44*2</f>
        <v>0</v>
      </c>
      <c r="T44" s="188"/>
      <c r="W44" s="169"/>
      <c r="X44" s="286"/>
      <c r="Y44" s="282"/>
      <c r="AA44" s="280"/>
      <c r="AD44" s="152"/>
    </row>
    <row r="45" spans="1:30" x14ac:dyDescent="0.3">
      <c r="A45" s="108" t="s">
        <v>1020</v>
      </c>
      <c r="B45" s="108" t="s">
        <v>529</v>
      </c>
      <c r="C45" s="289"/>
      <c r="D45" s="252"/>
      <c r="E45" s="252"/>
      <c r="F45" s="253"/>
      <c r="G45" s="252"/>
      <c r="H45" s="252"/>
      <c r="I45" s="254"/>
      <c r="J45" s="254"/>
      <c r="K45" s="254"/>
      <c r="L45" s="254"/>
      <c r="M45" s="252"/>
      <c r="N45" s="255"/>
      <c r="O45" s="256"/>
      <c r="P45" s="290"/>
      <c r="Q45" s="257">
        <v>13000</v>
      </c>
      <c r="R45" s="291">
        <f>Q45/Q47</f>
        <v>0.15943486472564938</v>
      </c>
      <c r="S45" s="503">
        <f t="shared" si="3"/>
        <v>26000</v>
      </c>
      <c r="T45" s="188"/>
      <c r="X45" s="395">
        <f>S45</f>
        <v>26000</v>
      </c>
      <c r="Y45" s="280"/>
      <c r="AA45" s="280"/>
      <c r="AD45" s="152"/>
    </row>
    <row r="46" spans="1:30" x14ac:dyDescent="0.3">
      <c r="I46" s="115">
        <f>I47/M47</f>
        <v>1</v>
      </c>
      <c r="S46" s="166"/>
      <c r="T46" s="188"/>
      <c r="X46" s="286"/>
      <c r="Y46" s="280"/>
      <c r="AA46" s="280"/>
      <c r="AD46" s="152"/>
    </row>
    <row r="47" spans="1:30" x14ac:dyDescent="0.3">
      <c r="A47" s="212" t="s">
        <v>531</v>
      </c>
      <c r="B47" s="213"/>
      <c r="C47" s="213"/>
      <c r="D47" s="213"/>
      <c r="E47" s="213"/>
      <c r="F47" s="214"/>
      <c r="G47" s="213"/>
      <c r="H47" s="213"/>
      <c r="I47" s="213">
        <f>I42+I41+I40+I39+I38+I37+I36</f>
        <v>20</v>
      </c>
      <c r="J47" s="213"/>
      <c r="K47" s="213"/>
      <c r="L47" s="213"/>
      <c r="M47" s="213">
        <f>SUM(I47:L47)</f>
        <v>20</v>
      </c>
      <c r="N47" s="215"/>
      <c r="O47" s="216"/>
      <c r="P47" s="215"/>
      <c r="Q47" s="481">
        <f>SUM(Q35:Q46)</f>
        <v>81538</v>
      </c>
      <c r="R47" s="216">
        <f>SUM(R35:R45)</f>
        <v>0.99999999999999989</v>
      </c>
      <c r="S47" s="1531">
        <f>SUM(S35:S46)</f>
        <v>163076</v>
      </c>
      <c r="T47" s="509">
        <f>SUM(T35:T45)</f>
        <v>126148</v>
      </c>
      <c r="U47" s="294">
        <f t="shared" ref="U47:X47" si="8">SUM(U35:U45)</f>
        <v>10928</v>
      </c>
      <c r="V47" s="294">
        <f t="shared" si="8"/>
        <v>0</v>
      </c>
      <c r="W47" s="294">
        <f t="shared" si="8"/>
        <v>0</v>
      </c>
      <c r="X47" s="294">
        <f t="shared" si="8"/>
        <v>26000</v>
      </c>
      <c r="Y47" s="296">
        <f>SUM(Y35:Y46)</f>
        <v>72862.399999999994</v>
      </c>
      <c r="Z47" s="294">
        <f>SUM(Z35:Z46)</f>
        <v>64213.599999999999</v>
      </c>
      <c r="AA47" s="293">
        <f>SUM(AA34:AA46)</f>
        <v>57120</v>
      </c>
      <c r="AB47" s="294">
        <f>SUM(AB34:AB46)</f>
        <v>31943.999999999996</v>
      </c>
      <c r="AC47" s="294">
        <f>SUM(AC34:AC46)</f>
        <v>48012</v>
      </c>
      <c r="AD47" s="295">
        <f>SUM(AD34:AD46)</f>
        <v>0</v>
      </c>
    </row>
    <row r="48" spans="1:30" x14ac:dyDescent="0.3">
      <c r="A48" s="228" t="s">
        <v>532</v>
      </c>
      <c r="B48" s="229"/>
      <c r="C48" s="229"/>
      <c r="D48" s="229"/>
      <c r="E48" s="229"/>
      <c r="F48" s="230"/>
      <c r="G48" s="229"/>
      <c r="H48" s="229"/>
      <c r="I48" s="229">
        <f>I42+I41+I40+I39+I38+I37+I36</f>
        <v>20</v>
      </c>
      <c r="J48" s="229">
        <f>I48</f>
        <v>20</v>
      </c>
      <c r="K48" s="229">
        <f>I42+I41+I39+I38+I37</f>
        <v>8</v>
      </c>
      <c r="L48" s="229">
        <f>K48</f>
        <v>8</v>
      </c>
      <c r="M48" s="229">
        <f>SUM(I48:L48)</f>
        <v>56</v>
      </c>
      <c r="N48" s="231"/>
      <c r="O48" s="232"/>
      <c r="P48" s="231"/>
      <c r="Q48" s="231"/>
      <c r="R48" s="232"/>
      <c r="S48" s="1532"/>
      <c r="T48" s="1491">
        <f>T47/S47</f>
        <v>0.77355343520812381</v>
      </c>
      <c r="U48" s="236">
        <f>U47/S47</f>
        <v>6.7011700066226795E-2</v>
      </c>
      <c r="V48" s="1533">
        <f>V47/S47</f>
        <v>0</v>
      </c>
      <c r="W48" s="236">
        <f>W47/S47</f>
        <v>0</v>
      </c>
      <c r="X48" s="236">
        <f>X47/S47</f>
        <v>0.15943486472564938</v>
      </c>
      <c r="Y48" s="298">
        <f>Y47/S47</f>
        <v>0.44680026490715979</v>
      </c>
      <c r="Z48" s="236">
        <f>Z47/S47</f>
        <v>0.39376487036719077</v>
      </c>
      <c r="AA48" s="743"/>
      <c r="AB48" s="487"/>
      <c r="AC48" s="487"/>
      <c r="AD48" s="242"/>
    </row>
    <row r="49" spans="1:31" x14ac:dyDescent="0.3">
      <c r="A49" s="243" t="s">
        <v>533</v>
      </c>
      <c r="B49" s="193"/>
      <c r="C49" s="193"/>
      <c r="D49" s="193"/>
      <c r="E49" s="193"/>
      <c r="F49" s="244"/>
      <c r="G49" s="193"/>
      <c r="H49" s="196"/>
      <c r="I49" s="2182">
        <f>I48/$M$48</f>
        <v>0.35714285714285715</v>
      </c>
      <c r="J49" s="2182">
        <f t="shared" ref="J49:L49" si="9">J48/$M$48</f>
        <v>0.35714285714285715</v>
      </c>
      <c r="K49" s="2182">
        <f t="shared" si="9"/>
        <v>0.14285714285714285</v>
      </c>
      <c r="L49" s="2182">
        <f t="shared" si="9"/>
        <v>0.14285714285714285</v>
      </c>
      <c r="M49" s="193"/>
      <c r="N49" s="246"/>
      <c r="O49" s="196"/>
      <c r="P49" s="246"/>
      <c r="Q49" s="194">
        <f>T47/2</f>
        <v>63074</v>
      </c>
      <c r="R49" s="247">
        <f>Q49/Q54</f>
        <v>0.77355343520812381</v>
      </c>
      <c r="X49" s="248"/>
      <c r="Y49" s="357">
        <f>I35+I36+K40+K42</f>
        <v>7</v>
      </c>
      <c r="Z49" s="358">
        <f>I37+I38+K39+I41+L39</f>
        <v>5</v>
      </c>
    </row>
    <row r="50" spans="1:31" x14ac:dyDescent="0.3">
      <c r="A50" s="251" t="s">
        <v>11</v>
      </c>
      <c r="B50" s="252"/>
      <c r="C50" s="252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55"/>
      <c r="Q50" s="257">
        <f>U47/2</f>
        <v>5464</v>
      </c>
      <c r="R50" s="262">
        <f>Q50/Q54</f>
        <v>6.7011700066226795E-2</v>
      </c>
      <c r="S50" s="1050">
        <f>Q47/M47</f>
        <v>4076.9</v>
      </c>
      <c r="T50" s="1051" t="s">
        <v>535</v>
      </c>
      <c r="Y50" s="195">
        <f>Y49/M47</f>
        <v>0.35</v>
      </c>
      <c r="Z50" s="247">
        <f>Z49/M47</f>
        <v>0.25</v>
      </c>
    </row>
    <row r="51" spans="1:31" x14ac:dyDescent="0.3">
      <c r="A51" s="251" t="s">
        <v>536</v>
      </c>
      <c r="B51" s="252"/>
      <c r="C51" s="252"/>
      <c r="D51" s="252"/>
      <c r="E51" s="252"/>
      <c r="F51" s="253"/>
      <c r="G51" s="252"/>
      <c r="H51" s="252"/>
      <c r="I51" s="254"/>
      <c r="J51" s="254"/>
      <c r="K51" s="254"/>
      <c r="L51" s="254"/>
      <c r="M51" s="252"/>
      <c r="N51" s="255"/>
      <c r="O51" s="256"/>
      <c r="P51" s="255"/>
      <c r="Q51" s="257">
        <f>V47/2</f>
        <v>0</v>
      </c>
      <c r="R51" s="262">
        <f>Q51/Q54</f>
        <v>0</v>
      </c>
      <c r="W51" s="99"/>
      <c r="Y51" s="2551" t="s">
        <v>537</v>
      </c>
      <c r="Z51" s="2551"/>
    </row>
    <row r="52" spans="1:31" x14ac:dyDescent="0.3">
      <c r="A52" s="251" t="s">
        <v>529</v>
      </c>
      <c r="B52" s="252"/>
      <c r="C52" s="252"/>
      <c r="D52" s="252"/>
      <c r="E52" s="252"/>
      <c r="F52" s="253"/>
      <c r="G52" s="252"/>
      <c r="H52" s="252"/>
      <c r="I52" s="254"/>
      <c r="J52" s="254"/>
      <c r="K52" s="254"/>
      <c r="L52" s="254"/>
      <c r="M52" s="252"/>
      <c r="N52" s="255"/>
      <c r="O52" s="256"/>
      <c r="P52" s="255"/>
      <c r="Q52" s="257">
        <f>X47/2</f>
        <v>13000</v>
      </c>
      <c r="R52" s="262">
        <f>Q52/Q54</f>
        <v>0.15943486472564938</v>
      </c>
    </row>
    <row r="53" spans="1:31" x14ac:dyDescent="0.3">
      <c r="A53" s="251" t="s">
        <v>528</v>
      </c>
      <c r="B53" s="252"/>
      <c r="C53" s="252"/>
      <c r="D53" s="252"/>
      <c r="E53" s="252"/>
      <c r="F53" s="253"/>
      <c r="G53" s="252"/>
      <c r="H53" s="252"/>
      <c r="I53" s="254"/>
      <c r="J53" s="254"/>
      <c r="K53" s="254"/>
      <c r="L53" s="254"/>
      <c r="M53" s="252"/>
      <c r="N53" s="255"/>
      <c r="O53" s="256"/>
      <c r="P53" s="255"/>
      <c r="Q53" s="257">
        <f>W47/2</f>
        <v>0</v>
      </c>
      <c r="R53" s="262">
        <f>Q53/Q54</f>
        <v>0</v>
      </c>
    </row>
    <row r="54" spans="1:31" x14ac:dyDescent="0.3">
      <c r="A54" s="251"/>
      <c r="B54" s="252"/>
      <c r="C54" s="252"/>
      <c r="D54" s="252"/>
      <c r="E54" s="252"/>
      <c r="F54" s="253"/>
      <c r="G54" s="252"/>
      <c r="H54" s="252"/>
      <c r="I54" s="254"/>
      <c r="J54" s="254"/>
      <c r="K54" s="254"/>
      <c r="L54" s="254"/>
      <c r="M54" s="252"/>
      <c r="N54" s="255"/>
      <c r="O54" s="256"/>
      <c r="P54" s="255"/>
      <c r="Q54" s="264">
        <f>SUM(Q49:Q53)</f>
        <v>81538</v>
      </c>
      <c r="R54" s="262">
        <f>SUM(R49:R53)</f>
        <v>1</v>
      </c>
    </row>
    <row r="56" spans="1:31" ht="18" x14ac:dyDescent="0.35">
      <c r="A56" s="1037" t="s">
        <v>538</v>
      </c>
    </row>
    <row r="58" spans="1:31" x14ac:dyDescent="0.3">
      <c r="A58" s="2587" t="s">
        <v>480</v>
      </c>
      <c r="B58" s="2588"/>
      <c r="C58" s="2588"/>
      <c r="D58" s="2588"/>
      <c r="E58" s="2588"/>
      <c r="F58" s="2588"/>
      <c r="G58" s="2588"/>
      <c r="H58" s="2588"/>
      <c r="I58" s="2588"/>
      <c r="J58" s="2588"/>
      <c r="K58" s="2588"/>
      <c r="L58" s="2588"/>
      <c r="M58" s="2588"/>
      <c r="N58" s="2588"/>
      <c r="O58" s="2588"/>
      <c r="P58" s="2588"/>
      <c r="Q58" s="2588"/>
      <c r="R58" s="2589"/>
      <c r="S58" s="2564" t="s">
        <v>584</v>
      </c>
      <c r="T58" s="2564"/>
      <c r="U58" s="2564"/>
      <c r="V58" s="2564"/>
      <c r="W58" s="2564"/>
      <c r="X58" s="2564"/>
      <c r="Y58" s="2564"/>
      <c r="Z58" s="2564"/>
      <c r="AA58" s="2564"/>
      <c r="AB58" s="2564"/>
      <c r="AC58" s="2564"/>
      <c r="AD58" s="2576"/>
    </row>
    <row r="59" spans="1:31" ht="18" x14ac:dyDescent="0.3">
      <c r="A59" s="2722" t="s">
        <v>482</v>
      </c>
      <c r="B59" s="2723" t="s">
        <v>483</v>
      </c>
      <c r="C59" s="2723" t="s">
        <v>484</v>
      </c>
      <c r="D59" s="2723" t="s">
        <v>485</v>
      </c>
      <c r="E59" s="2723" t="s">
        <v>486</v>
      </c>
      <c r="F59" s="2724" t="s">
        <v>487</v>
      </c>
      <c r="G59" s="2723" t="s">
        <v>488</v>
      </c>
      <c r="H59" s="2723" t="s">
        <v>489</v>
      </c>
      <c r="I59" s="1381" t="s">
        <v>490</v>
      </c>
      <c r="J59" s="1381"/>
      <c r="K59" s="1381"/>
      <c r="L59" s="1381"/>
      <c r="M59" s="1382" t="s">
        <v>491</v>
      </c>
      <c r="N59" s="1383" t="s">
        <v>492</v>
      </c>
      <c r="O59" s="1384" t="s">
        <v>493</v>
      </c>
      <c r="P59" s="1383" t="s">
        <v>492</v>
      </c>
      <c r="Q59" s="1383" t="s">
        <v>494</v>
      </c>
      <c r="R59" s="1385" t="s">
        <v>495</v>
      </c>
      <c r="S59" s="1052" t="s">
        <v>496</v>
      </c>
      <c r="T59" s="2580" t="s">
        <v>497</v>
      </c>
      <c r="U59" s="2580"/>
      <c r="V59" s="2580"/>
      <c r="W59" s="2580"/>
      <c r="X59" s="2580"/>
      <c r="Y59" s="2608" t="s">
        <v>498</v>
      </c>
      <c r="Z59" s="2609"/>
      <c r="AA59" s="2608" t="s">
        <v>499</v>
      </c>
      <c r="AB59" s="2607"/>
      <c r="AC59" s="2607"/>
      <c r="AD59" s="2609"/>
    </row>
    <row r="60" spans="1:31" ht="18" x14ac:dyDescent="0.3">
      <c r="A60" s="2722"/>
      <c r="B60" s="2723"/>
      <c r="C60" s="2723"/>
      <c r="D60" s="2723"/>
      <c r="E60" s="2723"/>
      <c r="F60" s="2724"/>
      <c r="G60" s="2723"/>
      <c r="H60" s="2723"/>
      <c r="I60" s="1386" t="s">
        <v>500</v>
      </c>
      <c r="J60" s="1386" t="s">
        <v>501</v>
      </c>
      <c r="K60" s="1386" t="s">
        <v>502</v>
      </c>
      <c r="L60" s="1386" t="s">
        <v>503</v>
      </c>
      <c r="M60" s="1382" t="s">
        <v>504</v>
      </c>
      <c r="N60" s="1383" t="s">
        <v>505</v>
      </c>
      <c r="O60" s="1384" t="s">
        <v>506</v>
      </c>
      <c r="P60" s="1383" t="s">
        <v>507</v>
      </c>
      <c r="Q60" s="1383" t="s">
        <v>507</v>
      </c>
      <c r="R60" s="1385"/>
      <c r="S60" s="1052" t="s">
        <v>508</v>
      </c>
      <c r="T60" s="2581"/>
      <c r="U60" s="2581"/>
      <c r="V60" s="2581"/>
      <c r="W60" s="2581"/>
      <c r="X60" s="2581"/>
      <c r="Y60" s="2787"/>
      <c r="Z60" s="2789"/>
      <c r="AA60" s="2787"/>
      <c r="AB60" s="2788"/>
      <c r="AC60" s="2788"/>
      <c r="AD60" s="2789"/>
    </row>
    <row r="61" spans="1:31" ht="18" x14ac:dyDescent="0.3">
      <c r="A61" s="2790" t="s">
        <v>540</v>
      </c>
      <c r="B61" s="2791"/>
      <c r="C61" s="2791"/>
      <c r="D61" s="2791"/>
      <c r="E61" s="2791"/>
      <c r="F61" s="2791"/>
      <c r="G61" s="2791"/>
      <c r="H61" s="2791"/>
      <c r="I61" s="2791"/>
      <c r="J61" s="2791"/>
      <c r="K61" s="2791"/>
      <c r="L61" s="2791"/>
      <c r="M61" s="2791"/>
      <c r="N61" s="2791"/>
      <c r="O61" s="2791"/>
      <c r="P61" s="2791"/>
      <c r="Q61" s="2791"/>
      <c r="R61" s="2791"/>
      <c r="S61" s="1523"/>
      <c r="T61" s="1524" t="s">
        <v>510</v>
      </c>
      <c r="U61" s="1525" t="s">
        <v>11</v>
      </c>
      <c r="V61" s="1525" t="s">
        <v>511</v>
      </c>
      <c r="W61" s="1525" t="s">
        <v>512</v>
      </c>
      <c r="X61" s="1526" t="s">
        <v>513</v>
      </c>
      <c r="Y61" s="1527" t="s">
        <v>514</v>
      </c>
      <c r="Z61" s="1528" t="s">
        <v>515</v>
      </c>
      <c r="AA61" s="1527" t="s">
        <v>204</v>
      </c>
      <c r="AB61" s="1528" t="s">
        <v>205</v>
      </c>
      <c r="AC61" s="1528" t="s">
        <v>206</v>
      </c>
      <c r="AD61" s="1529"/>
      <c r="AE61" s="1530"/>
    </row>
    <row r="62" spans="1:31" x14ac:dyDescent="0.3">
      <c r="A62" s="1534"/>
      <c r="B62" s="1535"/>
      <c r="C62" s="1535"/>
      <c r="D62" s="1535"/>
      <c r="E62" s="1535"/>
      <c r="F62" s="1536"/>
      <c r="G62" s="1535"/>
      <c r="H62" s="1535"/>
      <c r="M62" s="1537"/>
      <c r="N62" s="1538"/>
      <c r="O62" s="1539"/>
      <c r="P62" s="1538"/>
      <c r="Q62" s="1538"/>
      <c r="R62" s="1540"/>
      <c r="S62" s="1538"/>
      <c r="T62" s="1541"/>
      <c r="X62" s="1542"/>
      <c r="Y62" s="280"/>
      <c r="AA62" s="280"/>
      <c r="AD62" s="152"/>
    </row>
    <row r="63" spans="1:31" x14ac:dyDescent="0.3">
      <c r="A63" s="157" t="s">
        <v>1016</v>
      </c>
      <c r="B63" s="157" t="s">
        <v>207</v>
      </c>
      <c r="C63" s="157" t="s">
        <v>1017</v>
      </c>
      <c r="D63" s="157" t="s">
        <v>208</v>
      </c>
      <c r="E63" s="157" t="s">
        <v>520</v>
      </c>
      <c r="F63" s="158" t="s">
        <v>891</v>
      </c>
      <c r="G63" s="157">
        <v>8</v>
      </c>
      <c r="H63" s="157" t="s">
        <v>63</v>
      </c>
      <c r="I63" s="175">
        <v>8</v>
      </c>
      <c r="J63" s="688"/>
      <c r="L63" s="286"/>
      <c r="M63" s="163">
        <v>1</v>
      </c>
      <c r="N63" s="166">
        <v>1800</v>
      </c>
      <c r="O63" s="173">
        <v>0.15</v>
      </c>
      <c r="P63" s="166">
        <f t="shared" ref="P63" si="10">N63*(1-O63)</f>
        <v>1530</v>
      </c>
      <c r="Q63" s="166">
        <f t="shared" ref="Q63:Q69" si="11">P63*M63*G63</f>
        <v>12240</v>
      </c>
      <c r="R63" s="184">
        <f t="shared" ref="R63:R69" si="12">Q63/$Q$75</f>
        <v>0.14736654538624722</v>
      </c>
      <c r="S63" s="503">
        <f t="shared" ref="S63:S69" si="13">Q63</f>
        <v>12240</v>
      </c>
      <c r="T63" s="394">
        <f t="shared" ref="T63:T65" si="14">S63</f>
        <v>12240</v>
      </c>
      <c r="X63" s="286"/>
      <c r="Y63" s="282">
        <f>S63</f>
        <v>12240</v>
      </c>
      <c r="AA63" s="282">
        <f>S63</f>
        <v>12240</v>
      </c>
      <c r="AD63" s="152"/>
    </row>
    <row r="64" spans="1:31" x14ac:dyDescent="0.3">
      <c r="A64" s="157" t="s">
        <v>1016</v>
      </c>
      <c r="B64" s="157" t="s">
        <v>207</v>
      </c>
      <c r="C64" s="157" t="s">
        <v>1017</v>
      </c>
      <c r="D64" s="157" t="s">
        <v>102</v>
      </c>
      <c r="E64" s="157" t="s">
        <v>518</v>
      </c>
      <c r="F64" s="158" t="s">
        <v>521</v>
      </c>
      <c r="G64" s="157">
        <v>2</v>
      </c>
      <c r="H64" s="157" t="s">
        <v>24</v>
      </c>
      <c r="I64" s="2445">
        <v>2</v>
      </c>
      <c r="J64" s="726"/>
      <c r="K64" s="726"/>
      <c r="L64" s="727"/>
      <c r="M64" s="163">
        <v>1</v>
      </c>
      <c r="N64" s="166">
        <v>5000</v>
      </c>
      <c r="O64" s="173">
        <v>0.15</v>
      </c>
      <c r="P64" s="166">
        <f>N64*(1-O64)</f>
        <v>4250</v>
      </c>
      <c r="Q64" s="166">
        <f t="shared" si="11"/>
        <v>8500</v>
      </c>
      <c r="R64" s="167">
        <f t="shared" si="12"/>
        <v>0.10233787874044946</v>
      </c>
      <c r="S64" s="503">
        <f t="shared" si="13"/>
        <v>8500</v>
      </c>
      <c r="T64" s="394">
        <f t="shared" si="14"/>
        <v>8500</v>
      </c>
      <c r="X64" s="286"/>
      <c r="Y64" s="282"/>
      <c r="Z64" s="169">
        <f>S64</f>
        <v>8500</v>
      </c>
      <c r="AA64" s="282">
        <f t="shared" ref="AA64:AA65" si="15">S64</f>
        <v>8500</v>
      </c>
      <c r="AD64" s="152"/>
    </row>
    <row r="65" spans="1:30" x14ac:dyDescent="0.3">
      <c r="A65" s="157" t="s">
        <v>1016</v>
      </c>
      <c r="B65" s="157" t="s">
        <v>207</v>
      </c>
      <c r="C65" s="157" t="s">
        <v>1017</v>
      </c>
      <c r="D65" s="157" t="s">
        <v>26</v>
      </c>
      <c r="E65" s="157" t="s">
        <v>520</v>
      </c>
      <c r="F65" s="158" t="s">
        <v>523</v>
      </c>
      <c r="G65" s="157">
        <v>1</v>
      </c>
      <c r="H65" s="157" t="s">
        <v>24</v>
      </c>
      <c r="I65" s="182">
        <v>1</v>
      </c>
      <c r="J65" s="183"/>
      <c r="K65" s="183"/>
      <c r="L65" s="2239"/>
      <c r="M65" s="163">
        <v>1</v>
      </c>
      <c r="N65" s="166">
        <v>5500</v>
      </c>
      <c r="O65" s="173">
        <v>0.15</v>
      </c>
      <c r="P65" s="166">
        <f t="shared" ref="P65:P69" si="16">N65*(1-O65)</f>
        <v>4675</v>
      </c>
      <c r="Q65" s="166">
        <f t="shared" si="11"/>
        <v>4675</v>
      </c>
      <c r="R65" s="184">
        <f t="shared" si="12"/>
        <v>5.62858333072472E-2</v>
      </c>
      <c r="S65" s="503">
        <f t="shared" si="13"/>
        <v>4675</v>
      </c>
      <c r="T65" s="394">
        <f t="shared" si="14"/>
        <v>4675</v>
      </c>
      <c r="X65" s="286"/>
      <c r="Y65" s="282">
        <f>S66</f>
        <v>7985.9999999999991</v>
      </c>
      <c r="Z65" s="169"/>
      <c r="AA65" s="282">
        <f t="shared" si="15"/>
        <v>4675</v>
      </c>
      <c r="AD65" s="152"/>
    </row>
    <row r="66" spans="1:30" x14ac:dyDescent="0.3">
      <c r="A66" s="157" t="s">
        <v>1016</v>
      </c>
      <c r="B66" s="157" t="s">
        <v>209</v>
      </c>
      <c r="C66" s="157" t="s">
        <v>1017</v>
      </c>
      <c r="D66" s="157" t="s">
        <v>102</v>
      </c>
      <c r="E66" s="157" t="s">
        <v>518</v>
      </c>
      <c r="F66" s="158" t="s">
        <v>521</v>
      </c>
      <c r="G66" s="157">
        <v>1</v>
      </c>
      <c r="H66" s="157" t="s">
        <v>22</v>
      </c>
      <c r="I66" s="182">
        <v>1</v>
      </c>
      <c r="J66" s="183"/>
      <c r="K66" s="183"/>
      <c r="L66" s="2239"/>
      <c r="M66" s="163">
        <v>1</v>
      </c>
      <c r="N66" s="166">
        <v>18150</v>
      </c>
      <c r="O66" s="173">
        <v>0.56000000000000005</v>
      </c>
      <c r="P66" s="166">
        <f t="shared" si="16"/>
        <v>7985.9999999999991</v>
      </c>
      <c r="Q66" s="166">
        <f t="shared" si="11"/>
        <v>7985.9999999999991</v>
      </c>
      <c r="R66" s="167">
        <f t="shared" si="12"/>
        <v>9.6149447014262257E-2</v>
      </c>
      <c r="S66" s="503">
        <f t="shared" si="13"/>
        <v>7985.9999999999991</v>
      </c>
      <c r="T66" s="394">
        <f>S66</f>
        <v>7985.9999999999991</v>
      </c>
      <c r="X66" s="286"/>
      <c r="Y66" s="282"/>
      <c r="Z66" s="169">
        <f>S67</f>
        <v>8742.4</v>
      </c>
      <c r="AA66" s="282"/>
      <c r="AB66" s="169">
        <f>S66</f>
        <v>7985.9999999999991</v>
      </c>
      <c r="AD66" s="152"/>
    </row>
    <row r="67" spans="1:30" x14ac:dyDescent="0.3">
      <c r="A67" s="157" t="s">
        <v>1016</v>
      </c>
      <c r="B67" s="157" t="s">
        <v>210</v>
      </c>
      <c r="C67" s="157" t="s">
        <v>1017</v>
      </c>
      <c r="D67" s="157" t="s">
        <v>211</v>
      </c>
      <c r="E67" s="157" t="s">
        <v>520</v>
      </c>
      <c r="F67" s="158" t="s">
        <v>169</v>
      </c>
      <c r="G67" s="157">
        <v>8</v>
      </c>
      <c r="H67" s="157" t="s">
        <v>24</v>
      </c>
      <c r="I67" s="175">
        <v>8</v>
      </c>
      <c r="J67" s="688"/>
      <c r="L67" s="286"/>
      <c r="M67" s="163">
        <v>1</v>
      </c>
      <c r="N67" s="166">
        <v>2732</v>
      </c>
      <c r="O67" s="173">
        <v>0.6</v>
      </c>
      <c r="P67" s="166">
        <f t="shared" si="16"/>
        <v>1092.8</v>
      </c>
      <c r="Q67" s="166">
        <f t="shared" si="11"/>
        <v>8742.4</v>
      </c>
      <c r="R67" s="184">
        <f t="shared" si="12"/>
        <v>0.10525631424711826</v>
      </c>
      <c r="S67" s="503">
        <f t="shared" si="13"/>
        <v>8742.4</v>
      </c>
      <c r="T67" s="394"/>
      <c r="U67" s="169">
        <f>S67</f>
        <v>8742.4</v>
      </c>
      <c r="V67" s="169"/>
      <c r="X67" s="286"/>
      <c r="Y67" s="282">
        <f>S67</f>
        <v>8742.4</v>
      </c>
      <c r="Z67" s="169"/>
      <c r="AA67" s="280"/>
      <c r="AB67" s="169"/>
      <c r="AC67" s="169">
        <f>S67</f>
        <v>8742.4</v>
      </c>
      <c r="AD67" s="152"/>
    </row>
    <row r="68" spans="1:30" x14ac:dyDescent="0.3">
      <c r="A68" s="157" t="s">
        <v>1016</v>
      </c>
      <c r="B68" s="157" t="s">
        <v>210</v>
      </c>
      <c r="C68" s="157" t="s">
        <v>1017</v>
      </c>
      <c r="D68" s="157" t="s">
        <v>102</v>
      </c>
      <c r="E68" s="157" t="s">
        <v>518</v>
      </c>
      <c r="F68" s="158" t="s">
        <v>521</v>
      </c>
      <c r="G68" s="157">
        <v>1</v>
      </c>
      <c r="H68" s="157" t="s">
        <v>24</v>
      </c>
      <c r="I68" s="182">
        <v>1</v>
      </c>
      <c r="J68" s="183"/>
      <c r="K68" s="183"/>
      <c r="L68" s="2239"/>
      <c r="M68" s="163">
        <v>1</v>
      </c>
      <c r="N68" s="166">
        <v>19087</v>
      </c>
      <c r="O68" s="173">
        <v>0.6</v>
      </c>
      <c r="P68" s="166">
        <f t="shared" si="16"/>
        <v>7634.8</v>
      </c>
      <c r="Q68" s="166">
        <f t="shared" si="11"/>
        <v>7634.8</v>
      </c>
      <c r="R68" s="167">
        <f t="shared" si="12"/>
        <v>9.1921086659715712E-2</v>
      </c>
      <c r="S68" s="503">
        <f t="shared" si="13"/>
        <v>7634.8</v>
      </c>
      <c r="T68" s="394">
        <f>S68</f>
        <v>7634.8</v>
      </c>
      <c r="V68" s="169"/>
      <c r="X68" s="286"/>
      <c r="Y68" s="282"/>
      <c r="Z68" s="169">
        <f>S69</f>
        <v>20280</v>
      </c>
      <c r="AA68" s="280"/>
      <c r="AB68" s="169"/>
      <c r="AC68" s="169">
        <f>S68</f>
        <v>7634.8</v>
      </c>
      <c r="AD68" s="152"/>
    </row>
    <row r="69" spans="1:30" x14ac:dyDescent="0.3">
      <c r="A69" s="157" t="s">
        <v>1016</v>
      </c>
      <c r="B69" s="157" t="s">
        <v>209</v>
      </c>
      <c r="C69" s="157" t="s">
        <v>1021</v>
      </c>
      <c r="D69" s="157" t="s">
        <v>212</v>
      </c>
      <c r="E69" s="157" t="s">
        <v>520</v>
      </c>
      <c r="F69" s="158" t="s">
        <v>802</v>
      </c>
      <c r="G69" s="157">
        <v>12</v>
      </c>
      <c r="H69" s="157" t="s">
        <v>24</v>
      </c>
      <c r="I69" s="182">
        <v>12</v>
      </c>
      <c r="J69" s="183"/>
      <c r="K69" s="183"/>
      <c r="L69" s="2239"/>
      <c r="M69" s="163">
        <v>1</v>
      </c>
      <c r="N69" s="166">
        <v>2600</v>
      </c>
      <c r="O69" s="173">
        <v>0.35</v>
      </c>
      <c r="P69" s="166">
        <f t="shared" si="16"/>
        <v>1690</v>
      </c>
      <c r="Q69" s="166">
        <f t="shared" si="11"/>
        <v>20280</v>
      </c>
      <c r="R69" s="184">
        <f t="shared" si="12"/>
        <v>0.24416613892427233</v>
      </c>
      <c r="S69" s="503">
        <f t="shared" si="13"/>
        <v>20280</v>
      </c>
      <c r="T69" s="394"/>
      <c r="V69" s="169">
        <f>S69</f>
        <v>20280</v>
      </c>
      <c r="X69" s="286"/>
      <c r="Y69" s="282">
        <f>S69</f>
        <v>20280</v>
      </c>
      <c r="Z69" s="169"/>
      <c r="AA69" s="280"/>
      <c r="AB69" s="169">
        <f>S69</f>
        <v>20280</v>
      </c>
      <c r="AD69" s="152"/>
    </row>
    <row r="70" spans="1:30" x14ac:dyDescent="0.3">
      <c r="A70" s="157"/>
      <c r="B70" s="157"/>
      <c r="C70" s="157"/>
      <c r="D70" s="157"/>
      <c r="E70" s="157"/>
      <c r="F70" s="158"/>
      <c r="G70" s="157"/>
      <c r="H70" s="157"/>
      <c r="I70" s="1"/>
      <c r="J70" s="1"/>
      <c r="K70" s="1"/>
      <c r="L70" s="163"/>
      <c r="M70" s="163"/>
      <c r="N70" s="166"/>
      <c r="O70" s="173"/>
      <c r="P70" s="166"/>
      <c r="Q70" s="166"/>
      <c r="R70" s="184"/>
      <c r="S70" s="503"/>
      <c r="T70" s="394"/>
      <c r="V70" s="169"/>
      <c r="X70" s="286"/>
      <c r="Y70" s="282"/>
      <c r="Z70" s="169"/>
      <c r="AA70" s="280"/>
      <c r="AC70" s="169"/>
      <c r="AD70" s="152"/>
    </row>
    <row r="71" spans="1:30" x14ac:dyDescent="0.3">
      <c r="A71" s="172"/>
      <c r="B71" s="157"/>
      <c r="C71" s="190"/>
      <c r="D71" s="190"/>
      <c r="E71" s="190"/>
      <c r="F71" s="191"/>
      <c r="G71" s="190"/>
      <c r="H71" s="190"/>
      <c r="I71" s="245"/>
      <c r="J71" s="245"/>
      <c r="K71" s="245"/>
      <c r="L71" s="287"/>
      <c r="M71" s="190"/>
      <c r="N71" s="194"/>
      <c r="O71" s="195"/>
      <c r="P71" s="194"/>
      <c r="Q71" s="166"/>
      <c r="R71" s="393"/>
      <c r="S71" s="503"/>
      <c r="T71" s="188"/>
      <c r="X71" s="286"/>
      <c r="Y71" s="282"/>
      <c r="Z71" s="169"/>
      <c r="AA71" s="280"/>
      <c r="AD71" s="171"/>
    </row>
    <row r="72" spans="1:30" x14ac:dyDescent="0.3">
      <c r="A72" s="108" t="s">
        <v>1020</v>
      </c>
      <c r="B72" s="108" t="s">
        <v>528</v>
      </c>
      <c r="C72" s="289"/>
      <c r="D72" s="252"/>
      <c r="E72" s="252"/>
      <c r="F72" s="253"/>
      <c r="G72" s="252"/>
      <c r="H72" s="252"/>
      <c r="I72" s="254"/>
      <c r="J72" s="254"/>
      <c r="K72" s="254"/>
      <c r="L72" s="254"/>
      <c r="M72" s="252"/>
      <c r="N72" s="255"/>
      <c r="O72" s="256"/>
      <c r="P72" s="290"/>
      <c r="Q72" s="257"/>
      <c r="R72" s="291">
        <f>Q72/Q75</f>
        <v>0</v>
      </c>
      <c r="S72" s="503">
        <f>Q72*2</f>
        <v>0</v>
      </c>
      <c r="T72" s="188"/>
      <c r="W72" s="169"/>
      <c r="X72" s="286"/>
      <c r="Y72" s="282"/>
      <c r="Z72" s="169"/>
      <c r="AA72" s="280"/>
      <c r="AD72" s="171"/>
    </row>
    <row r="73" spans="1:30" x14ac:dyDescent="0.3">
      <c r="A73" s="108" t="s">
        <v>1020</v>
      </c>
      <c r="B73" s="108" t="s">
        <v>529</v>
      </c>
      <c r="C73" s="289"/>
      <c r="D73" s="252"/>
      <c r="E73" s="252"/>
      <c r="F73" s="253"/>
      <c r="G73" s="252"/>
      <c r="H73" s="252"/>
      <c r="I73" s="254"/>
      <c r="J73" s="254"/>
      <c r="K73" s="254"/>
      <c r="L73" s="254"/>
      <c r="M73" s="252"/>
      <c r="N73" s="255"/>
      <c r="O73" s="256"/>
      <c r="P73" s="290"/>
      <c r="Q73" s="257">
        <v>13000</v>
      </c>
      <c r="R73" s="291">
        <f>Q73/Q75</f>
        <v>0.15651675572068741</v>
      </c>
      <c r="S73" s="503">
        <f>Q73</f>
        <v>13000</v>
      </c>
      <c r="T73" s="188"/>
      <c r="X73" s="395">
        <f>S73</f>
        <v>13000</v>
      </c>
      <c r="Y73" s="282"/>
      <c r="AA73" s="280"/>
      <c r="AD73" s="152"/>
    </row>
    <row r="74" spans="1:30" x14ac:dyDescent="0.3">
      <c r="I74" s="115">
        <f>I75/M75</f>
        <v>1</v>
      </c>
      <c r="S74" s="166"/>
      <c r="T74" s="188"/>
      <c r="X74" s="286"/>
      <c r="Y74" s="280"/>
      <c r="AA74" s="280"/>
      <c r="AD74" s="152"/>
    </row>
    <row r="75" spans="1:30" x14ac:dyDescent="0.3">
      <c r="A75" s="212" t="s">
        <v>531</v>
      </c>
      <c r="B75" s="213"/>
      <c r="C75" s="213"/>
      <c r="D75" s="213"/>
      <c r="E75" s="213"/>
      <c r="F75" s="214"/>
      <c r="G75" s="213"/>
      <c r="H75" s="213"/>
      <c r="I75" s="213">
        <f>I69+I68+I67+I66+I65+I64+I63</f>
        <v>33</v>
      </c>
      <c r="J75" s="213"/>
      <c r="K75" s="213"/>
      <c r="L75" s="213"/>
      <c r="M75" s="213">
        <f>SUM(I75:L75)</f>
        <v>33</v>
      </c>
      <c r="N75" s="215"/>
      <c r="O75" s="216"/>
      <c r="P75" s="215"/>
      <c r="Q75" s="481">
        <f>SUM(Q61:Q74)</f>
        <v>83058.200000000012</v>
      </c>
      <c r="R75" s="216">
        <f>SUM(R61:R73)</f>
        <v>0.99999999999999978</v>
      </c>
      <c r="S75" s="1531">
        <f>SUM(S61:S74)</f>
        <v>83058.200000000012</v>
      </c>
      <c r="T75" s="509">
        <f>SUM(T61:T73)</f>
        <v>41035.800000000003</v>
      </c>
      <c r="U75" s="294">
        <f>SUM(U61:U73)</f>
        <v>8742.4</v>
      </c>
      <c r="V75" s="294">
        <f>SUM(V61:V73)</f>
        <v>20280</v>
      </c>
      <c r="W75" s="294">
        <f>SUM(W61:W73)</f>
        <v>0</v>
      </c>
      <c r="X75" s="294">
        <f>SUM(X61:X73)</f>
        <v>13000</v>
      </c>
      <c r="Y75" s="296">
        <f t="shared" ref="Y75:AD75" si="17">SUM(Y63:Y74)</f>
        <v>49248.4</v>
      </c>
      <c r="Z75" s="296">
        <f t="shared" si="17"/>
        <v>37522.400000000001</v>
      </c>
      <c r="AA75" s="293">
        <f t="shared" si="17"/>
        <v>25415</v>
      </c>
      <c r="AB75" s="294">
        <f t="shared" si="17"/>
        <v>28266</v>
      </c>
      <c r="AC75" s="294">
        <f t="shared" si="17"/>
        <v>16377.2</v>
      </c>
      <c r="AD75" s="295">
        <f t="shared" si="17"/>
        <v>0</v>
      </c>
    </row>
    <row r="76" spans="1:30" x14ac:dyDescent="0.3">
      <c r="A76" s="228" t="s">
        <v>532</v>
      </c>
      <c r="B76" s="229"/>
      <c r="C76" s="229"/>
      <c r="D76" s="229"/>
      <c r="E76" s="229"/>
      <c r="F76" s="230"/>
      <c r="G76" s="229"/>
      <c r="H76" s="229"/>
      <c r="I76" s="229">
        <f>I69+I68+I67+I66+I65+I64+I63</f>
        <v>33</v>
      </c>
      <c r="J76" s="229">
        <f>I76</f>
        <v>33</v>
      </c>
      <c r="K76" s="229">
        <f>I69+I68+I66+I65+I64</f>
        <v>17</v>
      </c>
      <c r="L76" s="229">
        <f>K76</f>
        <v>17</v>
      </c>
      <c r="M76" s="229">
        <f>SUM(I76:L76)</f>
        <v>100</v>
      </c>
      <c r="N76" s="231"/>
      <c r="O76" s="232"/>
      <c r="P76" s="231"/>
      <c r="Q76" s="231"/>
      <c r="R76" s="232"/>
      <c r="S76" s="1532"/>
      <c r="T76" s="1491">
        <f>T75/S75</f>
        <v>0.49406079110792189</v>
      </c>
      <c r="U76" s="236">
        <f>U75/S75</f>
        <v>0.10525631424711826</v>
      </c>
      <c r="V76" s="1533">
        <f>V75/S75</f>
        <v>0.24416613892427233</v>
      </c>
      <c r="W76" s="236">
        <f>W75/S75</f>
        <v>0</v>
      </c>
      <c r="X76" s="236">
        <f>X75/S75</f>
        <v>0.15651675572068741</v>
      </c>
      <c r="Y76" s="298">
        <f>Y75/S75</f>
        <v>0.59293844557190012</v>
      </c>
      <c r="Z76" s="236">
        <f>Z75/S75</f>
        <v>0.45176033191184006</v>
      </c>
      <c r="AA76" s="743"/>
      <c r="AB76" s="487"/>
      <c r="AC76" s="487"/>
      <c r="AD76" s="242"/>
    </row>
    <row r="77" spans="1:30" x14ac:dyDescent="0.3">
      <c r="A77" s="243" t="s">
        <v>533</v>
      </c>
      <c r="B77" s="193"/>
      <c r="C77" s="193"/>
      <c r="D77" s="193"/>
      <c r="E77" s="193"/>
      <c r="F77" s="244"/>
      <c r="G77" s="193"/>
      <c r="H77" s="193"/>
      <c r="I77" s="2182">
        <f>I76/$M$76</f>
        <v>0.33</v>
      </c>
      <c r="J77" s="2182">
        <f t="shared" ref="J77:L77" si="18">J76/$M$76</f>
        <v>0.33</v>
      </c>
      <c r="K77" s="2182">
        <f t="shared" si="18"/>
        <v>0.17</v>
      </c>
      <c r="L77" s="2182">
        <f t="shared" si="18"/>
        <v>0.17</v>
      </c>
      <c r="M77" s="193"/>
      <c r="N77" s="246"/>
      <c r="O77" s="196"/>
      <c r="P77" s="246"/>
      <c r="Q77" s="194">
        <f>T75</f>
        <v>41035.800000000003</v>
      </c>
      <c r="R77" s="247">
        <f>Q77/Q82</f>
        <v>0.49406079110792189</v>
      </c>
      <c r="X77" s="248"/>
      <c r="Y77" s="357">
        <f>I63+I65+I67+I69</f>
        <v>29</v>
      </c>
      <c r="Z77" s="358">
        <f>I64+I66+I68</f>
        <v>4</v>
      </c>
    </row>
    <row r="78" spans="1:30" x14ac:dyDescent="0.3">
      <c r="A78" s="251" t="s">
        <v>11</v>
      </c>
      <c r="B78" s="252"/>
      <c r="C78" s="252"/>
      <c r="D78" s="252"/>
      <c r="E78" s="252"/>
      <c r="F78" s="253"/>
      <c r="G78" s="252"/>
      <c r="H78" s="252"/>
      <c r="I78" s="254"/>
      <c r="J78" s="254"/>
      <c r="K78" s="254"/>
      <c r="L78" s="254"/>
      <c r="M78" s="252"/>
      <c r="N78" s="255"/>
      <c r="O78" s="256"/>
      <c r="P78" s="255"/>
      <c r="Q78" s="257">
        <f>U75</f>
        <v>8742.4</v>
      </c>
      <c r="R78" s="262">
        <f>Q78/Q82</f>
        <v>0.10525631424711826</v>
      </c>
      <c r="S78" s="1050">
        <f>Q75/M75</f>
        <v>2516.915151515152</v>
      </c>
      <c r="T78" s="1051" t="s">
        <v>535</v>
      </c>
      <c r="Y78" s="195">
        <f>Y77/M75</f>
        <v>0.87878787878787878</v>
      </c>
      <c r="Z78" s="247">
        <f>Z77/M75</f>
        <v>0.12121212121212122</v>
      </c>
    </row>
    <row r="79" spans="1:30" x14ac:dyDescent="0.3">
      <c r="A79" s="251" t="s">
        <v>536</v>
      </c>
      <c r="B79" s="252"/>
      <c r="C79" s="252"/>
      <c r="D79" s="252"/>
      <c r="E79" s="252"/>
      <c r="F79" s="253"/>
      <c r="G79" s="252"/>
      <c r="H79" s="252"/>
      <c r="I79" s="254"/>
      <c r="J79" s="254"/>
      <c r="K79" s="254"/>
      <c r="L79" s="254"/>
      <c r="M79" s="252"/>
      <c r="N79" s="255"/>
      <c r="O79" s="256"/>
      <c r="P79" s="255"/>
      <c r="Q79" s="257">
        <f>V75</f>
        <v>20280</v>
      </c>
      <c r="R79" s="262">
        <f>Q79/Q82</f>
        <v>0.24416613892427233</v>
      </c>
      <c r="W79" s="99"/>
      <c r="Y79" s="2551" t="s">
        <v>537</v>
      </c>
      <c r="Z79" s="2551"/>
    </row>
    <row r="80" spans="1:30" x14ac:dyDescent="0.3">
      <c r="A80" s="251" t="s">
        <v>529</v>
      </c>
      <c r="B80" s="252"/>
      <c r="C80" s="252"/>
      <c r="D80" s="252"/>
      <c r="E80" s="252"/>
      <c r="F80" s="253"/>
      <c r="G80" s="252"/>
      <c r="H80" s="252"/>
      <c r="I80" s="254"/>
      <c r="J80" s="254"/>
      <c r="K80" s="254"/>
      <c r="L80" s="254"/>
      <c r="M80" s="252"/>
      <c r="N80" s="255"/>
      <c r="O80" s="256"/>
      <c r="P80" s="255"/>
      <c r="Q80" s="257">
        <f>X75</f>
        <v>13000</v>
      </c>
      <c r="R80" s="262">
        <f>Q80/Q82</f>
        <v>0.15651675572068741</v>
      </c>
    </row>
    <row r="81" spans="1:31" x14ac:dyDescent="0.3">
      <c r="A81" s="251" t="s">
        <v>528</v>
      </c>
      <c r="B81" s="252"/>
      <c r="C81" s="252"/>
      <c r="D81" s="252"/>
      <c r="E81" s="252"/>
      <c r="F81" s="253"/>
      <c r="G81" s="252"/>
      <c r="H81" s="252"/>
      <c r="I81" s="254"/>
      <c r="J81" s="254"/>
      <c r="K81" s="254"/>
      <c r="L81" s="254"/>
      <c r="M81" s="252"/>
      <c r="N81" s="255"/>
      <c r="O81" s="256"/>
      <c r="P81" s="255"/>
      <c r="Q81" s="257">
        <f>W75</f>
        <v>0</v>
      </c>
      <c r="R81" s="262">
        <f>Q81/Q82</f>
        <v>0</v>
      </c>
    </row>
    <row r="82" spans="1:31" x14ac:dyDescent="0.3">
      <c r="A82" s="251"/>
      <c r="B82" s="252"/>
      <c r="C82" s="252"/>
      <c r="D82" s="252"/>
      <c r="E82" s="252"/>
      <c r="F82" s="253"/>
      <c r="G82" s="252"/>
      <c r="H82" s="252"/>
      <c r="I82" s="254"/>
      <c r="J82" s="254"/>
      <c r="K82" s="254"/>
      <c r="L82" s="254"/>
      <c r="M82" s="252"/>
      <c r="N82" s="255"/>
      <c r="O82" s="256"/>
      <c r="P82" s="255"/>
      <c r="Q82" s="264">
        <f>SUM(Q77:Q81)</f>
        <v>83058.200000000012</v>
      </c>
      <c r="R82" s="262">
        <f>SUM(R77:R81)</f>
        <v>0.99999999999999978</v>
      </c>
    </row>
    <row r="84" spans="1:31" x14ac:dyDescent="0.3">
      <c r="B84" s="2"/>
    </row>
    <row r="86" spans="1:31" x14ac:dyDescent="0.3">
      <c r="B86" s="2"/>
    </row>
    <row r="87" spans="1:31" x14ac:dyDescent="0.3">
      <c r="E87" s="1" t="s">
        <v>543</v>
      </c>
      <c r="F87" s="2" t="s">
        <v>1022</v>
      </c>
      <c r="G87" s="1" t="s">
        <v>545</v>
      </c>
      <c r="H87" s="1"/>
      <c r="I87" s="304">
        <v>0.52</v>
      </c>
      <c r="J87" s="304"/>
    </row>
    <row r="88" spans="1:31" x14ac:dyDescent="0.3">
      <c r="B88" s="2"/>
      <c r="E88" s="1" t="s">
        <v>473</v>
      </c>
      <c r="F88" s="2" t="s">
        <v>213</v>
      </c>
      <c r="G88" s="1" t="s">
        <v>473</v>
      </c>
      <c r="H88" s="1"/>
      <c r="I88" s="1">
        <v>13</v>
      </c>
      <c r="J88" s="1"/>
    </row>
    <row r="89" spans="1:31" x14ac:dyDescent="0.3">
      <c r="B89" s="2"/>
      <c r="E89" s="1" t="s">
        <v>475</v>
      </c>
      <c r="F89" s="2" t="s">
        <v>1023</v>
      </c>
      <c r="G89" s="1" t="s">
        <v>475</v>
      </c>
      <c r="H89" s="1"/>
      <c r="I89" s="95">
        <v>666</v>
      </c>
      <c r="J89" s="95"/>
    </row>
    <row r="90" spans="1:31" x14ac:dyDescent="0.3">
      <c r="E90" s="1" t="s">
        <v>477</v>
      </c>
      <c r="F90" s="2" t="s">
        <v>1024</v>
      </c>
      <c r="G90" s="1" t="s">
        <v>477</v>
      </c>
      <c r="H90" s="1"/>
      <c r="I90" s="95">
        <v>2015052</v>
      </c>
      <c r="J90" s="95"/>
    </row>
    <row r="91" spans="1:31" x14ac:dyDescent="0.3">
      <c r="B91" s="2"/>
    </row>
    <row r="92" spans="1:31" ht="18" x14ac:dyDescent="0.35">
      <c r="A92" s="1037" t="s">
        <v>1025</v>
      </c>
    </row>
    <row r="94" spans="1:31" ht="18" x14ac:dyDescent="0.3">
      <c r="A94" s="2256" t="s">
        <v>482</v>
      </c>
      <c r="B94" s="2258" t="s">
        <v>483</v>
      </c>
      <c r="C94" s="2258" t="s">
        <v>484</v>
      </c>
      <c r="D94" s="2258" t="s">
        <v>485</v>
      </c>
      <c r="E94" s="2258" t="s">
        <v>486</v>
      </c>
      <c r="F94" s="2260" t="s">
        <v>487</v>
      </c>
      <c r="G94" s="2258" t="s">
        <v>488</v>
      </c>
      <c r="H94" s="2258" t="s">
        <v>489</v>
      </c>
      <c r="I94" s="2240" t="s">
        <v>490</v>
      </c>
      <c r="J94" s="2240"/>
      <c r="K94" s="2240"/>
      <c r="L94" s="2240"/>
      <c r="M94" s="305" t="s">
        <v>491</v>
      </c>
      <c r="N94" s="306" t="s">
        <v>492</v>
      </c>
      <c r="O94" s="307" t="s">
        <v>493</v>
      </c>
      <c r="P94" s="306" t="s">
        <v>492</v>
      </c>
      <c r="Q94" s="306" t="s">
        <v>494</v>
      </c>
      <c r="R94" s="1543" t="s">
        <v>495</v>
      </c>
      <c r="S94" s="1059" t="s">
        <v>496</v>
      </c>
      <c r="T94" s="2568" t="s">
        <v>497</v>
      </c>
      <c r="U94" s="2568"/>
      <c r="V94" s="2568"/>
      <c r="W94" s="2568"/>
      <c r="X94" s="2568"/>
      <c r="Y94" s="2567" t="s">
        <v>498</v>
      </c>
      <c r="Z94" s="2571"/>
      <c r="AA94" s="2567" t="s">
        <v>499</v>
      </c>
      <c r="AB94" s="2568"/>
      <c r="AC94" s="2568"/>
      <c r="AD94" s="2571"/>
    </row>
    <row r="95" spans="1:31" ht="18" x14ac:dyDescent="0.3">
      <c r="A95" s="2786"/>
      <c r="B95" s="2454"/>
      <c r="C95" s="2454"/>
      <c r="D95" s="2454"/>
      <c r="E95" s="2454"/>
      <c r="F95" s="2452"/>
      <c r="G95" s="2454"/>
      <c r="H95" s="2454"/>
      <c r="I95" s="782" t="s">
        <v>500</v>
      </c>
      <c r="J95" s="782" t="s">
        <v>501</v>
      </c>
      <c r="K95" s="782" t="s">
        <v>502</v>
      </c>
      <c r="L95" s="782" t="s">
        <v>503</v>
      </c>
      <c r="M95" s="786" t="s">
        <v>504</v>
      </c>
      <c r="N95" s="787" t="s">
        <v>505</v>
      </c>
      <c r="O95" s="788" t="s">
        <v>506</v>
      </c>
      <c r="P95" s="787" t="s">
        <v>507</v>
      </c>
      <c r="Q95" s="787" t="s">
        <v>507</v>
      </c>
      <c r="R95" s="1544"/>
      <c r="S95" s="1545" t="s">
        <v>508</v>
      </c>
      <c r="T95" s="2781"/>
      <c r="U95" s="2781"/>
      <c r="V95" s="2781"/>
      <c r="W95" s="2781"/>
      <c r="X95" s="2781"/>
      <c r="Y95" s="2782"/>
      <c r="Z95" s="2783"/>
      <c r="AA95" s="2782"/>
      <c r="AB95" s="2781"/>
      <c r="AC95" s="2781"/>
      <c r="AD95" s="2783"/>
    </row>
    <row r="96" spans="1:31" ht="18" x14ac:dyDescent="0.35">
      <c r="A96" s="2449" t="s">
        <v>1026</v>
      </c>
      <c r="B96" s="2450"/>
      <c r="C96" s="2450"/>
      <c r="D96" s="2450"/>
      <c r="E96" s="2450"/>
      <c r="F96" s="2450"/>
      <c r="G96" s="2450"/>
      <c r="H96" s="2450"/>
      <c r="I96" s="2450"/>
      <c r="J96" s="2450"/>
      <c r="K96" s="2450"/>
      <c r="L96" s="2450"/>
      <c r="M96" s="2450"/>
      <c r="N96" s="2450"/>
      <c r="O96" s="2450"/>
      <c r="P96" s="2450"/>
      <c r="Q96" s="2450"/>
      <c r="R96" s="2450"/>
      <c r="S96" s="1523"/>
      <c r="T96" s="1524" t="s">
        <v>510</v>
      </c>
      <c r="U96" s="1525" t="s">
        <v>11</v>
      </c>
      <c r="V96" s="1525" t="s">
        <v>511</v>
      </c>
      <c r="W96" s="1525" t="s">
        <v>512</v>
      </c>
      <c r="X96" s="1526" t="s">
        <v>513</v>
      </c>
      <c r="Y96" s="1527" t="s">
        <v>514</v>
      </c>
      <c r="Z96" s="1528" t="s">
        <v>515</v>
      </c>
      <c r="AA96" s="1527" t="s">
        <v>204</v>
      </c>
      <c r="AB96" s="1528" t="s">
        <v>205</v>
      </c>
      <c r="AC96" s="1528" t="s">
        <v>206</v>
      </c>
      <c r="AD96" s="1529"/>
      <c r="AE96" s="1530"/>
    </row>
    <row r="97" spans="1:30" x14ac:dyDescent="0.3">
      <c r="A97" s="154"/>
      <c r="B97" s="462"/>
      <c r="C97" s="462"/>
      <c r="D97" s="462"/>
      <c r="E97" s="462"/>
      <c r="F97" s="463"/>
      <c r="G97" s="462"/>
      <c r="H97" s="462"/>
      <c r="I97" s="465"/>
      <c r="J97" s="465"/>
      <c r="K97" s="465"/>
      <c r="L97" s="465"/>
      <c r="M97" s="462"/>
      <c r="N97" s="468"/>
      <c r="O97" s="469"/>
      <c r="P97" s="468"/>
      <c r="Q97" s="468"/>
      <c r="R97" s="532"/>
      <c r="S97" s="166"/>
      <c r="T97" s="188"/>
      <c r="X97" s="286"/>
      <c r="Y97" s="280"/>
      <c r="Z97" s="152"/>
      <c r="AD97" s="152"/>
    </row>
    <row r="98" spans="1:30" x14ac:dyDescent="0.3">
      <c r="A98" s="157" t="s">
        <v>1016</v>
      </c>
      <c r="B98" s="157" t="s">
        <v>207</v>
      </c>
      <c r="C98" s="157" t="s">
        <v>1017</v>
      </c>
      <c r="D98" s="157" t="s">
        <v>208</v>
      </c>
      <c r="E98" s="157" t="s">
        <v>520</v>
      </c>
      <c r="F98" s="158" t="s">
        <v>641</v>
      </c>
      <c r="G98" s="157">
        <v>4</v>
      </c>
      <c r="H98" s="157" t="s">
        <v>63</v>
      </c>
      <c r="I98" s="175">
        <v>4</v>
      </c>
      <c r="J98" s="688"/>
      <c r="L98" s="286"/>
      <c r="M98" s="163">
        <v>1</v>
      </c>
      <c r="N98" s="166">
        <v>1800</v>
      </c>
      <c r="O98" s="173">
        <v>0.15</v>
      </c>
      <c r="P98" s="166">
        <f t="shared" ref="P98" si="19">N98*(1-O98)</f>
        <v>1530</v>
      </c>
      <c r="Q98" s="166">
        <f t="shared" ref="Q98:Q103" si="20">P98*M98*G98</f>
        <v>6120</v>
      </c>
      <c r="R98" s="184">
        <f t="shared" ref="R98:R103" si="21">Q98/$Q$108</f>
        <v>0.11627641868630446</v>
      </c>
      <c r="S98" s="503">
        <f t="shared" ref="S98:S103" si="22">Q98*4</f>
        <v>24480</v>
      </c>
      <c r="T98" s="394">
        <f>S98</f>
        <v>24480</v>
      </c>
      <c r="X98" s="286"/>
      <c r="Y98" s="282">
        <f>S98</f>
        <v>24480</v>
      </c>
      <c r="Z98" s="152"/>
      <c r="AA98" s="169">
        <f>S98</f>
        <v>24480</v>
      </c>
      <c r="AD98" s="152"/>
    </row>
    <row r="99" spans="1:30" x14ac:dyDescent="0.3">
      <c r="A99" s="157" t="s">
        <v>1016</v>
      </c>
      <c r="B99" s="157" t="s">
        <v>207</v>
      </c>
      <c r="C99" s="157" t="s">
        <v>1017</v>
      </c>
      <c r="D99" s="157" t="s">
        <v>102</v>
      </c>
      <c r="E99" s="157" t="s">
        <v>518</v>
      </c>
      <c r="F99" s="158" t="s">
        <v>551</v>
      </c>
      <c r="G99" s="157">
        <v>1</v>
      </c>
      <c r="H99" s="157" t="s">
        <v>24</v>
      </c>
      <c r="I99" s="2445">
        <v>1</v>
      </c>
      <c r="J99" s="726"/>
      <c r="K99" s="726"/>
      <c r="L99" s="727"/>
      <c r="M99" s="163">
        <v>1</v>
      </c>
      <c r="N99" s="166">
        <v>5000</v>
      </c>
      <c r="O99" s="173">
        <v>0.15</v>
      </c>
      <c r="P99" s="166">
        <f>N99*(1-O99)</f>
        <v>4250</v>
      </c>
      <c r="Q99" s="166">
        <f t="shared" si="20"/>
        <v>4250</v>
      </c>
      <c r="R99" s="167">
        <f t="shared" si="21"/>
        <v>8.0747512976600322E-2</v>
      </c>
      <c r="S99" s="503">
        <f t="shared" si="22"/>
        <v>17000</v>
      </c>
      <c r="T99" s="394">
        <f t="shared" ref="T99:T100" si="23">S99</f>
        <v>17000</v>
      </c>
      <c r="X99" s="286"/>
      <c r="Y99" s="282"/>
      <c r="Z99" s="171">
        <f>S99</f>
        <v>17000</v>
      </c>
      <c r="AA99" s="169">
        <f>S99</f>
        <v>17000</v>
      </c>
      <c r="AD99" s="152"/>
    </row>
    <row r="100" spans="1:30" x14ac:dyDescent="0.3">
      <c r="A100" s="157" t="s">
        <v>1016</v>
      </c>
      <c r="B100" s="157" t="s">
        <v>207</v>
      </c>
      <c r="C100" s="157" t="s">
        <v>1017</v>
      </c>
      <c r="D100" s="157" t="s">
        <v>26</v>
      </c>
      <c r="E100" s="157" t="s">
        <v>520</v>
      </c>
      <c r="F100" s="158" t="s">
        <v>588</v>
      </c>
      <c r="G100" s="157">
        <v>2</v>
      </c>
      <c r="H100" s="157" t="s">
        <v>24</v>
      </c>
      <c r="I100" s="182">
        <v>2</v>
      </c>
      <c r="J100" s="183"/>
      <c r="K100" s="183"/>
      <c r="L100" s="2239"/>
      <c r="M100" s="163">
        <v>1</v>
      </c>
      <c r="N100" s="166">
        <v>5500</v>
      </c>
      <c r="O100" s="173">
        <v>0.15</v>
      </c>
      <c r="P100" s="166">
        <f t="shared" ref="P100:P103" si="24">N100*(1-O100)</f>
        <v>4675</v>
      </c>
      <c r="Q100" s="166">
        <f t="shared" si="20"/>
        <v>9350</v>
      </c>
      <c r="R100" s="184">
        <f t="shared" si="21"/>
        <v>0.17764452854852072</v>
      </c>
      <c r="S100" s="503">
        <f t="shared" si="22"/>
        <v>37400</v>
      </c>
      <c r="T100" s="394">
        <f t="shared" si="23"/>
        <v>37400</v>
      </c>
      <c r="X100" s="286"/>
      <c r="Y100" s="282">
        <f>S100</f>
        <v>37400</v>
      </c>
      <c r="Z100" s="171"/>
      <c r="AA100" s="169">
        <f>S100</f>
        <v>37400</v>
      </c>
      <c r="AD100" s="152"/>
    </row>
    <row r="101" spans="1:30" x14ac:dyDescent="0.3">
      <c r="A101" s="157" t="s">
        <v>1016</v>
      </c>
      <c r="B101" s="157" t="s">
        <v>210</v>
      </c>
      <c r="C101" s="157" t="s">
        <v>1017</v>
      </c>
      <c r="D101" s="157" t="s">
        <v>211</v>
      </c>
      <c r="E101" s="157" t="s">
        <v>520</v>
      </c>
      <c r="F101" s="158" t="s">
        <v>641</v>
      </c>
      <c r="G101" s="157">
        <v>4</v>
      </c>
      <c r="H101" s="157" t="s">
        <v>24</v>
      </c>
      <c r="I101" s="175">
        <v>4</v>
      </c>
      <c r="J101" s="688"/>
      <c r="L101" s="286"/>
      <c r="M101" s="163">
        <v>1</v>
      </c>
      <c r="N101" s="166">
        <v>2732</v>
      </c>
      <c r="O101" s="173">
        <v>0.6</v>
      </c>
      <c r="P101" s="166">
        <f t="shared" si="24"/>
        <v>1092.8</v>
      </c>
      <c r="Q101" s="166">
        <f t="shared" si="20"/>
        <v>4371.2</v>
      </c>
      <c r="R101" s="184">
        <f t="shared" si="21"/>
        <v>8.3050242052544784E-2</v>
      </c>
      <c r="S101" s="503">
        <f t="shared" si="22"/>
        <v>17484.8</v>
      </c>
      <c r="T101" s="394"/>
      <c r="U101" s="169">
        <f>S101</f>
        <v>17484.8</v>
      </c>
      <c r="V101" s="169"/>
      <c r="X101" s="286"/>
      <c r="Y101" s="282">
        <f>S101</f>
        <v>17484.8</v>
      </c>
      <c r="Z101" s="171"/>
      <c r="AA101" s="169"/>
      <c r="AB101" s="169"/>
      <c r="AC101" s="169">
        <f>S101</f>
        <v>17484.8</v>
      </c>
      <c r="AD101" s="152"/>
    </row>
    <row r="102" spans="1:30" x14ac:dyDescent="0.3">
      <c r="A102" s="157" t="s">
        <v>1016</v>
      </c>
      <c r="B102" s="157" t="s">
        <v>210</v>
      </c>
      <c r="C102" s="157" t="s">
        <v>1017</v>
      </c>
      <c r="D102" s="157" t="s">
        <v>102</v>
      </c>
      <c r="E102" s="157" t="s">
        <v>518</v>
      </c>
      <c r="F102" s="158" t="s">
        <v>551</v>
      </c>
      <c r="G102" s="157">
        <v>1</v>
      </c>
      <c r="H102" s="157" t="s">
        <v>24</v>
      </c>
      <c r="I102" s="182">
        <v>1</v>
      </c>
      <c r="J102" s="183"/>
      <c r="K102" s="183"/>
      <c r="L102" s="2239"/>
      <c r="M102" s="163">
        <v>1</v>
      </c>
      <c r="N102" s="166">
        <v>19087</v>
      </c>
      <c r="O102" s="173">
        <v>0.6</v>
      </c>
      <c r="P102" s="166">
        <f t="shared" si="24"/>
        <v>7634.8</v>
      </c>
      <c r="Q102" s="166">
        <f t="shared" si="20"/>
        <v>7634.8</v>
      </c>
      <c r="R102" s="167">
        <f t="shared" si="21"/>
        <v>0.14505673225264662</v>
      </c>
      <c r="S102" s="503">
        <f t="shared" si="22"/>
        <v>30539.200000000001</v>
      </c>
      <c r="T102" s="394">
        <f>S102</f>
        <v>30539.200000000001</v>
      </c>
      <c r="V102" s="169"/>
      <c r="X102" s="286"/>
      <c r="Y102" s="282"/>
      <c r="Z102" s="171">
        <f>S102</f>
        <v>30539.200000000001</v>
      </c>
      <c r="AB102" s="169"/>
      <c r="AC102" s="169">
        <f t="shared" ref="AC102:AC103" si="25">S102</f>
        <v>30539.200000000001</v>
      </c>
      <c r="AD102" s="152"/>
    </row>
    <row r="103" spans="1:30" x14ac:dyDescent="0.3">
      <c r="A103" s="157" t="s">
        <v>1016</v>
      </c>
      <c r="B103" s="157" t="s">
        <v>210</v>
      </c>
      <c r="C103" s="157" t="s">
        <v>1019</v>
      </c>
      <c r="D103" s="157" t="s">
        <v>29</v>
      </c>
      <c r="E103" s="157" t="s">
        <v>524</v>
      </c>
      <c r="F103" s="158" t="s">
        <v>38</v>
      </c>
      <c r="G103" s="157">
        <v>1</v>
      </c>
      <c r="H103" s="157" t="s">
        <v>24</v>
      </c>
      <c r="I103" s="182">
        <v>1</v>
      </c>
      <c r="J103" s="183"/>
      <c r="K103" s="183"/>
      <c r="L103" s="2239"/>
      <c r="M103" s="163">
        <v>1</v>
      </c>
      <c r="N103" s="166">
        <v>27268</v>
      </c>
      <c r="O103" s="173">
        <v>0.6</v>
      </c>
      <c r="P103" s="166">
        <f t="shared" si="24"/>
        <v>10907.2</v>
      </c>
      <c r="Q103" s="166">
        <f t="shared" si="20"/>
        <v>10907.2</v>
      </c>
      <c r="R103" s="184">
        <f t="shared" si="21"/>
        <v>0.20723041730314709</v>
      </c>
      <c r="S103" s="503">
        <f t="shared" si="22"/>
        <v>43628.800000000003</v>
      </c>
      <c r="T103" s="394">
        <f>S103</f>
        <v>43628.800000000003</v>
      </c>
      <c r="V103" s="169"/>
      <c r="X103" s="286"/>
      <c r="Y103" s="282">
        <f>S103</f>
        <v>43628.800000000003</v>
      </c>
      <c r="Z103" s="171"/>
      <c r="AB103" s="169"/>
      <c r="AC103" s="169">
        <f t="shared" si="25"/>
        <v>43628.800000000003</v>
      </c>
      <c r="AD103" s="152"/>
    </row>
    <row r="104" spans="1:30" x14ac:dyDescent="0.3">
      <c r="A104" s="172"/>
      <c r="B104" s="157"/>
      <c r="C104" s="190"/>
      <c r="D104" s="190"/>
      <c r="E104" s="190"/>
      <c r="F104" s="191"/>
      <c r="G104" s="190"/>
      <c r="H104" s="190"/>
      <c r="I104" s="245"/>
      <c r="J104" s="245"/>
      <c r="K104" s="245"/>
      <c r="L104" s="287"/>
      <c r="M104" s="190"/>
      <c r="N104" s="194"/>
      <c r="O104" s="195"/>
      <c r="P104" s="194"/>
      <c r="Q104" s="166"/>
      <c r="R104" s="393"/>
      <c r="S104" s="503"/>
      <c r="T104" s="188"/>
      <c r="X104" s="286"/>
      <c r="Y104" s="282"/>
      <c r="Z104" s="171"/>
      <c r="AB104" s="169"/>
      <c r="AC104" s="169"/>
      <c r="AD104" s="152"/>
    </row>
    <row r="105" spans="1:30" x14ac:dyDescent="0.3">
      <c r="A105" s="108" t="s">
        <v>1020</v>
      </c>
      <c r="B105" s="108" t="s">
        <v>528</v>
      </c>
      <c r="C105" s="289"/>
      <c r="D105" s="252"/>
      <c r="E105" s="252"/>
      <c r="F105" s="253"/>
      <c r="G105" s="252"/>
      <c r="H105" s="252"/>
      <c r="I105" s="254"/>
      <c r="J105" s="254"/>
      <c r="K105" s="254"/>
      <c r="L105" s="254"/>
      <c r="M105" s="252"/>
      <c r="N105" s="255"/>
      <c r="O105" s="256"/>
      <c r="P105" s="290"/>
      <c r="Q105" s="257"/>
      <c r="R105" s="291">
        <f>Q105/Q108</f>
        <v>0</v>
      </c>
      <c r="S105" s="503">
        <f>Q105*4</f>
        <v>0</v>
      </c>
      <c r="T105" s="188"/>
      <c r="W105" s="169"/>
      <c r="X105" s="286"/>
      <c r="Y105" s="282"/>
      <c r="Z105" s="171"/>
      <c r="AC105" s="169"/>
      <c r="AD105" s="171"/>
    </row>
    <row r="106" spans="1:30" x14ac:dyDescent="0.3">
      <c r="A106" s="108" t="s">
        <v>1020</v>
      </c>
      <c r="B106" s="108" t="s">
        <v>529</v>
      </c>
      <c r="C106" s="289"/>
      <c r="D106" s="252"/>
      <c r="E106" s="252"/>
      <c r="F106" s="253"/>
      <c r="G106" s="252"/>
      <c r="H106" s="252"/>
      <c r="I106" s="254"/>
      <c r="J106" s="254"/>
      <c r="K106" s="254"/>
      <c r="L106" s="254"/>
      <c r="M106" s="252"/>
      <c r="N106" s="255"/>
      <c r="O106" s="256"/>
      <c r="P106" s="290"/>
      <c r="Q106" s="257">
        <v>10000</v>
      </c>
      <c r="R106" s="291">
        <f>Q106/Q108</f>
        <v>0.18999414818023605</v>
      </c>
      <c r="S106" s="503">
        <f>Q106*4</f>
        <v>40000</v>
      </c>
      <c r="T106" s="188"/>
      <c r="X106" s="395">
        <f>S106</f>
        <v>40000</v>
      </c>
      <c r="Y106" s="280"/>
      <c r="Z106" s="152"/>
      <c r="AD106" s="171"/>
    </row>
    <row r="107" spans="1:30" x14ac:dyDescent="0.3">
      <c r="S107" s="166"/>
      <c r="T107" s="188"/>
      <c r="X107" s="286"/>
      <c r="Y107" s="280"/>
      <c r="Z107" s="152"/>
      <c r="AD107" s="171"/>
    </row>
    <row r="108" spans="1:30" x14ac:dyDescent="0.3">
      <c r="A108" s="326" t="s">
        <v>531</v>
      </c>
      <c r="B108" s="327"/>
      <c r="C108" s="327"/>
      <c r="D108" s="327"/>
      <c r="E108" s="327"/>
      <c r="F108" s="328"/>
      <c r="G108" s="327"/>
      <c r="H108" s="327"/>
      <c r="I108" s="327">
        <f>I103+I102+I101+I100+I99+I98</f>
        <v>13</v>
      </c>
      <c r="J108" s="327"/>
      <c r="K108" s="327"/>
      <c r="L108" s="327"/>
      <c r="M108" s="327">
        <f>SUM(I108:L108)</f>
        <v>13</v>
      </c>
      <c r="N108" s="329"/>
      <c r="O108" s="330"/>
      <c r="P108" s="329"/>
      <c r="Q108" s="331">
        <f>SUM(Q97:Q107)</f>
        <v>52633.2</v>
      </c>
      <c r="R108" s="330">
        <f>SUM(R97:R106)</f>
        <v>1</v>
      </c>
      <c r="S108" s="1546">
        <f>SUM(S97:S107)</f>
        <v>210532.8</v>
      </c>
      <c r="T108" s="517">
        <f>SUM(T97:T106)</f>
        <v>153048</v>
      </c>
      <c r="U108" s="335">
        <f>SUM(U97:U106)</f>
        <v>17484.8</v>
      </c>
      <c r="V108" s="335">
        <f t="shared" ref="V108:X108" si="26">SUM(V97:V106)</f>
        <v>0</v>
      </c>
      <c r="W108" s="335">
        <f t="shared" si="26"/>
        <v>0</v>
      </c>
      <c r="X108" s="335">
        <f t="shared" si="26"/>
        <v>40000</v>
      </c>
      <c r="Y108" s="336">
        <f>SUM(Y98:Y107)</f>
        <v>122993.60000000001</v>
      </c>
      <c r="Z108" s="337">
        <f>SUM(Z98:Z107)</f>
        <v>47539.199999999997</v>
      </c>
      <c r="AA108" s="335">
        <f>SUM(AA97:AA107)</f>
        <v>78880</v>
      </c>
      <c r="AB108" s="335"/>
      <c r="AC108" s="335">
        <f>SUM(AC97:AC107)</f>
        <v>91652.800000000003</v>
      </c>
      <c r="AD108" s="337"/>
    </row>
    <row r="109" spans="1:30" x14ac:dyDescent="0.3">
      <c r="A109" s="342" t="s">
        <v>532</v>
      </c>
      <c r="B109" s="343"/>
      <c r="C109" s="343"/>
      <c r="D109" s="343"/>
      <c r="E109" s="343"/>
      <c r="F109" s="344"/>
      <c r="G109" s="343"/>
      <c r="H109" s="343"/>
      <c r="I109" s="343">
        <f>I103+I102+I101+I100+I99+I98</f>
        <v>13</v>
      </c>
      <c r="J109" s="343">
        <f>I109</f>
        <v>13</v>
      </c>
      <c r="K109" s="343">
        <f>I103+I102+I100+I99</f>
        <v>5</v>
      </c>
      <c r="L109" s="343"/>
      <c r="M109" s="343">
        <f>SUM(I109:L109)</f>
        <v>31</v>
      </c>
      <c r="N109" s="345"/>
      <c r="O109" s="346"/>
      <c r="P109" s="345"/>
      <c r="Q109" s="345"/>
      <c r="R109" s="346"/>
      <c r="S109" s="1547"/>
      <c r="T109" s="533">
        <f>T108/S108</f>
        <v>0.72695560976721918</v>
      </c>
      <c r="U109" s="350">
        <f>U108/S108</f>
        <v>8.3050242052544784E-2</v>
      </c>
      <c r="V109" s="350">
        <f>V108/S108</f>
        <v>0</v>
      </c>
      <c r="W109" s="350">
        <f>W108/S108</f>
        <v>0</v>
      </c>
      <c r="X109" s="350">
        <f>X108/S108</f>
        <v>0.18999414818023605</v>
      </c>
      <c r="Y109" s="351">
        <f>Y108/S108</f>
        <v>0.58420160659051712</v>
      </c>
      <c r="Z109" s="352">
        <f>Z108/S108</f>
        <v>0.22580424522924694</v>
      </c>
      <c r="AA109" s="1395"/>
      <c r="AB109" s="524"/>
      <c r="AC109" s="524"/>
      <c r="AD109" s="356"/>
    </row>
    <row r="110" spans="1:30" x14ac:dyDescent="0.3">
      <c r="A110" s="243" t="s">
        <v>533</v>
      </c>
      <c r="B110" s="193"/>
      <c r="C110" s="193"/>
      <c r="D110" s="193"/>
      <c r="E110" s="193"/>
      <c r="F110" s="244"/>
      <c r="G110" s="193"/>
      <c r="H110" s="193"/>
      <c r="I110" s="2182">
        <f>I109/$M$109</f>
        <v>0.41935483870967744</v>
      </c>
      <c r="J110" s="2182">
        <f t="shared" ref="J110:L110" si="27">J109/$M$109</f>
        <v>0.41935483870967744</v>
      </c>
      <c r="K110" s="2182">
        <f t="shared" si="27"/>
        <v>0.16129032258064516</v>
      </c>
      <c r="L110" s="2182">
        <f t="shared" si="27"/>
        <v>0</v>
      </c>
      <c r="M110" s="193"/>
      <c r="N110" s="246"/>
      <c r="O110" s="196"/>
      <c r="P110" s="246"/>
      <c r="Q110" s="194">
        <f>T108/4</f>
        <v>38262</v>
      </c>
      <c r="R110" s="247">
        <f>Q110/Q115</f>
        <v>0.72695560976721918</v>
      </c>
      <c r="X110" s="248"/>
      <c r="Y110" s="1048">
        <f>I98+I100+I101+I103</f>
        <v>11</v>
      </c>
      <c r="Z110" s="1049">
        <f>I99+I102</f>
        <v>2</v>
      </c>
      <c r="AA110" s="4"/>
    </row>
    <row r="111" spans="1:30" x14ac:dyDescent="0.3">
      <c r="A111" s="251" t="s">
        <v>11</v>
      </c>
      <c r="B111" s="252"/>
      <c r="C111" s="252"/>
      <c r="D111" s="252"/>
      <c r="E111" s="252"/>
      <c r="F111" s="253"/>
      <c r="G111" s="252"/>
      <c r="H111" s="252"/>
      <c r="I111" s="254"/>
      <c r="J111" s="254"/>
      <c r="K111" s="254"/>
      <c r="L111" s="254"/>
      <c r="M111" s="252"/>
      <c r="N111" s="255"/>
      <c r="O111" s="256"/>
      <c r="P111" s="255"/>
      <c r="Q111" s="257">
        <f>U108/4</f>
        <v>4371.2</v>
      </c>
      <c r="R111" s="262">
        <f>Q111/Q115</f>
        <v>8.3050242052544784E-2</v>
      </c>
      <c r="S111" s="1068">
        <f>Q108/M108</f>
        <v>4048.707692307692</v>
      </c>
      <c r="T111" s="1069" t="s">
        <v>535</v>
      </c>
      <c r="Y111" s="964">
        <f>Y110/M108</f>
        <v>0.84615384615384615</v>
      </c>
      <c r="Z111" s="323">
        <f>Z110/M108</f>
        <v>0.15384615384615385</v>
      </c>
    </row>
    <row r="112" spans="1:30" x14ac:dyDescent="0.3">
      <c r="A112" s="251" t="s">
        <v>536</v>
      </c>
      <c r="B112" s="252"/>
      <c r="C112" s="252"/>
      <c r="D112" s="252"/>
      <c r="E112" s="252"/>
      <c r="F112" s="253"/>
      <c r="G112" s="252"/>
      <c r="H112" s="252"/>
      <c r="I112" s="254"/>
      <c r="J112" s="254"/>
      <c r="K112" s="254"/>
      <c r="L112" s="254"/>
      <c r="M112" s="252"/>
      <c r="N112" s="255"/>
      <c r="O112" s="256"/>
      <c r="P112" s="255"/>
      <c r="Q112" s="257">
        <f>V108/4</f>
        <v>0</v>
      </c>
      <c r="R112" s="262">
        <f>Q112/Q115</f>
        <v>0</v>
      </c>
      <c r="W112" s="99"/>
      <c r="Y112" s="2714" t="s">
        <v>537</v>
      </c>
      <c r="Z112" s="2714"/>
    </row>
    <row r="113" spans="1:30" x14ac:dyDescent="0.3">
      <c r="A113" s="251" t="s">
        <v>529</v>
      </c>
      <c r="B113" s="252"/>
      <c r="C113" s="252"/>
      <c r="D113" s="252"/>
      <c r="E113" s="252"/>
      <c r="F113" s="253"/>
      <c r="G113" s="252"/>
      <c r="H113" s="252"/>
      <c r="I113" s="254"/>
      <c r="J113" s="254"/>
      <c r="K113" s="254"/>
      <c r="L113" s="254"/>
      <c r="M113" s="252"/>
      <c r="N113" s="255"/>
      <c r="O113" s="256"/>
      <c r="P113" s="255"/>
      <c r="Q113" s="257">
        <f>X108/4</f>
        <v>10000</v>
      </c>
      <c r="R113" s="262">
        <f>Q113/Q115</f>
        <v>0.18999414818023605</v>
      </c>
    </row>
    <row r="114" spans="1:30" x14ac:dyDescent="0.3">
      <c r="A114" s="251" t="s">
        <v>528</v>
      </c>
      <c r="B114" s="252"/>
      <c r="C114" s="252"/>
      <c r="D114" s="252"/>
      <c r="E114" s="252"/>
      <c r="F114" s="253"/>
      <c r="G114" s="252"/>
      <c r="H114" s="252"/>
      <c r="I114" s="254"/>
      <c r="J114" s="254"/>
      <c r="K114" s="254"/>
      <c r="L114" s="254"/>
      <c r="M114" s="252"/>
      <c r="N114" s="255"/>
      <c r="O114" s="256"/>
      <c r="P114" s="255"/>
      <c r="Q114" s="257">
        <f>W108/4</f>
        <v>0</v>
      </c>
      <c r="R114" s="262">
        <f>Q114/Q115</f>
        <v>0</v>
      </c>
    </row>
    <row r="115" spans="1:30" x14ac:dyDescent="0.3">
      <c r="A115" s="251"/>
      <c r="B115" s="252"/>
      <c r="C115" s="252"/>
      <c r="D115" s="252"/>
      <c r="E115" s="252"/>
      <c r="F115" s="253"/>
      <c r="G115" s="252"/>
      <c r="H115" s="252"/>
      <c r="I115" s="254"/>
      <c r="J115" s="254"/>
      <c r="K115" s="254"/>
      <c r="L115" s="254"/>
      <c r="M115" s="252"/>
      <c r="N115" s="255"/>
      <c r="O115" s="256"/>
      <c r="P115" s="255"/>
      <c r="Q115" s="264">
        <f>SUM(Q110:Q114)</f>
        <v>52633.2</v>
      </c>
      <c r="R115" s="262">
        <f>SUM(R110:R114)</f>
        <v>1</v>
      </c>
    </row>
    <row r="116" spans="1:30" x14ac:dyDescent="0.3">
      <c r="A116" s="188"/>
      <c r="N116" s="5"/>
      <c r="O116" s="6"/>
      <c r="P116" s="5"/>
      <c r="Q116" s="5"/>
      <c r="R116" s="6"/>
      <c r="S116" s="701"/>
    </row>
    <row r="117" spans="1:30" ht="18" x14ac:dyDescent="0.35">
      <c r="A117" s="1037" t="s">
        <v>554</v>
      </c>
    </row>
    <row r="118" spans="1:30" x14ac:dyDescent="0.3">
      <c r="A118" s="1476"/>
      <c r="B118" s="369"/>
      <c r="C118" s="369"/>
      <c r="D118" s="369"/>
      <c r="E118" s="369"/>
      <c r="F118" s="370"/>
      <c r="G118" s="369"/>
      <c r="H118" s="369"/>
      <c r="I118" s="208"/>
      <c r="J118" s="208"/>
      <c r="K118" s="208"/>
      <c r="L118" s="208"/>
      <c r="M118" s="369"/>
      <c r="N118" s="371"/>
      <c r="O118" s="372"/>
      <c r="P118" s="371"/>
      <c r="Q118" s="371"/>
      <c r="R118" s="372"/>
      <c r="S118" s="1548"/>
    </row>
    <row r="119" spans="1:30" ht="18" x14ac:dyDescent="0.3">
      <c r="A119" s="2784" t="s">
        <v>482</v>
      </c>
      <c r="B119" s="2784" t="s">
        <v>483</v>
      </c>
      <c r="C119" s="2784" t="s">
        <v>484</v>
      </c>
      <c r="D119" s="2784" t="s">
        <v>555</v>
      </c>
      <c r="E119" s="2784" t="s">
        <v>556</v>
      </c>
      <c r="F119" s="2785" t="s">
        <v>487</v>
      </c>
      <c r="G119" s="2784" t="s">
        <v>557</v>
      </c>
      <c r="H119" s="2784" t="s">
        <v>489</v>
      </c>
      <c r="I119" s="786" t="s">
        <v>490</v>
      </c>
      <c r="J119" s="786"/>
      <c r="K119" s="786"/>
      <c r="L119" s="786"/>
      <c r="M119" s="1549" t="s">
        <v>491</v>
      </c>
      <c r="N119" s="1550" t="s">
        <v>558</v>
      </c>
      <c r="O119" s="1551" t="s">
        <v>493</v>
      </c>
      <c r="P119" s="1550" t="s">
        <v>558</v>
      </c>
      <c r="Q119" s="1550" t="s">
        <v>559</v>
      </c>
      <c r="R119" s="2780" t="s">
        <v>495</v>
      </c>
      <c r="S119" s="1394" t="s">
        <v>496</v>
      </c>
      <c r="T119" s="2568" t="s">
        <v>497</v>
      </c>
      <c r="U119" s="2568"/>
      <c r="V119" s="2568"/>
      <c r="W119" s="2568"/>
      <c r="X119" s="2568"/>
      <c r="Y119" s="2567" t="s">
        <v>498</v>
      </c>
      <c r="Z119" s="2571"/>
      <c r="AA119" s="2567" t="s">
        <v>499</v>
      </c>
      <c r="AB119" s="2568"/>
      <c r="AC119" s="2568"/>
      <c r="AD119" s="2571"/>
    </row>
    <row r="120" spans="1:30" ht="18" x14ac:dyDescent="0.3">
      <c r="A120" s="2454"/>
      <c r="B120" s="2454"/>
      <c r="C120" s="2454"/>
      <c r="D120" s="2454"/>
      <c r="E120" s="2454"/>
      <c r="F120" s="2452"/>
      <c r="G120" s="2454"/>
      <c r="H120" s="2454"/>
      <c r="I120" s="782" t="s">
        <v>500</v>
      </c>
      <c r="J120" s="782" t="s">
        <v>501</v>
      </c>
      <c r="K120" s="782" t="s">
        <v>502</v>
      </c>
      <c r="L120" s="782" t="s">
        <v>503</v>
      </c>
      <c r="M120" s="786" t="s">
        <v>504</v>
      </c>
      <c r="N120" s="787" t="s">
        <v>505</v>
      </c>
      <c r="O120" s="788" t="s">
        <v>506</v>
      </c>
      <c r="P120" s="787" t="s">
        <v>507</v>
      </c>
      <c r="Q120" s="787" t="s">
        <v>560</v>
      </c>
      <c r="R120" s="2456"/>
      <c r="S120" s="1545" t="s">
        <v>508</v>
      </c>
      <c r="T120" s="2781"/>
      <c r="U120" s="2781"/>
      <c r="V120" s="2781"/>
      <c r="W120" s="2781"/>
      <c r="X120" s="2781"/>
      <c r="Y120" s="2782"/>
      <c r="Z120" s="2783"/>
      <c r="AA120" s="2782"/>
      <c r="AB120" s="2781"/>
      <c r="AC120" s="2781"/>
      <c r="AD120" s="2783"/>
    </row>
    <row r="121" spans="1:30" ht="18" x14ac:dyDescent="0.35">
      <c r="A121" s="2449" t="s">
        <v>561</v>
      </c>
      <c r="B121" s="2450"/>
      <c r="C121" s="2450"/>
      <c r="D121" s="2450"/>
      <c r="E121" s="2450"/>
      <c r="F121" s="2450"/>
      <c r="G121" s="2450"/>
      <c r="H121" s="2450"/>
      <c r="I121" s="2450"/>
      <c r="J121" s="2450"/>
      <c r="K121" s="2450"/>
      <c r="L121" s="2450"/>
      <c r="M121" s="2450"/>
      <c r="N121" s="2450"/>
      <c r="O121" s="2450"/>
      <c r="P121" s="2450"/>
      <c r="Q121" s="2450"/>
      <c r="R121" s="2450"/>
      <c r="S121" s="1552"/>
      <c r="T121" s="1553" t="s">
        <v>510</v>
      </c>
      <c r="U121" s="1554" t="s">
        <v>11</v>
      </c>
      <c r="V121" s="1554" t="s">
        <v>511</v>
      </c>
      <c r="W121" s="1554" t="s">
        <v>512</v>
      </c>
      <c r="X121" s="1555" t="s">
        <v>513</v>
      </c>
      <c r="Y121" s="1556" t="s">
        <v>514</v>
      </c>
      <c r="Z121" s="278" t="s">
        <v>515</v>
      </c>
      <c r="AA121" s="1527" t="s">
        <v>204</v>
      </c>
      <c r="AB121" s="1528" t="s">
        <v>205</v>
      </c>
      <c r="AC121" s="1528" t="s">
        <v>206</v>
      </c>
      <c r="AD121" s="1529"/>
    </row>
    <row r="122" spans="1:30" x14ac:dyDescent="0.3">
      <c r="A122" s="154"/>
      <c r="B122" s="462"/>
      <c r="C122" s="462"/>
      <c r="D122" s="462"/>
      <c r="E122" s="462"/>
      <c r="F122" s="463"/>
      <c r="G122" s="462"/>
      <c r="H122" s="462"/>
      <c r="I122" s="465"/>
      <c r="J122" s="465"/>
      <c r="K122" s="465"/>
      <c r="L122" s="465"/>
      <c r="M122" s="462"/>
      <c r="N122" s="468"/>
      <c r="O122" s="469"/>
      <c r="P122" s="468"/>
      <c r="Q122" s="468"/>
      <c r="R122" s="532"/>
      <c r="S122" s="166"/>
      <c r="T122" s="188"/>
      <c r="X122" s="286"/>
      <c r="Y122" s="280"/>
      <c r="Z122" s="152"/>
      <c r="AD122" s="152"/>
    </row>
    <row r="123" spans="1:30" x14ac:dyDescent="0.3">
      <c r="A123" s="157" t="s">
        <v>1016</v>
      </c>
      <c r="B123" s="157" t="s">
        <v>207</v>
      </c>
      <c r="C123" s="157" t="s">
        <v>1017</v>
      </c>
      <c r="D123" s="157" t="s">
        <v>208</v>
      </c>
      <c r="E123" s="157" t="s">
        <v>520</v>
      </c>
      <c r="F123" s="158" t="s">
        <v>591</v>
      </c>
      <c r="G123" s="157">
        <v>5</v>
      </c>
      <c r="H123" s="157" t="s">
        <v>63</v>
      </c>
      <c r="I123" s="175">
        <v>5</v>
      </c>
      <c r="J123" s="688"/>
      <c r="L123" s="286"/>
      <c r="M123" s="163">
        <v>1</v>
      </c>
      <c r="N123" s="166">
        <v>1800</v>
      </c>
      <c r="O123" s="173">
        <v>0.15</v>
      </c>
      <c r="P123" s="166">
        <f t="shared" ref="P123" si="28">N123*(1-O123)</f>
        <v>1530</v>
      </c>
      <c r="Q123" s="166">
        <f t="shared" ref="Q123:Q128" si="29">P123*M123*G123</f>
        <v>7650</v>
      </c>
      <c r="R123" s="184">
        <f t="shared" ref="R123:R128" si="30">Q123/$Q$134</f>
        <v>0.14584707600443833</v>
      </c>
      <c r="S123" s="503">
        <f t="shared" ref="S123:S128" si="31">Q123</f>
        <v>7650</v>
      </c>
      <c r="T123" s="394">
        <f t="shared" ref="T123:T125" si="32">S123</f>
        <v>7650</v>
      </c>
      <c r="X123" s="286"/>
      <c r="Y123" s="282">
        <f>S123</f>
        <v>7650</v>
      </c>
      <c r="Z123" s="171"/>
      <c r="AA123" s="169">
        <f>S123</f>
        <v>7650</v>
      </c>
      <c r="AD123" s="152"/>
    </row>
    <row r="124" spans="1:30" x14ac:dyDescent="0.3">
      <c r="A124" s="157" t="s">
        <v>1016</v>
      </c>
      <c r="B124" s="157" t="s">
        <v>207</v>
      </c>
      <c r="C124" s="157" t="s">
        <v>1017</v>
      </c>
      <c r="D124" s="157" t="s">
        <v>102</v>
      </c>
      <c r="E124" s="157" t="s">
        <v>518</v>
      </c>
      <c r="F124" s="158" t="s">
        <v>523</v>
      </c>
      <c r="G124" s="157">
        <v>1</v>
      </c>
      <c r="H124" s="157" t="s">
        <v>24</v>
      </c>
      <c r="I124" s="2445">
        <v>1</v>
      </c>
      <c r="J124" s="726"/>
      <c r="K124" s="726"/>
      <c r="L124" s="727"/>
      <c r="M124" s="163">
        <v>1</v>
      </c>
      <c r="N124" s="166">
        <v>5000</v>
      </c>
      <c r="O124" s="173">
        <v>0.15</v>
      </c>
      <c r="P124" s="166">
        <f>N124*(1-O124)</f>
        <v>4250</v>
      </c>
      <c r="Q124" s="166">
        <f t="shared" si="29"/>
        <v>4250</v>
      </c>
      <c r="R124" s="167">
        <f t="shared" si="30"/>
        <v>8.1026153335799073E-2</v>
      </c>
      <c r="S124" s="503">
        <f t="shared" si="31"/>
        <v>4250</v>
      </c>
      <c r="T124" s="394">
        <f t="shared" si="32"/>
        <v>4250</v>
      </c>
      <c r="X124" s="286"/>
      <c r="Y124" s="282"/>
      <c r="Z124" s="171">
        <f>S124</f>
        <v>4250</v>
      </c>
      <c r="AA124" s="169">
        <f>S124</f>
        <v>4250</v>
      </c>
      <c r="AD124" s="152"/>
    </row>
    <row r="125" spans="1:30" x14ac:dyDescent="0.3">
      <c r="A125" s="157" t="s">
        <v>1016</v>
      </c>
      <c r="B125" s="157" t="s">
        <v>207</v>
      </c>
      <c r="C125" s="157" t="s">
        <v>1017</v>
      </c>
      <c r="D125" s="157" t="s">
        <v>26</v>
      </c>
      <c r="E125" s="157" t="s">
        <v>520</v>
      </c>
      <c r="F125" s="158" t="s">
        <v>645</v>
      </c>
      <c r="G125" s="157">
        <v>1</v>
      </c>
      <c r="H125" s="157" t="s">
        <v>24</v>
      </c>
      <c r="I125" s="182">
        <v>1</v>
      </c>
      <c r="J125" s="183"/>
      <c r="K125" s="183"/>
      <c r="L125" s="2239"/>
      <c r="M125" s="163">
        <v>1</v>
      </c>
      <c r="N125" s="166">
        <v>5500</v>
      </c>
      <c r="O125" s="173">
        <v>0.15</v>
      </c>
      <c r="P125" s="166">
        <f t="shared" ref="P125:P128" si="33">N125*(1-O125)</f>
        <v>4675</v>
      </c>
      <c r="Q125" s="166">
        <f t="shared" si="29"/>
        <v>4675</v>
      </c>
      <c r="R125" s="184">
        <f t="shared" si="30"/>
        <v>8.912876866937898E-2</v>
      </c>
      <c r="S125" s="503">
        <f t="shared" si="31"/>
        <v>4675</v>
      </c>
      <c r="T125" s="394">
        <f t="shared" si="32"/>
        <v>4675</v>
      </c>
      <c r="X125" s="286"/>
      <c r="Y125" s="282">
        <f>S125</f>
        <v>4675</v>
      </c>
      <c r="Z125" s="171"/>
      <c r="AA125" s="169">
        <f>S125</f>
        <v>4675</v>
      </c>
      <c r="AB125" s="169"/>
      <c r="AD125" s="152"/>
    </row>
    <row r="126" spans="1:30" x14ac:dyDescent="0.3">
      <c r="A126" s="157" t="s">
        <v>1016</v>
      </c>
      <c r="B126" s="157" t="s">
        <v>209</v>
      </c>
      <c r="C126" s="157" t="s">
        <v>1017</v>
      </c>
      <c r="D126" s="157" t="s">
        <v>102</v>
      </c>
      <c r="E126" s="157" t="s">
        <v>518</v>
      </c>
      <c r="F126" s="158" t="s">
        <v>523</v>
      </c>
      <c r="G126" s="157">
        <v>1</v>
      </c>
      <c r="H126" s="157" t="s">
        <v>22</v>
      </c>
      <c r="I126" s="182">
        <v>1</v>
      </c>
      <c r="J126" s="183"/>
      <c r="K126" s="183"/>
      <c r="L126" s="2239"/>
      <c r="M126" s="163">
        <v>1</v>
      </c>
      <c r="N126" s="166">
        <v>18150</v>
      </c>
      <c r="O126" s="173">
        <v>0.56000000000000005</v>
      </c>
      <c r="P126" s="166">
        <f t="shared" si="33"/>
        <v>7985.9999999999991</v>
      </c>
      <c r="Q126" s="166">
        <f t="shared" si="29"/>
        <v>7985.9999999999991</v>
      </c>
      <c r="R126" s="167">
        <f t="shared" si="30"/>
        <v>0.15225290836228031</v>
      </c>
      <c r="S126" s="503">
        <f t="shared" si="31"/>
        <v>7985.9999999999991</v>
      </c>
      <c r="T126" s="394">
        <f>S126</f>
        <v>7985.9999999999991</v>
      </c>
      <c r="X126" s="286"/>
      <c r="Y126" s="282"/>
      <c r="Z126" s="171">
        <f>S126</f>
        <v>7985.9999999999991</v>
      </c>
      <c r="AB126" s="169">
        <f>S126</f>
        <v>7985.9999999999991</v>
      </c>
      <c r="AD126" s="152"/>
    </row>
    <row r="127" spans="1:30" x14ac:dyDescent="0.3">
      <c r="A127" s="157" t="s">
        <v>1016</v>
      </c>
      <c r="B127" s="157" t="s">
        <v>210</v>
      </c>
      <c r="C127" s="157" t="s">
        <v>1017</v>
      </c>
      <c r="D127" s="157" t="s">
        <v>211</v>
      </c>
      <c r="E127" s="157" t="s">
        <v>520</v>
      </c>
      <c r="F127" s="158" t="s">
        <v>641</v>
      </c>
      <c r="G127" s="157">
        <v>4</v>
      </c>
      <c r="H127" s="157" t="s">
        <v>24</v>
      </c>
      <c r="I127" s="175">
        <v>4</v>
      </c>
      <c r="J127" s="688"/>
      <c r="L127" s="286"/>
      <c r="M127" s="163">
        <v>1</v>
      </c>
      <c r="N127" s="166">
        <v>2732</v>
      </c>
      <c r="O127" s="173">
        <v>0.6</v>
      </c>
      <c r="P127" s="166">
        <f t="shared" si="33"/>
        <v>1092.8</v>
      </c>
      <c r="Q127" s="166">
        <f t="shared" si="29"/>
        <v>4371.2</v>
      </c>
      <c r="R127" s="184">
        <f t="shared" si="30"/>
        <v>8.333682857916351E-2</v>
      </c>
      <c r="S127" s="503">
        <f t="shared" si="31"/>
        <v>4371.2</v>
      </c>
      <c r="T127" s="394"/>
      <c r="U127" s="169">
        <f>S127</f>
        <v>4371.2</v>
      </c>
      <c r="V127" s="169"/>
      <c r="X127" s="286"/>
      <c r="Y127" s="282">
        <f>S127</f>
        <v>4371.2</v>
      </c>
      <c r="Z127" s="171"/>
      <c r="AB127" s="169"/>
      <c r="AC127" s="169">
        <f>S127</f>
        <v>4371.2</v>
      </c>
      <c r="AD127" s="152"/>
    </row>
    <row r="128" spans="1:30" x14ac:dyDescent="0.3">
      <c r="A128" s="157" t="s">
        <v>1016</v>
      </c>
      <c r="B128" s="157" t="s">
        <v>209</v>
      </c>
      <c r="C128" s="157" t="s">
        <v>1021</v>
      </c>
      <c r="D128" s="157" t="s">
        <v>212</v>
      </c>
      <c r="E128" s="157" t="s">
        <v>520</v>
      </c>
      <c r="F128" s="158" t="s">
        <v>655</v>
      </c>
      <c r="G128" s="157">
        <v>8</v>
      </c>
      <c r="H128" s="157" t="s">
        <v>24</v>
      </c>
      <c r="I128" s="182">
        <v>8</v>
      </c>
      <c r="J128" s="183"/>
      <c r="K128" s="183"/>
      <c r="L128" s="2239"/>
      <c r="M128" s="163">
        <v>1</v>
      </c>
      <c r="N128" s="166">
        <v>2600</v>
      </c>
      <c r="O128" s="173">
        <v>0.35</v>
      </c>
      <c r="P128" s="166">
        <f t="shared" si="33"/>
        <v>1690</v>
      </c>
      <c r="Q128" s="166">
        <f t="shared" si="29"/>
        <v>13520</v>
      </c>
      <c r="R128" s="184">
        <f t="shared" si="30"/>
        <v>0.25775849249411847</v>
      </c>
      <c r="S128" s="503">
        <f t="shared" si="31"/>
        <v>13520</v>
      </c>
      <c r="T128" s="394"/>
      <c r="V128" s="169">
        <f>S128</f>
        <v>13520</v>
      </c>
      <c r="X128" s="286"/>
      <c r="Y128" s="282">
        <f>S128</f>
        <v>13520</v>
      </c>
      <c r="Z128" s="171"/>
      <c r="AB128" s="169">
        <f>S128</f>
        <v>13520</v>
      </c>
      <c r="AC128" s="169"/>
      <c r="AD128" s="152"/>
    </row>
    <row r="129" spans="1:30" x14ac:dyDescent="0.3">
      <c r="A129" s="157"/>
      <c r="B129" s="157"/>
      <c r="C129" s="157"/>
      <c r="D129" s="157"/>
      <c r="E129" s="157"/>
      <c r="F129" s="158"/>
      <c r="G129" s="157"/>
      <c r="H129" s="157"/>
      <c r="I129" s="1"/>
      <c r="J129" s="1"/>
      <c r="K129" s="1"/>
      <c r="L129" s="163"/>
      <c r="M129" s="163"/>
      <c r="N129" s="166"/>
      <c r="O129" s="173"/>
      <c r="P129" s="166"/>
      <c r="Q129" s="166"/>
      <c r="R129" s="184"/>
      <c r="S129" s="503"/>
      <c r="T129" s="394"/>
      <c r="V129" s="169"/>
      <c r="X129" s="286"/>
      <c r="Y129" s="282"/>
      <c r="Z129" s="171"/>
      <c r="AD129" s="171"/>
    </row>
    <row r="130" spans="1:30" x14ac:dyDescent="0.3">
      <c r="A130" s="172"/>
      <c r="B130" s="157"/>
      <c r="C130" s="190"/>
      <c r="D130" s="190"/>
      <c r="E130" s="190"/>
      <c r="F130" s="191"/>
      <c r="G130" s="190"/>
      <c r="H130" s="190"/>
      <c r="I130" s="245"/>
      <c r="J130" s="245"/>
      <c r="K130" s="245"/>
      <c r="L130" s="287"/>
      <c r="M130" s="190"/>
      <c r="N130" s="194"/>
      <c r="O130" s="195"/>
      <c r="P130" s="194"/>
      <c r="Q130" s="166"/>
      <c r="R130" s="393"/>
      <c r="S130" s="503"/>
      <c r="T130" s="188"/>
      <c r="X130" s="286"/>
      <c r="Y130" s="282"/>
      <c r="Z130" s="171"/>
      <c r="AD130" s="171"/>
    </row>
    <row r="131" spans="1:30" x14ac:dyDescent="0.3">
      <c r="A131" s="108" t="s">
        <v>1020</v>
      </c>
      <c r="B131" s="108" t="s">
        <v>528</v>
      </c>
      <c r="C131" s="289"/>
      <c r="D131" s="252"/>
      <c r="E131" s="252"/>
      <c r="F131" s="253"/>
      <c r="G131" s="252"/>
      <c r="H131" s="252"/>
      <c r="I131" s="254"/>
      <c r="J131" s="254"/>
      <c r="K131" s="254"/>
      <c r="L131" s="254"/>
      <c r="M131" s="252"/>
      <c r="N131" s="255"/>
      <c r="O131" s="256"/>
      <c r="P131" s="290"/>
      <c r="Q131" s="257"/>
      <c r="R131" s="291">
        <f>Q131/Q134</f>
        <v>0</v>
      </c>
      <c r="S131" s="503">
        <f>Q131*2</f>
        <v>0</v>
      </c>
      <c r="T131" s="188"/>
      <c r="W131" s="169"/>
      <c r="X131" s="286"/>
      <c r="Y131" s="280"/>
      <c r="Z131" s="152"/>
      <c r="AD131" s="152"/>
    </row>
    <row r="132" spans="1:30" x14ac:dyDescent="0.3">
      <c r="A132" s="108" t="s">
        <v>1020</v>
      </c>
      <c r="B132" s="108" t="s">
        <v>529</v>
      </c>
      <c r="C132" s="289"/>
      <c r="D132" s="252"/>
      <c r="E132" s="252"/>
      <c r="F132" s="253"/>
      <c r="G132" s="252"/>
      <c r="H132" s="252"/>
      <c r="I132" s="254"/>
      <c r="J132" s="254"/>
      <c r="K132" s="254"/>
      <c r="L132" s="254"/>
      <c r="M132" s="252"/>
      <c r="N132" s="255"/>
      <c r="O132" s="256"/>
      <c r="P132" s="290"/>
      <c r="Q132" s="257">
        <v>10000</v>
      </c>
      <c r="R132" s="291">
        <f>Q132/Q134</f>
        <v>0.19064977255482135</v>
      </c>
      <c r="S132" s="503">
        <f>Q132</f>
        <v>10000</v>
      </c>
      <c r="T132" s="188"/>
      <c r="X132" s="395">
        <f>S132</f>
        <v>10000</v>
      </c>
      <c r="Y132" s="280"/>
      <c r="Z132" s="152"/>
      <c r="AD132" s="152"/>
    </row>
    <row r="133" spans="1:30" x14ac:dyDescent="0.3">
      <c r="S133" s="166"/>
      <c r="T133" s="188"/>
      <c r="X133" s="286"/>
      <c r="Y133" s="280"/>
      <c r="Z133" s="152"/>
      <c r="AD133" s="152"/>
    </row>
    <row r="134" spans="1:30" x14ac:dyDescent="0.3">
      <c r="A134" s="326" t="s">
        <v>531</v>
      </c>
      <c r="B134" s="327"/>
      <c r="C134" s="327"/>
      <c r="D134" s="327"/>
      <c r="E134" s="327"/>
      <c r="F134" s="328"/>
      <c r="G134" s="327"/>
      <c r="H134" s="327"/>
      <c r="I134" s="327">
        <f>I128+I127+I126+I125+I124+I123</f>
        <v>20</v>
      </c>
      <c r="J134" s="327"/>
      <c r="K134" s="327"/>
      <c r="L134" s="327"/>
      <c r="M134" s="327">
        <f>SUM(I134:L134)</f>
        <v>20</v>
      </c>
      <c r="N134" s="329"/>
      <c r="O134" s="330"/>
      <c r="P134" s="329"/>
      <c r="Q134" s="331">
        <f>SUM(Q122:Q133)</f>
        <v>52452.2</v>
      </c>
      <c r="R134" s="330">
        <f>SUM(R122:R132)</f>
        <v>1</v>
      </c>
      <c r="S134" s="1546">
        <f>SUM(S123:S133)</f>
        <v>52452.2</v>
      </c>
      <c r="T134" s="517">
        <f>SUM(T123:T132)</f>
        <v>24561</v>
      </c>
      <c r="U134" s="335">
        <f t="shared" ref="U134:X134" si="34">SUM(U123:U132)</f>
        <v>4371.2</v>
      </c>
      <c r="V134" s="335">
        <f t="shared" si="34"/>
        <v>13520</v>
      </c>
      <c r="W134" s="335">
        <f t="shared" si="34"/>
        <v>0</v>
      </c>
      <c r="X134" s="337">
        <f t="shared" si="34"/>
        <v>10000</v>
      </c>
      <c r="Y134" s="336">
        <f>SUM(Y122:Y133)</f>
        <v>30216.2</v>
      </c>
      <c r="Z134" s="337">
        <f>SUM(Z122:Z133)</f>
        <v>12236</v>
      </c>
      <c r="AA134" s="335">
        <f>SUM(AA123:AA133)</f>
        <v>16575</v>
      </c>
      <c r="AB134" s="335">
        <f>SUM(AB122:AB133)</f>
        <v>21506</v>
      </c>
      <c r="AC134" s="335">
        <f>SUM(AC122:AC133)</f>
        <v>4371.2</v>
      </c>
      <c r="AD134" s="337"/>
    </row>
    <row r="135" spans="1:30" x14ac:dyDescent="0.3">
      <c r="A135" s="342" t="s">
        <v>532</v>
      </c>
      <c r="B135" s="343"/>
      <c r="C135" s="343"/>
      <c r="D135" s="343"/>
      <c r="E135" s="343"/>
      <c r="F135" s="344"/>
      <c r="G135" s="343"/>
      <c r="H135" s="343"/>
      <c r="I135" s="343">
        <f>I128+I127+I126+I125+I124+I123</f>
        <v>20</v>
      </c>
      <c r="J135" s="343">
        <f>I135</f>
        <v>20</v>
      </c>
      <c r="K135" s="343">
        <f>I128+I126+I125+I124</f>
        <v>11</v>
      </c>
      <c r="L135" s="343"/>
      <c r="M135" s="343">
        <f>SUM(I135:L135)</f>
        <v>51</v>
      </c>
      <c r="N135" s="345"/>
      <c r="O135" s="346"/>
      <c r="P135" s="345"/>
      <c r="Q135" s="345"/>
      <c r="R135" s="346"/>
      <c r="S135" s="1547"/>
      <c r="T135" s="533">
        <f>T134/S134</f>
        <v>0.46825490637189671</v>
      </c>
      <c r="U135" s="350">
        <f>U134/S134</f>
        <v>8.333682857916351E-2</v>
      </c>
      <c r="V135" s="1557">
        <f>V134/S134</f>
        <v>0.25775849249411847</v>
      </c>
      <c r="W135" s="350">
        <f>W134/S134</f>
        <v>0</v>
      </c>
      <c r="X135" s="352">
        <f>X134/S134</f>
        <v>0.19064977255482135</v>
      </c>
      <c r="Y135" s="351">
        <f>Y134/S134</f>
        <v>0.57607116574709927</v>
      </c>
      <c r="Z135" s="352">
        <f>Z134/S134</f>
        <v>0.23327906169807941</v>
      </c>
      <c r="AA135" s="1395"/>
      <c r="AB135" s="524"/>
      <c r="AC135" s="524"/>
      <c r="AD135" s="356"/>
    </row>
    <row r="136" spans="1:30" x14ac:dyDescent="0.3">
      <c r="A136" s="243" t="s">
        <v>533</v>
      </c>
      <c r="B136" s="193"/>
      <c r="C136" s="193"/>
      <c r="D136" s="193"/>
      <c r="E136" s="193"/>
      <c r="F136" s="244"/>
      <c r="G136" s="193"/>
      <c r="H136" s="193"/>
      <c r="I136" s="2182">
        <f>I135/$M$135</f>
        <v>0.39215686274509803</v>
      </c>
      <c r="J136" s="2182">
        <f t="shared" ref="J136:L136" si="35">J135/$M$135</f>
        <v>0.39215686274509803</v>
      </c>
      <c r="K136" s="2182">
        <f t="shared" si="35"/>
        <v>0.21568627450980393</v>
      </c>
      <c r="L136" s="2182">
        <f t="shared" si="35"/>
        <v>0</v>
      </c>
      <c r="M136" s="193"/>
      <c r="N136" s="246"/>
      <c r="O136" s="196"/>
      <c r="P136" s="246"/>
      <c r="Q136" s="194">
        <f>T134</f>
        <v>24561</v>
      </c>
      <c r="R136" s="247">
        <f>Q136/Q141</f>
        <v>0.46825490637189671</v>
      </c>
      <c r="X136" s="248"/>
      <c r="Y136" s="1048">
        <f>I123+I125+I127+I128</f>
        <v>18</v>
      </c>
      <c r="Z136" s="1049">
        <f>I124+I126</f>
        <v>2</v>
      </c>
      <c r="AA136" s="4"/>
    </row>
    <row r="137" spans="1:30" x14ac:dyDescent="0.3">
      <c r="A137" s="251" t="s">
        <v>11</v>
      </c>
      <c r="B137" s="252"/>
      <c r="C137" s="252"/>
      <c r="D137" s="252"/>
      <c r="E137" s="252"/>
      <c r="F137" s="253"/>
      <c r="G137" s="252"/>
      <c r="H137" s="252"/>
      <c r="I137" s="254"/>
      <c r="J137" s="254"/>
      <c r="K137" s="254"/>
      <c r="L137" s="254"/>
      <c r="M137" s="252"/>
      <c r="N137" s="255"/>
      <c r="O137" s="256"/>
      <c r="P137" s="255"/>
      <c r="Q137" s="257">
        <f>U134</f>
        <v>4371.2</v>
      </c>
      <c r="R137" s="262">
        <f>Q137/Q141</f>
        <v>8.333682857916351E-2</v>
      </c>
      <c r="S137" s="1068">
        <f>Q134/M134</f>
        <v>2622.6099999999997</v>
      </c>
      <c r="T137" s="1069" t="s">
        <v>535</v>
      </c>
      <c r="Y137" s="964">
        <f>Y136/M134</f>
        <v>0.9</v>
      </c>
      <c r="Z137" s="323">
        <f>Z136/M134</f>
        <v>0.1</v>
      </c>
    </row>
    <row r="138" spans="1:30" x14ac:dyDescent="0.3">
      <c r="A138" s="251" t="s">
        <v>536</v>
      </c>
      <c r="B138" s="252"/>
      <c r="C138" s="252"/>
      <c r="D138" s="252"/>
      <c r="E138" s="252"/>
      <c r="F138" s="253"/>
      <c r="G138" s="252"/>
      <c r="H138" s="252"/>
      <c r="I138" s="254"/>
      <c r="J138" s="254"/>
      <c r="K138" s="254"/>
      <c r="L138" s="254"/>
      <c r="M138" s="252"/>
      <c r="N138" s="255"/>
      <c r="O138" s="256"/>
      <c r="P138" s="255"/>
      <c r="Q138" s="257">
        <f>V134</f>
        <v>13520</v>
      </c>
      <c r="R138" s="262">
        <f>Q138/Q141</f>
        <v>0.25775849249411847</v>
      </c>
      <c r="W138" s="99"/>
      <c r="Y138" s="2714" t="s">
        <v>537</v>
      </c>
      <c r="Z138" s="2714"/>
    </row>
    <row r="139" spans="1:30" x14ac:dyDescent="0.3">
      <c r="A139" s="251" t="s">
        <v>529</v>
      </c>
      <c r="B139" s="252"/>
      <c r="C139" s="252"/>
      <c r="D139" s="252"/>
      <c r="E139" s="252"/>
      <c r="F139" s="253"/>
      <c r="G139" s="252"/>
      <c r="H139" s="252"/>
      <c r="I139" s="254"/>
      <c r="J139" s="254"/>
      <c r="K139" s="254"/>
      <c r="L139" s="254"/>
      <c r="M139" s="252"/>
      <c r="N139" s="255"/>
      <c r="O139" s="256"/>
      <c r="P139" s="255"/>
      <c r="Q139" s="257">
        <f>X134</f>
        <v>10000</v>
      </c>
      <c r="R139" s="262">
        <f>Q139/Q141</f>
        <v>0.19064977255482135</v>
      </c>
    </row>
    <row r="140" spans="1:30" x14ac:dyDescent="0.3">
      <c r="A140" s="251" t="s">
        <v>528</v>
      </c>
      <c r="B140" s="252"/>
      <c r="C140" s="252"/>
      <c r="D140" s="252"/>
      <c r="E140" s="252"/>
      <c r="F140" s="253"/>
      <c r="G140" s="252"/>
      <c r="H140" s="252"/>
      <c r="I140" s="254"/>
      <c r="J140" s="254"/>
      <c r="K140" s="254"/>
      <c r="L140" s="254"/>
      <c r="M140" s="252"/>
      <c r="N140" s="255"/>
      <c r="O140" s="256"/>
      <c r="P140" s="255"/>
      <c r="Q140" s="257">
        <f>W134</f>
        <v>0</v>
      </c>
      <c r="R140" s="262">
        <f>Q140/Q141</f>
        <v>0</v>
      </c>
    </row>
    <row r="141" spans="1:30" x14ac:dyDescent="0.3">
      <c r="A141" s="251"/>
      <c r="B141" s="252"/>
      <c r="C141" s="252"/>
      <c r="D141" s="252"/>
      <c r="E141" s="252"/>
      <c r="F141" s="253"/>
      <c r="G141" s="252"/>
      <c r="H141" s="252"/>
      <c r="I141" s="254"/>
      <c r="J141" s="254"/>
      <c r="K141" s="254"/>
      <c r="L141" s="254"/>
      <c r="M141" s="252"/>
      <c r="N141" s="255"/>
      <c r="O141" s="256"/>
      <c r="P141" s="255"/>
      <c r="Q141" s="264">
        <f>SUM(Q136:Q140)</f>
        <v>52452.2</v>
      </c>
      <c r="R141" s="262">
        <f>SUM(R136:R140)</f>
        <v>1</v>
      </c>
    </row>
    <row r="145" spans="1:30" x14ac:dyDescent="0.3">
      <c r="E145" s="1" t="s">
        <v>562</v>
      </c>
      <c r="F145" s="2" t="s">
        <v>1022</v>
      </c>
    </row>
    <row r="146" spans="1:30" x14ac:dyDescent="0.3">
      <c r="E146" s="1" t="s">
        <v>473</v>
      </c>
      <c r="F146" s="2" t="s">
        <v>213</v>
      </c>
    </row>
    <row r="147" spans="1:30" x14ac:dyDescent="0.3">
      <c r="E147" s="1" t="s">
        <v>475</v>
      </c>
      <c r="F147" s="2" t="s">
        <v>1023</v>
      </c>
    </row>
    <row r="148" spans="1:30" x14ac:dyDescent="0.3">
      <c r="E148" s="1" t="s">
        <v>477</v>
      </c>
      <c r="F148" s="2" t="s">
        <v>1024</v>
      </c>
    </row>
    <row r="150" spans="1:30" ht="18" x14ac:dyDescent="0.35">
      <c r="A150" s="1037" t="s">
        <v>567</v>
      </c>
    </row>
    <row r="151" spans="1:30" x14ac:dyDescent="0.3">
      <c r="A151" s="208"/>
      <c r="B151" s="369"/>
      <c r="C151" s="369"/>
      <c r="D151" s="369"/>
      <c r="E151" s="369"/>
      <c r="F151" s="370"/>
      <c r="G151" s="369"/>
      <c r="H151" s="369"/>
      <c r="I151" s="208"/>
      <c r="J151" s="208"/>
      <c r="K151" s="208"/>
      <c r="L151" s="208"/>
      <c r="M151" s="369"/>
      <c r="N151" s="371"/>
      <c r="O151" s="372"/>
      <c r="P151" s="371"/>
      <c r="Q151" s="371"/>
      <c r="R151" s="372"/>
      <c r="S151" s="371"/>
    </row>
    <row r="152" spans="1:30" ht="18" x14ac:dyDescent="0.3">
      <c r="A152" s="2775" t="s">
        <v>482</v>
      </c>
      <c r="B152" s="2775" t="s">
        <v>483</v>
      </c>
      <c r="C152" s="2775" t="s">
        <v>484</v>
      </c>
      <c r="D152" s="2775" t="s">
        <v>555</v>
      </c>
      <c r="E152" s="2775" t="s">
        <v>556</v>
      </c>
      <c r="F152" s="2776" t="s">
        <v>487</v>
      </c>
      <c r="G152" s="2775" t="s">
        <v>557</v>
      </c>
      <c r="H152" s="2775" t="s">
        <v>489</v>
      </c>
      <c r="I152" s="2777" t="s">
        <v>490</v>
      </c>
      <c r="J152" s="2778"/>
      <c r="K152" s="2778"/>
      <c r="L152" s="2779"/>
      <c r="M152" s="1558" t="s">
        <v>491</v>
      </c>
      <c r="N152" s="1559" t="s">
        <v>558</v>
      </c>
      <c r="O152" s="1560" t="s">
        <v>493</v>
      </c>
      <c r="P152" s="1559" t="s">
        <v>558</v>
      </c>
      <c r="Q152" s="1559" t="s">
        <v>559</v>
      </c>
      <c r="R152" s="2770" t="s">
        <v>495</v>
      </c>
      <c r="S152" s="1074" t="s">
        <v>496</v>
      </c>
      <c r="T152" s="2553" t="s">
        <v>497</v>
      </c>
      <c r="U152" s="2553"/>
      <c r="V152" s="2553"/>
      <c r="W152" s="2553"/>
      <c r="X152" s="2553"/>
      <c r="Y152" s="2552" t="s">
        <v>498</v>
      </c>
      <c r="Z152" s="2556"/>
      <c r="AA152" s="2552" t="s">
        <v>499</v>
      </c>
      <c r="AB152" s="2553"/>
      <c r="AC152" s="2553"/>
      <c r="AD152" s="2556"/>
    </row>
    <row r="153" spans="1:30" ht="18" x14ac:dyDescent="0.3">
      <c r="A153" s="2216"/>
      <c r="B153" s="2216"/>
      <c r="C153" s="2216"/>
      <c r="D153" s="2216"/>
      <c r="E153" s="2216"/>
      <c r="F153" s="2214"/>
      <c r="G153" s="2216"/>
      <c r="H153" s="2216"/>
      <c r="I153" s="106" t="s">
        <v>500</v>
      </c>
      <c r="J153" s="106" t="s">
        <v>501</v>
      </c>
      <c r="K153" s="106" t="s">
        <v>502</v>
      </c>
      <c r="L153" s="106" t="s">
        <v>503</v>
      </c>
      <c r="M153" s="379" t="s">
        <v>504</v>
      </c>
      <c r="N153" s="380" t="s">
        <v>505</v>
      </c>
      <c r="O153" s="381" t="s">
        <v>506</v>
      </c>
      <c r="P153" s="380" t="s">
        <v>507</v>
      </c>
      <c r="Q153" s="380" t="s">
        <v>560</v>
      </c>
      <c r="R153" s="2771"/>
      <c r="S153" s="1561" t="s">
        <v>508</v>
      </c>
      <c r="T153" s="2772"/>
      <c r="U153" s="2772"/>
      <c r="V153" s="2772"/>
      <c r="W153" s="2772"/>
      <c r="X153" s="2772"/>
      <c r="Y153" s="2773"/>
      <c r="Z153" s="2774"/>
      <c r="AA153" s="2773"/>
      <c r="AB153" s="2772"/>
      <c r="AC153" s="2772"/>
      <c r="AD153" s="2774"/>
    </row>
    <row r="154" spans="1:30" ht="18" x14ac:dyDescent="0.35">
      <c r="A154" s="2763" t="s">
        <v>568</v>
      </c>
      <c r="B154" s="2764"/>
      <c r="C154" s="2764"/>
      <c r="D154" s="2764"/>
      <c r="E154" s="2764"/>
      <c r="F154" s="2764"/>
      <c r="G154" s="2764"/>
      <c r="H154" s="2764"/>
      <c r="I154" s="2764"/>
      <c r="J154" s="2764"/>
      <c r="K154" s="2764"/>
      <c r="L154" s="2764"/>
      <c r="M154" s="2764"/>
      <c r="N154" s="2764"/>
      <c r="O154" s="2764"/>
      <c r="P154" s="2764"/>
      <c r="Q154" s="2764"/>
      <c r="R154" s="2765"/>
      <c r="S154" s="1552"/>
      <c r="T154" s="1553" t="s">
        <v>510</v>
      </c>
      <c r="U154" s="1554" t="s">
        <v>11</v>
      </c>
      <c r="V154" s="1554" t="s">
        <v>511</v>
      </c>
      <c r="W154" s="1554" t="s">
        <v>512</v>
      </c>
      <c r="X154" s="1555" t="s">
        <v>513</v>
      </c>
      <c r="Y154" s="1556" t="s">
        <v>514</v>
      </c>
      <c r="Z154" s="278" t="s">
        <v>515</v>
      </c>
      <c r="AA154" s="1527" t="s">
        <v>204</v>
      </c>
      <c r="AB154" s="1528" t="s">
        <v>205</v>
      </c>
      <c r="AC154" s="1528" t="s">
        <v>206</v>
      </c>
      <c r="AD154" s="1529"/>
    </row>
    <row r="155" spans="1:30" x14ac:dyDescent="0.3">
      <c r="A155" s="154"/>
      <c r="B155" s="462"/>
      <c r="C155" s="462"/>
      <c r="D155" s="462"/>
      <c r="E155" s="462"/>
      <c r="F155" s="463"/>
      <c r="G155" s="462"/>
      <c r="H155" s="462"/>
      <c r="I155" s="465"/>
      <c r="J155" s="465"/>
      <c r="K155" s="465"/>
      <c r="L155" s="465"/>
      <c r="M155" s="462"/>
      <c r="N155" s="468"/>
      <c r="O155" s="469"/>
      <c r="P155" s="468"/>
      <c r="Q155" s="468"/>
      <c r="R155" s="469"/>
      <c r="S155" s="166"/>
      <c r="T155" s="188"/>
      <c r="X155" s="286"/>
      <c r="Y155" s="280"/>
      <c r="Z155" s="152"/>
      <c r="AD155" s="152"/>
    </row>
    <row r="156" spans="1:30" x14ac:dyDescent="0.3">
      <c r="A156" s="157" t="s">
        <v>1016</v>
      </c>
      <c r="B156" s="157" t="s">
        <v>207</v>
      </c>
      <c r="C156" s="157" t="s">
        <v>1017</v>
      </c>
      <c r="D156" s="157" t="s">
        <v>208</v>
      </c>
      <c r="E156" s="157" t="s">
        <v>520</v>
      </c>
      <c r="F156" s="158" t="s">
        <v>523</v>
      </c>
      <c r="G156" s="157">
        <v>2</v>
      </c>
      <c r="H156" s="157" t="s">
        <v>63</v>
      </c>
      <c r="I156" s="175">
        <v>2</v>
      </c>
      <c r="J156" s="688"/>
      <c r="L156" s="286"/>
      <c r="M156" s="163">
        <v>1</v>
      </c>
      <c r="N156" s="166">
        <v>1800</v>
      </c>
      <c r="O156" s="173">
        <v>0.15</v>
      </c>
      <c r="P156" s="166">
        <f t="shared" ref="P156" si="36">N156*(1-O156)</f>
        <v>1530</v>
      </c>
      <c r="Q156" s="166">
        <f t="shared" ref="Q156:Q159" si="37">P156*M156*G156</f>
        <v>3060</v>
      </c>
      <c r="R156" s="184">
        <f>Q156/$Q$165</f>
        <v>0.14436005095060622</v>
      </c>
      <c r="S156" s="503">
        <f>Q156*3</f>
        <v>9180</v>
      </c>
      <c r="T156" s="394">
        <f t="shared" ref="T156:T158" si="38">S156</f>
        <v>9180</v>
      </c>
      <c r="X156" s="286"/>
      <c r="Y156" s="282">
        <f>S156</f>
        <v>9180</v>
      </c>
      <c r="Z156" s="171"/>
      <c r="AA156" s="169">
        <f>S156</f>
        <v>9180</v>
      </c>
      <c r="AD156" s="152"/>
    </row>
    <row r="157" spans="1:30" x14ac:dyDescent="0.3">
      <c r="A157" s="157" t="s">
        <v>1016</v>
      </c>
      <c r="B157" s="157" t="s">
        <v>207</v>
      </c>
      <c r="C157" s="157" t="s">
        <v>1017</v>
      </c>
      <c r="D157" s="157" t="s">
        <v>102</v>
      </c>
      <c r="E157" s="157" t="s">
        <v>518</v>
      </c>
      <c r="F157" s="158" t="s">
        <v>645</v>
      </c>
      <c r="G157" s="157">
        <v>1</v>
      </c>
      <c r="H157" s="157" t="s">
        <v>24</v>
      </c>
      <c r="I157" s="2445">
        <v>1</v>
      </c>
      <c r="J157" s="726"/>
      <c r="K157" s="726"/>
      <c r="L157" s="727"/>
      <c r="M157" s="163">
        <v>1</v>
      </c>
      <c r="N157" s="166">
        <v>5000</v>
      </c>
      <c r="O157" s="173">
        <v>0.15</v>
      </c>
      <c r="P157" s="166">
        <f>N157*(1-O157)</f>
        <v>4250</v>
      </c>
      <c r="Q157" s="166">
        <f t="shared" si="37"/>
        <v>4250</v>
      </c>
      <c r="R157" s="167">
        <f>Q157/$Q$165</f>
        <v>0.20050007076473086</v>
      </c>
      <c r="S157" s="503">
        <f t="shared" ref="S157:S159" si="39">Q157*3</f>
        <v>12750</v>
      </c>
      <c r="T157" s="394">
        <f t="shared" si="38"/>
        <v>12750</v>
      </c>
      <c r="X157" s="286"/>
      <c r="Y157" s="282"/>
      <c r="Z157" s="171">
        <f>S157</f>
        <v>12750</v>
      </c>
      <c r="AA157" s="169">
        <f>S157</f>
        <v>12750</v>
      </c>
      <c r="AD157" s="152"/>
    </row>
    <row r="158" spans="1:30" x14ac:dyDescent="0.3">
      <c r="A158" s="157" t="s">
        <v>1016</v>
      </c>
      <c r="B158" s="157" t="s">
        <v>207</v>
      </c>
      <c r="C158" s="157" t="s">
        <v>1017</v>
      </c>
      <c r="D158" s="157" t="s">
        <v>26</v>
      </c>
      <c r="E158" s="157" t="s">
        <v>520</v>
      </c>
      <c r="F158" s="158" t="s">
        <v>43</v>
      </c>
      <c r="G158" s="157">
        <v>1</v>
      </c>
      <c r="H158" s="157" t="s">
        <v>24</v>
      </c>
      <c r="I158" s="182">
        <v>1</v>
      </c>
      <c r="J158" s="183"/>
      <c r="K158" s="183"/>
      <c r="L158" s="2239"/>
      <c r="M158" s="163">
        <v>1</v>
      </c>
      <c r="N158" s="166">
        <v>5500</v>
      </c>
      <c r="O158" s="173">
        <v>0.15</v>
      </c>
      <c r="P158" s="166">
        <f t="shared" ref="P158:P159" si="40">N158*(1-O158)</f>
        <v>4675</v>
      </c>
      <c r="Q158" s="166">
        <f t="shared" si="37"/>
        <v>4675</v>
      </c>
      <c r="R158" s="184">
        <f>Q158/$Q$165</f>
        <v>0.22055007784120395</v>
      </c>
      <c r="S158" s="503">
        <f t="shared" si="39"/>
        <v>14025</v>
      </c>
      <c r="T158" s="394">
        <f t="shared" si="38"/>
        <v>14025</v>
      </c>
      <c r="X158" s="286"/>
      <c r="Y158" s="282">
        <f>S158</f>
        <v>14025</v>
      </c>
      <c r="Z158" s="171"/>
      <c r="AA158" s="169">
        <f>S158</f>
        <v>14025</v>
      </c>
      <c r="AB158" s="169"/>
      <c r="AD158" s="152"/>
    </row>
    <row r="159" spans="1:30" x14ac:dyDescent="0.3">
      <c r="A159" s="157" t="s">
        <v>1016</v>
      </c>
      <c r="B159" s="157" t="s">
        <v>209</v>
      </c>
      <c r="C159" s="157" t="s">
        <v>1021</v>
      </c>
      <c r="D159" s="157" t="s">
        <v>214</v>
      </c>
      <c r="E159" s="157" t="s">
        <v>520</v>
      </c>
      <c r="F159" s="158" t="s">
        <v>521</v>
      </c>
      <c r="G159" s="157">
        <v>6</v>
      </c>
      <c r="H159" s="157" t="s">
        <v>24</v>
      </c>
      <c r="I159" s="182">
        <v>6</v>
      </c>
      <c r="J159" s="183"/>
      <c r="K159" s="183"/>
      <c r="L159" s="2239"/>
      <c r="M159" s="163">
        <v>1</v>
      </c>
      <c r="N159" s="166">
        <v>900</v>
      </c>
      <c r="O159" s="173">
        <v>0.22</v>
      </c>
      <c r="P159" s="166">
        <f t="shared" si="40"/>
        <v>702</v>
      </c>
      <c r="Q159" s="166">
        <f t="shared" si="37"/>
        <v>4212</v>
      </c>
      <c r="R159" s="184">
        <f>Q159/$Q$165</f>
        <v>0.19870736424965796</v>
      </c>
      <c r="S159" s="503">
        <f t="shared" si="39"/>
        <v>12636</v>
      </c>
      <c r="T159" s="394"/>
      <c r="V159" s="169">
        <f>S159</f>
        <v>12636</v>
      </c>
      <c r="X159" s="286"/>
      <c r="Y159" s="282"/>
      <c r="Z159" s="171">
        <f>S159</f>
        <v>12636</v>
      </c>
      <c r="AB159" s="169">
        <f>S159</f>
        <v>12636</v>
      </c>
      <c r="AD159" s="152"/>
    </row>
    <row r="160" spans="1:30" x14ac:dyDescent="0.3">
      <c r="A160" s="157"/>
      <c r="B160" s="157"/>
      <c r="C160" s="157"/>
      <c r="D160" s="157"/>
      <c r="E160" s="157"/>
      <c r="F160" s="158"/>
      <c r="G160" s="157"/>
      <c r="H160" s="157"/>
      <c r="I160" s="1"/>
      <c r="J160" s="1"/>
      <c r="K160" s="1"/>
      <c r="L160" s="163"/>
      <c r="M160" s="163"/>
      <c r="N160" s="166"/>
      <c r="O160" s="173"/>
      <c r="P160" s="166"/>
      <c r="Q160" s="166"/>
      <c r="R160" s="184"/>
      <c r="S160" s="503"/>
      <c r="T160" s="394"/>
      <c r="U160" s="169">
        <f>S160</f>
        <v>0</v>
      </c>
      <c r="V160" s="169"/>
      <c r="X160" s="286"/>
      <c r="Y160" s="282">
        <f>S160</f>
        <v>0</v>
      </c>
      <c r="Z160" s="171"/>
      <c r="AB160" s="169"/>
      <c r="AC160" s="169">
        <f>S160</f>
        <v>0</v>
      </c>
      <c r="AD160" s="152"/>
    </row>
    <row r="161" spans="1:30" x14ac:dyDescent="0.3">
      <c r="A161" s="172"/>
      <c r="B161" s="157"/>
      <c r="C161" s="190"/>
      <c r="D161" s="190"/>
      <c r="E161" s="190"/>
      <c r="F161" s="191"/>
      <c r="G161" s="190"/>
      <c r="H161" s="190"/>
      <c r="I161" s="245"/>
      <c r="J161" s="245"/>
      <c r="K161" s="245"/>
      <c r="L161" s="287"/>
      <c r="M161" s="190"/>
      <c r="N161" s="194"/>
      <c r="O161" s="195"/>
      <c r="P161" s="194"/>
      <c r="Q161" s="166"/>
      <c r="R161" s="393"/>
      <c r="S161" s="503"/>
      <c r="T161" s="394"/>
      <c r="V161" s="169">
        <f>S161</f>
        <v>0</v>
      </c>
      <c r="X161" s="286"/>
      <c r="Y161" s="282">
        <f>S161</f>
        <v>0</v>
      </c>
      <c r="Z161" s="171"/>
      <c r="AB161" s="169">
        <f>S161</f>
        <v>0</v>
      </c>
      <c r="AC161" s="169"/>
      <c r="AD161" s="152"/>
    </row>
    <row r="162" spans="1:30" x14ac:dyDescent="0.3">
      <c r="A162" s="108" t="s">
        <v>1020</v>
      </c>
      <c r="B162" s="108" t="s">
        <v>528</v>
      </c>
      <c r="C162" s="289"/>
      <c r="D162" s="252"/>
      <c r="E162" s="252"/>
      <c r="F162" s="253"/>
      <c r="G162" s="252"/>
      <c r="H162" s="252"/>
      <c r="I162" s="254"/>
      <c r="J162" s="254"/>
      <c r="K162" s="254"/>
      <c r="L162" s="254"/>
      <c r="M162" s="252"/>
      <c r="N162" s="255"/>
      <c r="O162" s="256"/>
      <c r="P162" s="290"/>
      <c r="Q162" s="257"/>
      <c r="R162" s="291">
        <f>Q162/Q165</f>
        <v>0</v>
      </c>
      <c r="S162" s="503"/>
      <c r="T162" s="394"/>
      <c r="V162" s="169"/>
      <c r="X162" s="286"/>
      <c r="Y162" s="282"/>
      <c r="Z162" s="171"/>
      <c r="AD162" s="171"/>
    </row>
    <row r="163" spans="1:30" x14ac:dyDescent="0.3">
      <c r="A163" s="108" t="s">
        <v>1020</v>
      </c>
      <c r="B163" s="108" t="s">
        <v>529</v>
      </c>
      <c r="C163" s="289"/>
      <c r="D163" s="252"/>
      <c r="E163" s="252"/>
      <c r="F163" s="253"/>
      <c r="G163" s="252"/>
      <c r="H163" s="252"/>
      <c r="I163" s="254"/>
      <c r="J163" s="254"/>
      <c r="K163" s="254"/>
      <c r="L163" s="254"/>
      <c r="M163" s="252"/>
      <c r="N163" s="255"/>
      <c r="O163" s="256"/>
      <c r="P163" s="290"/>
      <c r="Q163" s="257">
        <v>5000</v>
      </c>
      <c r="R163" s="291">
        <f>Q163/Q165</f>
        <v>0.235882436193801</v>
      </c>
      <c r="S163" s="503">
        <f t="shared" ref="S163" si="41">Q163*3</f>
        <v>15000</v>
      </c>
      <c r="T163" s="188"/>
      <c r="X163" s="1475">
        <f>S163</f>
        <v>15000</v>
      </c>
      <c r="Y163" s="282"/>
      <c r="Z163" s="171"/>
      <c r="AD163" s="171"/>
    </row>
    <row r="164" spans="1:30" x14ac:dyDescent="0.3">
      <c r="S164" s="503"/>
      <c r="T164" s="188"/>
      <c r="W164" s="169"/>
      <c r="X164" s="286"/>
      <c r="Y164" s="280"/>
      <c r="Z164" s="152"/>
      <c r="AD164" s="152"/>
    </row>
    <row r="165" spans="1:30" x14ac:dyDescent="0.3">
      <c r="A165" s="396" t="s">
        <v>531</v>
      </c>
      <c r="B165" s="373"/>
      <c r="C165" s="373"/>
      <c r="D165" s="373"/>
      <c r="E165" s="373"/>
      <c r="F165" s="397"/>
      <c r="G165" s="373"/>
      <c r="H165" s="373"/>
      <c r="I165" s="373">
        <f>I159+I158+I157+I156</f>
        <v>10</v>
      </c>
      <c r="J165" s="373"/>
      <c r="K165" s="373"/>
      <c r="L165" s="373"/>
      <c r="M165" s="373">
        <f>SUM(I165:L165)</f>
        <v>10</v>
      </c>
      <c r="N165" s="398"/>
      <c r="O165" s="399"/>
      <c r="P165" s="398"/>
      <c r="Q165" s="400">
        <f>SUM(Q155:Q164)</f>
        <v>21197</v>
      </c>
      <c r="R165" s="399">
        <f>SUM(R155:R163)</f>
        <v>1</v>
      </c>
      <c r="S165" s="1562">
        <f t="shared" ref="S165:X165" si="42">SUM(S156:S164)</f>
        <v>63591</v>
      </c>
      <c r="T165" s="542">
        <f t="shared" si="42"/>
        <v>35955</v>
      </c>
      <c r="U165" s="404">
        <f t="shared" si="42"/>
        <v>0</v>
      </c>
      <c r="V165" s="404">
        <f t="shared" si="42"/>
        <v>12636</v>
      </c>
      <c r="W165" s="404">
        <f t="shared" si="42"/>
        <v>0</v>
      </c>
      <c r="X165" s="405">
        <f t="shared" si="42"/>
        <v>15000</v>
      </c>
      <c r="Y165" s="406">
        <f>SUM(Y155:Y164)</f>
        <v>23205</v>
      </c>
      <c r="Z165" s="405">
        <f>SUM(Z155:Z164)</f>
        <v>25386</v>
      </c>
      <c r="AA165" s="404">
        <f>SUM(AA156:AA164)</f>
        <v>35955</v>
      </c>
      <c r="AB165" s="404">
        <f>SUM(AB155:AB164)</f>
        <v>12636</v>
      </c>
      <c r="AC165" s="404">
        <f>SUM(AC155:AC164)</f>
        <v>0</v>
      </c>
      <c r="AD165" s="405"/>
    </row>
    <row r="166" spans="1:30" x14ac:dyDescent="0.3">
      <c r="A166" s="410" t="s">
        <v>532</v>
      </c>
      <c r="B166" s="411"/>
      <c r="C166" s="411"/>
      <c r="D166" s="411"/>
      <c r="E166" s="411"/>
      <c r="F166" s="412"/>
      <c r="G166" s="411"/>
      <c r="H166" s="411"/>
      <c r="I166" s="411">
        <f>I159+I158+I157+I156</f>
        <v>10</v>
      </c>
      <c r="J166" s="411">
        <f>I166</f>
        <v>10</v>
      </c>
      <c r="K166" s="411">
        <f>I159+I158+I157</f>
        <v>8</v>
      </c>
      <c r="L166" s="411"/>
      <c r="M166" s="411">
        <f>SUM(I166:L166)</f>
        <v>28</v>
      </c>
      <c r="N166" s="413"/>
      <c r="O166" s="414"/>
      <c r="P166" s="413"/>
      <c r="Q166" s="413"/>
      <c r="R166" s="414"/>
      <c r="S166" s="1563"/>
      <c r="T166" s="624">
        <f>T165/S165</f>
        <v>0.56541019955654104</v>
      </c>
      <c r="U166" s="418">
        <f>U165/S165</f>
        <v>0</v>
      </c>
      <c r="V166" s="1564">
        <f>V165/S165</f>
        <v>0.19870736424965796</v>
      </c>
      <c r="W166" s="418">
        <f>W165/S165</f>
        <v>0</v>
      </c>
      <c r="X166" s="419">
        <f>X165/S165</f>
        <v>0.235882436193801</v>
      </c>
      <c r="Y166" s="420">
        <f>Y165/S165</f>
        <v>0.36491012879181017</v>
      </c>
      <c r="Z166" s="419">
        <f>Z165/S165</f>
        <v>0.39920743501438882</v>
      </c>
      <c r="AA166" s="1401"/>
      <c r="AB166" s="550"/>
      <c r="AC166" s="550"/>
      <c r="AD166" s="424"/>
    </row>
    <row r="167" spans="1:30" x14ac:dyDescent="0.3">
      <c r="A167" s="243" t="s">
        <v>533</v>
      </c>
      <c r="B167" s="193"/>
      <c r="C167" s="193"/>
      <c r="D167" s="193"/>
      <c r="E167" s="193"/>
      <c r="F167" s="244"/>
      <c r="G167" s="193"/>
      <c r="H167" s="193"/>
      <c r="I167" s="2182">
        <f>I166/$M$166</f>
        <v>0.35714285714285715</v>
      </c>
      <c r="J167" s="2182">
        <f t="shared" ref="J167:L167" si="43">J166/$M$166</f>
        <v>0.35714285714285715</v>
      </c>
      <c r="K167" s="2182">
        <f t="shared" si="43"/>
        <v>0.2857142857142857</v>
      </c>
      <c r="L167" s="2182">
        <f t="shared" si="43"/>
        <v>0</v>
      </c>
      <c r="M167" s="193"/>
      <c r="N167" s="246"/>
      <c r="O167" s="196"/>
      <c r="P167" s="246"/>
      <c r="Q167" s="194">
        <f>T165/3</f>
        <v>11985</v>
      </c>
      <c r="R167" s="247">
        <f>Q167/Q172</f>
        <v>0.56541019955654104</v>
      </c>
      <c r="X167" s="248"/>
      <c r="Y167" s="1048">
        <f>I156+I158+I160+I161</f>
        <v>3</v>
      </c>
      <c r="Z167" s="1049">
        <f>I157+I159</f>
        <v>7</v>
      </c>
      <c r="AA167" s="4"/>
    </row>
    <row r="168" spans="1:30" x14ac:dyDescent="0.3">
      <c r="A168" s="251" t="s">
        <v>11</v>
      </c>
      <c r="B168" s="252"/>
      <c r="C168" s="252"/>
      <c r="D168" s="252"/>
      <c r="E168" s="252"/>
      <c r="F168" s="253"/>
      <c r="G168" s="252"/>
      <c r="H168" s="252"/>
      <c r="I168" s="254"/>
      <c r="J168" s="254"/>
      <c r="K168" s="254"/>
      <c r="L168" s="254"/>
      <c r="M168" s="252"/>
      <c r="N168" s="255"/>
      <c r="O168" s="256"/>
      <c r="P168" s="255"/>
      <c r="Q168" s="257">
        <f>U165/3</f>
        <v>0</v>
      </c>
      <c r="R168" s="262">
        <f>Q168/Q172</f>
        <v>0</v>
      </c>
      <c r="S168" s="1077">
        <f>Q165/M165</f>
        <v>2119.6999999999998</v>
      </c>
      <c r="T168" s="1078" t="s">
        <v>535</v>
      </c>
      <c r="Y168" s="964">
        <f>Y167/M165</f>
        <v>0.3</v>
      </c>
      <c r="Z168" s="323">
        <f>Z167/M165</f>
        <v>0.7</v>
      </c>
    </row>
    <row r="169" spans="1:30" x14ac:dyDescent="0.3">
      <c r="A169" s="251" t="s">
        <v>536</v>
      </c>
      <c r="B169" s="252"/>
      <c r="C169" s="252"/>
      <c r="D169" s="252"/>
      <c r="E169" s="252"/>
      <c r="F169" s="253"/>
      <c r="G169" s="252"/>
      <c r="H169" s="252"/>
      <c r="I169" s="254"/>
      <c r="J169" s="254"/>
      <c r="K169" s="254"/>
      <c r="L169" s="254"/>
      <c r="M169" s="252"/>
      <c r="N169" s="255"/>
      <c r="O169" s="256"/>
      <c r="P169" s="255"/>
      <c r="Q169" s="257">
        <f>V165/3</f>
        <v>4212</v>
      </c>
      <c r="R169" s="262">
        <f>Q169/Q172</f>
        <v>0.19870736424965796</v>
      </c>
      <c r="W169" s="99"/>
      <c r="Y169" s="2768" t="s">
        <v>537</v>
      </c>
      <c r="Z169" s="2769"/>
    </row>
    <row r="170" spans="1:30" x14ac:dyDescent="0.3">
      <c r="A170" s="251" t="s">
        <v>529</v>
      </c>
      <c r="B170" s="252"/>
      <c r="C170" s="252"/>
      <c r="D170" s="252"/>
      <c r="E170" s="252"/>
      <c r="F170" s="253"/>
      <c r="G170" s="252"/>
      <c r="H170" s="252"/>
      <c r="I170" s="254"/>
      <c r="J170" s="254"/>
      <c r="K170" s="254"/>
      <c r="L170" s="254"/>
      <c r="M170" s="252"/>
      <c r="N170" s="255"/>
      <c r="O170" s="256"/>
      <c r="P170" s="255"/>
      <c r="Q170" s="257">
        <f>X165/3</f>
        <v>5000</v>
      </c>
      <c r="R170" s="262">
        <f>Q170/Q172</f>
        <v>0.235882436193801</v>
      </c>
    </row>
    <row r="171" spans="1:30" x14ac:dyDescent="0.3">
      <c r="A171" s="251" t="s">
        <v>528</v>
      </c>
      <c r="B171" s="252"/>
      <c r="C171" s="252"/>
      <c r="D171" s="252"/>
      <c r="E171" s="252"/>
      <c r="F171" s="253"/>
      <c r="G171" s="252"/>
      <c r="H171" s="252"/>
      <c r="I171" s="254"/>
      <c r="J171" s="254"/>
      <c r="K171" s="254"/>
      <c r="L171" s="254"/>
      <c r="M171" s="252"/>
      <c r="N171" s="255"/>
      <c r="O171" s="256"/>
      <c r="P171" s="255"/>
      <c r="Q171" s="257"/>
      <c r="R171" s="262">
        <f>Q171/Q172</f>
        <v>0</v>
      </c>
    </row>
    <row r="172" spans="1:30" x14ac:dyDescent="0.3">
      <c r="A172" s="251"/>
      <c r="B172" s="252"/>
      <c r="C172" s="252"/>
      <c r="D172" s="252"/>
      <c r="E172" s="252"/>
      <c r="F172" s="253"/>
      <c r="G172" s="252"/>
      <c r="H172" s="252"/>
      <c r="I172" s="254"/>
      <c r="J172" s="254"/>
      <c r="K172" s="254"/>
      <c r="L172" s="254"/>
      <c r="M172" s="252"/>
      <c r="N172" s="255"/>
      <c r="O172" s="256"/>
      <c r="P172" s="255"/>
      <c r="Q172" s="264">
        <f>SUM(Q167:Q171)</f>
        <v>21197</v>
      </c>
      <c r="R172" s="262">
        <f>SUM(R167:R171)</f>
        <v>1</v>
      </c>
      <c r="T172" s="263"/>
    </row>
    <row r="173" spans="1:30" x14ac:dyDescent="0.3">
      <c r="A173" s="188"/>
      <c r="N173" s="5"/>
      <c r="O173" s="6"/>
      <c r="P173" s="5"/>
      <c r="Q173" s="5"/>
      <c r="R173" s="6"/>
      <c r="S173" s="600"/>
      <c r="Z173" s="263">
        <f>SUM(AA174:AC174)</f>
        <v>468710.2</v>
      </c>
      <c r="AA173" s="1565" t="s">
        <v>204</v>
      </c>
      <c r="AB173" s="1566" t="s">
        <v>205</v>
      </c>
      <c r="AC173" s="1566" t="s">
        <v>206</v>
      </c>
      <c r="AD173" s="1567"/>
    </row>
    <row r="174" spans="1:30" ht="18" x14ac:dyDescent="0.35">
      <c r="A174" s="1568" t="s">
        <v>878</v>
      </c>
      <c r="B174" s="1569"/>
      <c r="C174" s="1569"/>
      <c r="D174" s="1569"/>
      <c r="E174" s="1569"/>
      <c r="F174" s="1570"/>
      <c r="G174" s="1569"/>
      <c r="H174" s="1569"/>
      <c r="I174" s="1571"/>
      <c r="J174" s="1571"/>
      <c r="K174" s="1571"/>
      <c r="L174" s="1571"/>
      <c r="M174" s="1569"/>
      <c r="N174" s="1572"/>
      <c r="O174" s="1573"/>
      <c r="P174" s="1572"/>
      <c r="Q174" s="1572"/>
      <c r="R174" s="763"/>
      <c r="S174" s="1035">
        <f>S165+S134+S108+S75+S47</f>
        <v>572710.19999999995</v>
      </c>
      <c r="Y174" s="137"/>
      <c r="Z174" t="s">
        <v>601</v>
      </c>
      <c r="AA174" s="1574">
        <f>AA165+AA134+AA108+AA75+AA47</f>
        <v>213945</v>
      </c>
      <c r="AB174" s="1575">
        <f t="shared" ref="AB174:AC174" si="44">AB165+AB134+AB108+AB75+AB47</f>
        <v>94352</v>
      </c>
      <c r="AC174" s="1575">
        <f t="shared" si="44"/>
        <v>160413.20000000001</v>
      </c>
      <c r="AD174" s="1576"/>
    </row>
    <row r="175" spans="1:30" x14ac:dyDescent="0.3">
      <c r="R175" s="3" t="s">
        <v>571</v>
      </c>
      <c r="S175" s="99">
        <f>D20-S174</f>
        <v>-11971.449999999953</v>
      </c>
    </row>
    <row r="176" spans="1:30" x14ac:dyDescent="0.3">
      <c r="Q176" s="116"/>
      <c r="R176" s="626"/>
    </row>
    <row r="177" spans="1:18" x14ac:dyDescent="0.3">
      <c r="A177" s="4"/>
      <c r="R177" s="98"/>
    </row>
    <row r="178" spans="1:18" x14ac:dyDescent="0.3">
      <c r="Q178" s="116"/>
      <c r="R178" s="626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F63"/>
  <sheetViews>
    <sheetView topLeftCell="A19" workbookViewId="0">
      <selection activeCell="H32" sqref="H32:H35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360</v>
      </c>
      <c r="C2" t="s">
        <v>361</v>
      </c>
      <c r="D2" t="s">
        <v>362</v>
      </c>
      <c r="E2" s="1" t="s">
        <v>207</v>
      </c>
      <c r="F2" s="1" t="s">
        <v>208</v>
      </c>
      <c r="G2" s="2186">
        <v>1</v>
      </c>
      <c r="H2" s="2186">
        <f>VLOOKUP(G2,Pesos!A:B,2,0)</f>
        <v>0.9</v>
      </c>
      <c r="I2" s="1" t="s">
        <v>308</v>
      </c>
      <c r="J2" s="1"/>
      <c r="K2" s="1">
        <v>6</v>
      </c>
      <c r="L2" s="1">
        <v>14</v>
      </c>
      <c r="M2" s="1">
        <v>7</v>
      </c>
      <c r="N2" s="1" t="s">
        <v>63</v>
      </c>
      <c r="O2" s="1">
        <v>7</v>
      </c>
      <c r="P2" s="1"/>
      <c r="Q2" s="1"/>
      <c r="R2" s="1"/>
      <c r="S2" s="1">
        <v>1</v>
      </c>
      <c r="T2" s="26">
        <v>1800</v>
      </c>
      <c r="U2" s="24">
        <v>0.15</v>
      </c>
      <c r="V2" s="25">
        <f>T2*(1-U2)</f>
        <v>1530</v>
      </c>
      <c r="W2" s="25">
        <f t="shared" ref="W2:W8" si="0">V2*S2*M2</f>
        <v>10710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360</v>
      </c>
      <c r="C3" t="s">
        <v>361</v>
      </c>
      <c r="D3" t="s">
        <v>362</v>
      </c>
      <c r="E3" s="1" t="s">
        <v>207</v>
      </c>
      <c r="F3" s="1" t="s">
        <v>102</v>
      </c>
      <c r="G3" s="2186">
        <v>3</v>
      </c>
      <c r="H3" s="2186">
        <f>VLOOKUP(G3,Pesos!A:B,2,0)</f>
        <v>0.7</v>
      </c>
      <c r="J3" s="1" t="s">
        <v>308</v>
      </c>
      <c r="K3" s="1">
        <v>4</v>
      </c>
      <c r="L3" s="1">
        <v>8</v>
      </c>
      <c r="M3" s="1">
        <v>2</v>
      </c>
      <c r="N3" s="1" t="s">
        <v>24</v>
      </c>
      <c r="O3" s="1">
        <v>2</v>
      </c>
      <c r="S3" s="1">
        <v>1</v>
      </c>
      <c r="T3" s="26">
        <v>5000</v>
      </c>
      <c r="U3" s="24">
        <v>0.15</v>
      </c>
      <c r="V3" s="26">
        <f>T3*(1-U3)</f>
        <v>4250</v>
      </c>
      <c r="W3" s="26">
        <f t="shared" si="0"/>
        <v>8500</v>
      </c>
      <c r="X3" s="6"/>
      <c r="Y3" s="22"/>
      <c r="Z3" s="1"/>
    </row>
    <row r="4" spans="1:32" x14ac:dyDescent="0.3">
      <c r="A4" t="s">
        <v>327</v>
      </c>
      <c r="B4" t="s">
        <v>360</v>
      </c>
      <c r="C4" t="s">
        <v>361</v>
      </c>
      <c r="D4" t="s">
        <v>362</v>
      </c>
      <c r="E4" s="1" t="s">
        <v>207</v>
      </c>
      <c r="F4" s="1" t="s">
        <v>26</v>
      </c>
      <c r="G4" s="2186">
        <v>5</v>
      </c>
      <c r="H4" s="2186">
        <f>VLOOKUP(G4,Pesos!A:B,2,0)</f>
        <v>0.5</v>
      </c>
      <c r="I4" s="1" t="s">
        <v>308</v>
      </c>
      <c r="K4" s="1">
        <v>2</v>
      </c>
      <c r="L4" s="1">
        <v>5</v>
      </c>
      <c r="M4" s="1">
        <v>2</v>
      </c>
      <c r="N4" s="1" t="s">
        <v>24</v>
      </c>
      <c r="O4" s="1">
        <v>2</v>
      </c>
      <c r="S4" s="1">
        <v>1</v>
      </c>
      <c r="T4" s="26">
        <v>5500</v>
      </c>
      <c r="U4" s="24">
        <v>0.15</v>
      </c>
      <c r="V4" s="26">
        <f t="shared" ref="V4" si="1">T4*(1-U4)</f>
        <v>4675</v>
      </c>
      <c r="W4" s="26">
        <f t="shared" si="0"/>
        <v>9350</v>
      </c>
      <c r="X4" s="6"/>
      <c r="Y4" s="22"/>
      <c r="Z4" s="1"/>
    </row>
    <row r="5" spans="1:32" x14ac:dyDescent="0.3">
      <c r="A5" t="s">
        <v>327</v>
      </c>
      <c r="B5" t="s">
        <v>360</v>
      </c>
      <c r="C5" t="s">
        <v>361</v>
      </c>
      <c r="D5" t="s">
        <v>362</v>
      </c>
      <c r="E5" s="1" t="s">
        <v>209</v>
      </c>
      <c r="F5" s="1" t="s">
        <v>102</v>
      </c>
      <c r="G5" s="2186">
        <v>3</v>
      </c>
      <c r="H5" s="2186">
        <f>VLOOKUP(G5,Pesos!A:B,2,0)</f>
        <v>0.7</v>
      </c>
      <c r="J5" s="1" t="s">
        <v>308</v>
      </c>
      <c r="K5" s="1">
        <v>4</v>
      </c>
      <c r="L5" s="2" t="s">
        <v>330</v>
      </c>
      <c r="M5" s="1">
        <v>2</v>
      </c>
      <c r="N5" s="1" t="s">
        <v>22</v>
      </c>
      <c r="O5" s="1">
        <v>2</v>
      </c>
      <c r="S5" s="1">
        <v>1</v>
      </c>
      <c r="T5" s="26">
        <v>18150</v>
      </c>
      <c r="U5" s="24">
        <v>0.56000000000000005</v>
      </c>
      <c r="V5" s="26">
        <f>T5*(1-U5)</f>
        <v>7985.9999999999991</v>
      </c>
      <c r="W5" s="26">
        <f t="shared" si="0"/>
        <v>15971.999999999998</v>
      </c>
      <c r="X5" s="18"/>
      <c r="Y5" s="22"/>
      <c r="Z5" s="1"/>
    </row>
    <row r="6" spans="1:32" x14ac:dyDescent="0.3">
      <c r="A6" t="s">
        <v>327</v>
      </c>
      <c r="B6" t="s">
        <v>360</v>
      </c>
      <c r="C6" t="s">
        <v>361</v>
      </c>
      <c r="D6" t="s">
        <v>362</v>
      </c>
      <c r="E6" s="1" t="s">
        <v>210</v>
      </c>
      <c r="F6" s="1" t="s">
        <v>211</v>
      </c>
      <c r="G6" s="2186">
        <v>4</v>
      </c>
      <c r="H6" s="2186">
        <f>VLOOKUP(G6,Pesos!A:B,2,0)</f>
        <v>0.6</v>
      </c>
      <c r="I6" s="1" t="s">
        <v>308</v>
      </c>
      <c r="K6" s="1">
        <v>5</v>
      </c>
      <c r="L6" s="2" t="s">
        <v>256</v>
      </c>
      <c r="M6" s="1">
        <v>5</v>
      </c>
      <c r="N6" s="1" t="s">
        <v>63</v>
      </c>
      <c r="O6" s="1">
        <v>5</v>
      </c>
      <c r="S6" s="1">
        <v>1</v>
      </c>
      <c r="T6" s="26">
        <v>2732</v>
      </c>
      <c r="U6" s="24">
        <v>0.6</v>
      </c>
      <c r="V6" s="26">
        <f>T6*(1-U6)</f>
        <v>1092.8</v>
      </c>
      <c r="W6" s="26">
        <f t="shared" si="0"/>
        <v>5464</v>
      </c>
      <c r="X6" s="6"/>
      <c r="Y6" s="22"/>
      <c r="Z6" s="1"/>
    </row>
    <row r="7" spans="1:32" x14ac:dyDescent="0.3">
      <c r="A7" t="s">
        <v>327</v>
      </c>
      <c r="B7" t="s">
        <v>360</v>
      </c>
      <c r="C7" t="s">
        <v>361</v>
      </c>
      <c r="D7" t="s">
        <v>362</v>
      </c>
      <c r="E7" s="1" t="s">
        <v>210</v>
      </c>
      <c r="F7" s="1" t="s">
        <v>102</v>
      </c>
      <c r="G7" s="2186">
        <v>3</v>
      </c>
      <c r="H7" s="2186">
        <f>VLOOKUP(G7,Pesos!A:B,2,0)</f>
        <v>0.7</v>
      </c>
      <c r="J7" s="1" t="s">
        <v>308</v>
      </c>
      <c r="K7" s="1">
        <v>4</v>
      </c>
      <c r="L7" s="2" t="s">
        <v>330</v>
      </c>
      <c r="M7" s="1">
        <v>1</v>
      </c>
      <c r="N7" s="1" t="s">
        <v>24</v>
      </c>
      <c r="O7" s="1">
        <v>1</v>
      </c>
      <c r="S7" s="1">
        <v>1</v>
      </c>
      <c r="T7" s="26">
        <v>19087</v>
      </c>
      <c r="U7" s="24">
        <v>0.6</v>
      </c>
      <c r="V7" s="26">
        <f>T7*(1-U7)</f>
        <v>7634.8</v>
      </c>
      <c r="W7" s="26">
        <f t="shared" si="0"/>
        <v>7634.8</v>
      </c>
      <c r="X7" s="6"/>
      <c r="Y7" s="22"/>
      <c r="Z7" s="1"/>
    </row>
    <row r="8" spans="1:32" x14ac:dyDescent="0.3">
      <c r="A8" t="s">
        <v>327</v>
      </c>
      <c r="B8" t="s">
        <v>360</v>
      </c>
      <c r="C8" t="s">
        <v>361</v>
      </c>
      <c r="D8" t="s">
        <v>362</v>
      </c>
      <c r="E8" s="1" t="s">
        <v>210</v>
      </c>
      <c r="F8" s="1" t="s">
        <v>29</v>
      </c>
      <c r="G8" s="2186">
        <v>2</v>
      </c>
      <c r="H8" s="2186">
        <f>VLOOKUP(G8,Pesos!A:B,2,0)</f>
        <v>0.8</v>
      </c>
      <c r="I8" s="1" t="s">
        <v>308</v>
      </c>
      <c r="K8" s="1">
        <v>1</v>
      </c>
      <c r="L8" s="2" t="s">
        <v>333</v>
      </c>
      <c r="M8" s="1">
        <v>1</v>
      </c>
      <c r="N8" s="1" t="s">
        <v>24</v>
      </c>
      <c r="O8" s="1">
        <v>1</v>
      </c>
      <c r="S8" s="1">
        <v>1</v>
      </c>
      <c r="T8" s="26">
        <v>27268</v>
      </c>
      <c r="U8" s="24">
        <v>0.6</v>
      </c>
      <c r="V8" s="26">
        <f>T8*(1-U8)</f>
        <v>10907.2</v>
      </c>
      <c r="W8" s="26">
        <f t="shared" si="0"/>
        <v>10907.2</v>
      </c>
      <c r="X8" s="6"/>
      <c r="Y8" s="22"/>
      <c r="Z8" s="1"/>
    </row>
    <row r="9" spans="1:32" x14ac:dyDescent="0.3">
      <c r="G9" s="2186"/>
      <c r="H9" s="2186"/>
      <c r="L9" s="2"/>
      <c r="M9" s="1"/>
      <c r="T9" s="26"/>
      <c r="U9" s="24"/>
      <c r="V9" s="26"/>
      <c r="W9" s="26"/>
      <c r="X9" s="6"/>
      <c r="Y9" s="22"/>
      <c r="Z9" s="1"/>
    </row>
    <row r="10" spans="1:32" x14ac:dyDescent="0.3">
      <c r="A10" t="s">
        <v>340</v>
      </c>
      <c r="B10" t="s">
        <v>360</v>
      </c>
      <c r="C10" t="s">
        <v>361</v>
      </c>
      <c r="D10" t="s">
        <v>362</v>
      </c>
      <c r="E10" s="1" t="s">
        <v>207</v>
      </c>
      <c r="F10" s="1" t="s">
        <v>208</v>
      </c>
      <c r="G10" s="2186">
        <v>2</v>
      </c>
      <c r="H10" s="2186">
        <f>VLOOKUP(G10,Pesos!A:B,2,0)</f>
        <v>0.8</v>
      </c>
      <c r="I10" s="1" t="s">
        <v>308</v>
      </c>
      <c r="K10" s="1">
        <v>6</v>
      </c>
      <c r="L10" s="2" t="s">
        <v>351</v>
      </c>
      <c r="M10" s="1">
        <v>8</v>
      </c>
      <c r="N10" s="1" t="s">
        <v>63</v>
      </c>
      <c r="O10" s="1">
        <v>8</v>
      </c>
      <c r="S10" s="1">
        <v>1</v>
      </c>
      <c r="T10" s="26">
        <v>1800</v>
      </c>
      <c r="U10" s="24">
        <v>0.15</v>
      </c>
      <c r="V10" s="26">
        <f>T10*(1-U10)</f>
        <v>1530</v>
      </c>
      <c r="W10" s="26">
        <f>V10*S10*M10</f>
        <v>12240</v>
      </c>
      <c r="X10" s="6"/>
      <c r="Y10" s="22"/>
      <c r="Z10" s="1"/>
    </row>
    <row r="11" spans="1:32" x14ac:dyDescent="0.3">
      <c r="A11" t="s">
        <v>340</v>
      </c>
      <c r="B11" t="s">
        <v>360</v>
      </c>
      <c r="C11" t="s">
        <v>361</v>
      </c>
      <c r="D11" t="s">
        <v>362</v>
      </c>
      <c r="E11" s="1" t="s">
        <v>207</v>
      </c>
      <c r="F11" s="1" t="s">
        <v>102</v>
      </c>
      <c r="G11" s="2186">
        <v>1</v>
      </c>
      <c r="H11" s="2186">
        <f>VLOOKUP(G11,Pesos!A:B,2,0)</f>
        <v>0.9</v>
      </c>
      <c r="J11" s="1" t="s">
        <v>308</v>
      </c>
      <c r="K11" s="1">
        <v>4</v>
      </c>
      <c r="L11" s="2" t="s">
        <v>330</v>
      </c>
      <c r="M11" s="1">
        <v>2</v>
      </c>
      <c r="N11" s="1" t="s">
        <v>24</v>
      </c>
      <c r="O11" s="1">
        <v>2</v>
      </c>
      <c r="S11" s="1">
        <v>1</v>
      </c>
      <c r="T11" s="26">
        <v>5000</v>
      </c>
      <c r="U11" s="24">
        <v>0.15</v>
      </c>
      <c r="V11" s="26">
        <f>T11*(1-U11)</f>
        <v>4250</v>
      </c>
      <c r="W11" s="26">
        <f>V11*S11*M11</f>
        <v>8500</v>
      </c>
      <c r="X11" s="6"/>
      <c r="Y11" s="22"/>
      <c r="Z11" s="1"/>
    </row>
    <row r="12" spans="1:32" x14ac:dyDescent="0.3">
      <c r="A12" t="s">
        <v>340</v>
      </c>
      <c r="B12" t="s">
        <v>360</v>
      </c>
      <c r="C12" t="s">
        <v>361</v>
      </c>
      <c r="D12" t="s">
        <v>362</v>
      </c>
      <c r="E12" s="1" t="s">
        <v>207</v>
      </c>
      <c r="F12" s="1" t="s">
        <v>26</v>
      </c>
      <c r="G12" s="2186">
        <v>5</v>
      </c>
      <c r="H12" s="2186">
        <f>VLOOKUP(G12,Pesos!A:B,2,0)</f>
        <v>0.5</v>
      </c>
      <c r="I12" s="1" t="s">
        <v>308</v>
      </c>
      <c r="K12" s="1">
        <v>2</v>
      </c>
      <c r="L12" s="2" t="s">
        <v>229</v>
      </c>
      <c r="M12" s="1">
        <v>1</v>
      </c>
      <c r="N12" s="1" t="s">
        <v>24</v>
      </c>
      <c r="O12" s="1">
        <v>1</v>
      </c>
      <c r="S12" s="1">
        <v>1</v>
      </c>
      <c r="T12" s="26">
        <v>5500</v>
      </c>
      <c r="U12" s="24">
        <v>0.15</v>
      </c>
      <c r="V12" s="26">
        <f>T12*(1-U12)</f>
        <v>4675</v>
      </c>
      <c r="W12" s="26">
        <f>V12*S12*M12</f>
        <v>4675</v>
      </c>
      <c r="X12" s="6"/>
      <c r="Y12" s="22"/>
      <c r="Z12" s="1"/>
    </row>
    <row r="13" spans="1:32" x14ac:dyDescent="0.3">
      <c r="A13" t="s">
        <v>340</v>
      </c>
      <c r="B13" t="s">
        <v>360</v>
      </c>
      <c r="C13" t="s">
        <v>361</v>
      </c>
      <c r="D13" t="s">
        <v>362</v>
      </c>
      <c r="E13" s="1" t="s">
        <v>209</v>
      </c>
      <c r="F13" s="1" t="s">
        <v>102</v>
      </c>
      <c r="G13" s="2186">
        <v>1</v>
      </c>
      <c r="H13" s="2186">
        <f>VLOOKUP(G13,Pesos!A:B,2,0)</f>
        <v>0.9</v>
      </c>
      <c r="J13" s="1" t="s">
        <v>308</v>
      </c>
      <c r="K13" s="1">
        <v>4</v>
      </c>
      <c r="L13" s="2" t="s">
        <v>330</v>
      </c>
      <c r="M13" s="1">
        <v>1</v>
      </c>
      <c r="N13" s="1" t="s">
        <v>22</v>
      </c>
      <c r="O13" s="1">
        <v>1</v>
      </c>
      <c r="S13" s="1">
        <v>1</v>
      </c>
      <c r="T13" s="26">
        <v>18150</v>
      </c>
      <c r="U13" s="24">
        <v>0.56000000000000005</v>
      </c>
      <c r="V13" s="26">
        <f>T13*(1-U13)</f>
        <v>7985.9999999999991</v>
      </c>
      <c r="W13" s="26">
        <f>V13*S13*M13</f>
        <v>7985.9999999999991</v>
      </c>
      <c r="X13" s="6"/>
      <c r="Y13" s="22"/>
      <c r="Z13" s="1"/>
    </row>
    <row r="14" spans="1:32" x14ac:dyDescent="0.3">
      <c r="A14" t="s">
        <v>340</v>
      </c>
      <c r="B14" t="s">
        <v>360</v>
      </c>
      <c r="C14" t="s">
        <v>361</v>
      </c>
      <c r="D14" t="s">
        <v>362</v>
      </c>
      <c r="E14" s="1" t="s">
        <v>210</v>
      </c>
      <c r="F14" s="1" t="s">
        <v>211</v>
      </c>
      <c r="G14" s="2186">
        <v>4</v>
      </c>
      <c r="H14" s="2186">
        <f>VLOOKUP(G14,Pesos!A:B,2,0)</f>
        <v>0.6</v>
      </c>
      <c r="I14" s="1" t="s">
        <v>308</v>
      </c>
      <c r="K14" s="1">
        <v>5</v>
      </c>
      <c r="L14" s="2" t="s">
        <v>256</v>
      </c>
      <c r="M14" s="1">
        <v>8</v>
      </c>
      <c r="N14" s="1" t="s">
        <v>24</v>
      </c>
      <c r="O14" s="1">
        <v>8</v>
      </c>
      <c r="S14" s="1">
        <v>1</v>
      </c>
      <c r="T14" s="26">
        <v>2732</v>
      </c>
      <c r="U14" s="24">
        <v>0.6</v>
      </c>
      <c r="V14" s="26">
        <f t="shared" ref="V14:V16" si="2">T14*(1-U14)</f>
        <v>1092.8</v>
      </c>
      <c r="W14" s="26">
        <f t="shared" ref="W14:W16" si="3">V14*S14*M14</f>
        <v>8742.4</v>
      </c>
      <c r="X14" s="6"/>
      <c r="Y14" s="22"/>
      <c r="Z14" s="1"/>
    </row>
    <row r="15" spans="1:32" x14ac:dyDescent="0.3">
      <c r="A15" t="s">
        <v>340</v>
      </c>
      <c r="B15" t="s">
        <v>360</v>
      </c>
      <c r="C15" t="s">
        <v>361</v>
      </c>
      <c r="D15" t="s">
        <v>362</v>
      </c>
      <c r="E15" s="1" t="s">
        <v>210</v>
      </c>
      <c r="F15" s="1" t="s">
        <v>102</v>
      </c>
      <c r="G15" s="2186">
        <v>1</v>
      </c>
      <c r="H15" s="2186">
        <f>VLOOKUP(G15,Pesos!A:B,2,0)</f>
        <v>0.9</v>
      </c>
      <c r="J15" s="1" t="s">
        <v>308</v>
      </c>
      <c r="K15" s="1">
        <v>4</v>
      </c>
      <c r="L15" s="2" t="s">
        <v>330</v>
      </c>
      <c r="M15" s="1">
        <v>1</v>
      </c>
      <c r="N15" s="1" t="s">
        <v>24</v>
      </c>
      <c r="O15" s="1">
        <v>1</v>
      </c>
      <c r="S15" s="1">
        <v>1</v>
      </c>
      <c r="T15" s="26">
        <v>19087</v>
      </c>
      <c r="U15" s="24">
        <v>0.6</v>
      </c>
      <c r="V15" s="26">
        <f t="shared" si="2"/>
        <v>7634.8</v>
      </c>
      <c r="W15" s="26">
        <f t="shared" si="3"/>
        <v>7634.8</v>
      </c>
      <c r="X15" s="6"/>
      <c r="Y15" s="22"/>
      <c r="Z15" s="1"/>
    </row>
    <row r="16" spans="1:32" x14ac:dyDescent="0.3">
      <c r="A16" t="s">
        <v>340</v>
      </c>
      <c r="B16" t="s">
        <v>360</v>
      </c>
      <c r="C16" t="s">
        <v>361</v>
      </c>
      <c r="D16" t="s">
        <v>362</v>
      </c>
      <c r="E16" s="1" t="s">
        <v>209</v>
      </c>
      <c r="F16" s="1" t="s">
        <v>212</v>
      </c>
      <c r="G16" s="2186">
        <v>3</v>
      </c>
      <c r="H16" s="2186">
        <f>VLOOKUP(G16,Pesos!A:B,2,0)</f>
        <v>0.7</v>
      </c>
      <c r="I16" s="1" t="s">
        <v>308</v>
      </c>
      <c r="K16" s="1">
        <v>10</v>
      </c>
      <c r="L16" s="2" t="s">
        <v>256</v>
      </c>
      <c r="M16" s="1">
        <v>12</v>
      </c>
      <c r="N16" s="1" t="s">
        <v>24</v>
      </c>
      <c r="O16" s="1">
        <v>12</v>
      </c>
      <c r="S16" s="1">
        <v>1</v>
      </c>
      <c r="T16" s="26">
        <v>2600</v>
      </c>
      <c r="U16" s="24">
        <v>0.35</v>
      </c>
      <c r="V16" s="26">
        <f t="shared" si="2"/>
        <v>1690</v>
      </c>
      <c r="W16" s="26">
        <f t="shared" si="3"/>
        <v>20280</v>
      </c>
      <c r="X16" s="6"/>
      <c r="Y16" s="22"/>
      <c r="Z16" s="1"/>
    </row>
    <row r="17" spans="1:26" x14ac:dyDescent="0.3">
      <c r="G17" s="2186"/>
      <c r="H17" s="2186"/>
      <c r="L17" s="2"/>
      <c r="M17" s="1"/>
      <c r="T17" s="28"/>
      <c r="U17" s="29"/>
      <c r="V17" s="26"/>
      <c r="W17" s="26"/>
      <c r="X17" s="6"/>
      <c r="Y17" s="22"/>
      <c r="Z17" s="1"/>
    </row>
    <row r="18" spans="1:26" x14ac:dyDescent="0.3">
      <c r="A18" t="s">
        <v>342</v>
      </c>
      <c r="B18" t="s">
        <v>360</v>
      </c>
      <c r="C18" t="s">
        <v>361</v>
      </c>
      <c r="D18" t="s">
        <v>362</v>
      </c>
      <c r="E18" s="1" t="s">
        <v>207</v>
      </c>
      <c r="F18" s="1" t="s">
        <v>208</v>
      </c>
      <c r="G18" s="2186">
        <v>1</v>
      </c>
      <c r="H18" s="2186">
        <f>VLOOKUP(G18,Pesos!A:B,2,0)</f>
        <v>0.9</v>
      </c>
      <c r="I18" s="1" t="s">
        <v>308</v>
      </c>
      <c r="K18" s="1">
        <v>4</v>
      </c>
      <c r="L18" s="1">
        <v>10</v>
      </c>
      <c r="M18" s="1">
        <v>4</v>
      </c>
      <c r="N18" s="1" t="s">
        <v>63</v>
      </c>
      <c r="O18" s="1">
        <v>4</v>
      </c>
      <c r="S18" s="1">
        <v>1</v>
      </c>
      <c r="T18" s="26">
        <v>1800</v>
      </c>
      <c r="U18" s="24">
        <v>0.15</v>
      </c>
      <c r="V18" s="25">
        <f>T18*(1-U18)</f>
        <v>1530</v>
      </c>
      <c r="W18" s="25">
        <f>V18*S18*M18</f>
        <v>6120</v>
      </c>
      <c r="X18" s="18"/>
    </row>
    <row r="19" spans="1:26" x14ac:dyDescent="0.3">
      <c r="A19" t="s">
        <v>342</v>
      </c>
      <c r="B19" t="s">
        <v>360</v>
      </c>
      <c r="C19" t="s">
        <v>361</v>
      </c>
      <c r="D19" t="s">
        <v>362</v>
      </c>
      <c r="E19" s="1" t="s">
        <v>207</v>
      </c>
      <c r="F19" s="1" t="s">
        <v>102</v>
      </c>
      <c r="G19" s="2186">
        <v>3</v>
      </c>
      <c r="H19" s="2186">
        <f>VLOOKUP(G19,Pesos!A:B,2,0)</f>
        <v>0.7</v>
      </c>
      <c r="J19" s="1" t="s">
        <v>308</v>
      </c>
      <c r="K19" s="1">
        <v>3</v>
      </c>
      <c r="L19" s="1">
        <v>6</v>
      </c>
      <c r="M19" s="1">
        <v>1</v>
      </c>
      <c r="N19" s="1" t="s">
        <v>24</v>
      </c>
      <c r="O19" s="1">
        <v>1</v>
      </c>
      <c r="S19" s="1">
        <v>1</v>
      </c>
      <c r="T19" s="26">
        <v>5000</v>
      </c>
      <c r="U19" s="24">
        <v>0.15</v>
      </c>
      <c r="V19" s="26">
        <f>T19*(1-U19)</f>
        <v>4250</v>
      </c>
      <c r="W19" s="26">
        <f>V19*S19*M19</f>
        <v>4250</v>
      </c>
      <c r="X19" s="6"/>
    </row>
    <row r="20" spans="1:26" x14ac:dyDescent="0.3">
      <c r="A20" t="s">
        <v>342</v>
      </c>
      <c r="B20" t="s">
        <v>360</v>
      </c>
      <c r="C20" t="s">
        <v>361</v>
      </c>
      <c r="D20" t="s">
        <v>362</v>
      </c>
      <c r="E20" s="1" t="s">
        <v>207</v>
      </c>
      <c r="F20" s="1" t="s">
        <v>26</v>
      </c>
      <c r="G20" s="2186">
        <v>5</v>
      </c>
      <c r="H20" s="2186">
        <f>VLOOKUP(G20,Pesos!A:B,2,0)</f>
        <v>0.5</v>
      </c>
      <c r="I20" s="1" t="s">
        <v>308</v>
      </c>
      <c r="K20" s="1">
        <v>2</v>
      </c>
      <c r="L20" s="2" t="s">
        <v>346</v>
      </c>
      <c r="M20" s="1">
        <v>2</v>
      </c>
      <c r="N20" s="1" t="s">
        <v>24</v>
      </c>
      <c r="O20" s="1">
        <v>2</v>
      </c>
      <c r="S20" s="1">
        <v>1</v>
      </c>
      <c r="T20" s="26">
        <v>5500</v>
      </c>
      <c r="U20" s="24">
        <v>0.15</v>
      </c>
      <c r="V20" s="26">
        <f t="shared" ref="V20:V21" si="4">T20*(1-U20)</f>
        <v>4675</v>
      </c>
      <c r="W20" s="26">
        <f t="shared" ref="W20:W22" si="5">V20*S20*M20</f>
        <v>9350</v>
      </c>
      <c r="X20" s="6"/>
    </row>
    <row r="21" spans="1:26" x14ac:dyDescent="0.3">
      <c r="A21" t="s">
        <v>342</v>
      </c>
      <c r="B21" t="s">
        <v>360</v>
      </c>
      <c r="C21" t="s">
        <v>361</v>
      </c>
      <c r="D21" t="s">
        <v>362</v>
      </c>
      <c r="E21" s="1" t="s">
        <v>210</v>
      </c>
      <c r="F21" s="1" t="s">
        <v>211</v>
      </c>
      <c r="G21" s="2186">
        <v>4</v>
      </c>
      <c r="H21" s="2186">
        <f>VLOOKUP(G21,Pesos!A:B,2,0)</f>
        <v>0.6</v>
      </c>
      <c r="I21" s="1" t="s">
        <v>308</v>
      </c>
      <c r="K21" s="1">
        <v>4</v>
      </c>
      <c r="L21" s="2" t="s">
        <v>203</v>
      </c>
      <c r="M21" s="1">
        <v>4</v>
      </c>
      <c r="N21" s="1" t="s">
        <v>24</v>
      </c>
      <c r="O21" s="1">
        <v>4</v>
      </c>
      <c r="S21" s="1">
        <v>1</v>
      </c>
      <c r="T21" s="26">
        <v>2732</v>
      </c>
      <c r="U21" s="24">
        <v>0.6</v>
      </c>
      <c r="V21" s="26">
        <f t="shared" si="4"/>
        <v>1092.8</v>
      </c>
      <c r="W21" s="26">
        <f t="shared" si="5"/>
        <v>4371.2</v>
      </c>
      <c r="X21" s="6"/>
    </row>
    <row r="22" spans="1:26" x14ac:dyDescent="0.3">
      <c r="A22" t="s">
        <v>342</v>
      </c>
      <c r="B22" t="s">
        <v>360</v>
      </c>
      <c r="C22" t="s">
        <v>361</v>
      </c>
      <c r="D22" t="s">
        <v>362</v>
      </c>
      <c r="E22" s="1" t="s">
        <v>210</v>
      </c>
      <c r="F22" s="1" t="s">
        <v>102</v>
      </c>
      <c r="G22" s="2186">
        <v>3</v>
      </c>
      <c r="H22" s="2186">
        <f>VLOOKUP(G22,Pesos!A:B,2,0)</f>
        <v>0.7</v>
      </c>
      <c r="J22" s="1" t="s">
        <v>308</v>
      </c>
      <c r="K22" s="1">
        <v>3</v>
      </c>
      <c r="L22" s="2" t="s">
        <v>354</v>
      </c>
      <c r="M22" s="1">
        <v>1</v>
      </c>
      <c r="N22" s="1" t="s">
        <v>24</v>
      </c>
      <c r="O22" s="1">
        <v>1</v>
      </c>
      <c r="S22" s="1">
        <v>1</v>
      </c>
      <c r="T22" s="26">
        <v>19087</v>
      </c>
      <c r="U22" s="24">
        <v>0.6</v>
      </c>
      <c r="V22" s="26">
        <f>T22*(1-U22)</f>
        <v>7634.8</v>
      </c>
      <c r="W22" s="26">
        <f t="shared" si="5"/>
        <v>7634.8</v>
      </c>
      <c r="X22" s="6"/>
    </row>
    <row r="23" spans="1:26" x14ac:dyDescent="0.3">
      <c r="A23" t="s">
        <v>342</v>
      </c>
      <c r="B23" t="s">
        <v>360</v>
      </c>
      <c r="C23" t="s">
        <v>361</v>
      </c>
      <c r="D23" t="s">
        <v>362</v>
      </c>
      <c r="E23" s="1" t="s">
        <v>210</v>
      </c>
      <c r="F23" s="1" t="s">
        <v>29</v>
      </c>
      <c r="G23" s="2186">
        <v>2</v>
      </c>
      <c r="H23" s="2186">
        <f>VLOOKUP(G23,Pesos!A:B,2,0)</f>
        <v>0.8</v>
      </c>
      <c r="I23" s="1" t="s">
        <v>308</v>
      </c>
      <c r="K23" s="1">
        <v>1</v>
      </c>
      <c r="L23" s="2" t="s">
        <v>332</v>
      </c>
      <c r="M23" s="1">
        <v>1</v>
      </c>
      <c r="N23" s="1" t="s">
        <v>24</v>
      </c>
      <c r="O23" s="1">
        <v>1</v>
      </c>
      <c r="S23" s="1">
        <v>1</v>
      </c>
      <c r="T23" s="26">
        <v>27268</v>
      </c>
      <c r="U23" s="24">
        <v>0.6</v>
      </c>
      <c r="V23" s="26">
        <f>T23*(1-U23)</f>
        <v>10907.2</v>
      </c>
      <c r="W23" s="26">
        <f t="shared" ref="W23" si="6">V23*S23*M23</f>
        <v>10907.2</v>
      </c>
      <c r="X23" s="6"/>
    </row>
    <row r="24" spans="1:26" x14ac:dyDescent="0.3">
      <c r="G24" s="2186"/>
      <c r="H24" s="2186"/>
      <c r="M24" s="1"/>
      <c r="T24" s="28"/>
      <c r="U24" s="29"/>
      <c r="V24" s="26"/>
      <c r="W24" s="26"/>
      <c r="X24" s="6"/>
    </row>
    <row r="25" spans="1:26" x14ac:dyDescent="0.3">
      <c r="A25" t="s">
        <v>343</v>
      </c>
      <c r="B25" t="s">
        <v>360</v>
      </c>
      <c r="C25" t="s">
        <v>361</v>
      </c>
      <c r="D25" t="s">
        <v>362</v>
      </c>
      <c r="E25" s="1" t="s">
        <v>207</v>
      </c>
      <c r="F25" s="1" t="s">
        <v>208</v>
      </c>
      <c r="G25" s="2186">
        <v>4</v>
      </c>
      <c r="H25" s="2186">
        <f>VLOOKUP(G25,Pesos!A:B,2,0)</f>
        <v>0.6</v>
      </c>
      <c r="I25" s="1" t="s">
        <v>308</v>
      </c>
      <c r="K25" s="1">
        <v>3</v>
      </c>
      <c r="L25" s="1">
        <v>8</v>
      </c>
      <c r="M25" s="1">
        <v>5</v>
      </c>
      <c r="N25" s="1" t="s">
        <v>63</v>
      </c>
      <c r="O25" s="1">
        <v>5</v>
      </c>
      <c r="S25" s="1">
        <v>1</v>
      </c>
      <c r="T25" s="26">
        <v>1800</v>
      </c>
      <c r="U25" s="24">
        <v>0.15</v>
      </c>
      <c r="V25" s="26">
        <f t="shared" ref="V25:V29" si="7">T25*(1-U25)</f>
        <v>1530</v>
      </c>
      <c r="W25" s="26">
        <f t="shared" ref="W25:W29" si="8">V25*S25*M25</f>
        <v>7650</v>
      </c>
      <c r="X25" s="6"/>
    </row>
    <row r="26" spans="1:26" x14ac:dyDescent="0.3">
      <c r="A26" t="s">
        <v>343</v>
      </c>
      <c r="B26" t="s">
        <v>360</v>
      </c>
      <c r="C26" t="s">
        <v>361</v>
      </c>
      <c r="D26" t="s">
        <v>362</v>
      </c>
      <c r="E26" s="1" t="s">
        <v>207</v>
      </c>
      <c r="F26" s="1" t="s">
        <v>102</v>
      </c>
      <c r="G26" s="2186">
        <v>1</v>
      </c>
      <c r="H26" s="2186">
        <f>VLOOKUP(G26,Pesos!A:B,2,0)</f>
        <v>0.9</v>
      </c>
      <c r="J26" s="1" t="s">
        <v>308</v>
      </c>
      <c r="K26" s="1">
        <v>2</v>
      </c>
      <c r="L26" s="1">
        <v>5</v>
      </c>
      <c r="M26" s="1">
        <v>1</v>
      </c>
      <c r="N26" s="1" t="s">
        <v>24</v>
      </c>
      <c r="O26" s="1">
        <v>1</v>
      </c>
      <c r="R26" s="18"/>
      <c r="S26" s="1">
        <v>1</v>
      </c>
      <c r="T26" s="26">
        <v>5000</v>
      </c>
      <c r="U26" s="24">
        <v>0.15</v>
      </c>
      <c r="V26" s="26">
        <f t="shared" si="7"/>
        <v>4250</v>
      </c>
      <c r="W26" s="26">
        <f t="shared" si="8"/>
        <v>4250</v>
      </c>
      <c r="X26" s="6"/>
    </row>
    <row r="27" spans="1:26" x14ac:dyDescent="0.3">
      <c r="A27" t="s">
        <v>343</v>
      </c>
      <c r="B27" t="s">
        <v>360</v>
      </c>
      <c r="C27" t="s">
        <v>361</v>
      </c>
      <c r="D27" t="s">
        <v>362</v>
      </c>
      <c r="E27" s="1" t="s">
        <v>207</v>
      </c>
      <c r="F27" s="1" t="s">
        <v>26</v>
      </c>
      <c r="G27" s="2186">
        <v>5</v>
      </c>
      <c r="H27" s="2186">
        <f>VLOOKUP(G27,Pesos!A:B,2,0)</f>
        <v>0.5</v>
      </c>
      <c r="I27" s="1" t="s">
        <v>308</v>
      </c>
      <c r="K27" s="1">
        <v>1</v>
      </c>
      <c r="L27" s="1">
        <v>4</v>
      </c>
      <c r="M27" s="1">
        <v>1</v>
      </c>
      <c r="N27" s="1" t="s">
        <v>24</v>
      </c>
      <c r="O27" s="1">
        <v>1</v>
      </c>
      <c r="R27" s="6"/>
      <c r="S27" s="1">
        <v>1</v>
      </c>
      <c r="T27" s="26">
        <v>5500</v>
      </c>
      <c r="U27" s="24">
        <v>0.15</v>
      </c>
      <c r="V27" s="26">
        <f t="shared" si="7"/>
        <v>4675</v>
      </c>
      <c r="W27" s="26">
        <f t="shared" si="8"/>
        <v>4675</v>
      </c>
      <c r="X27" s="6"/>
    </row>
    <row r="28" spans="1:26" x14ac:dyDescent="0.3">
      <c r="A28" t="s">
        <v>343</v>
      </c>
      <c r="B28" t="s">
        <v>360</v>
      </c>
      <c r="C28" t="s">
        <v>361</v>
      </c>
      <c r="D28" t="s">
        <v>362</v>
      </c>
      <c r="E28" s="1" t="s">
        <v>209</v>
      </c>
      <c r="F28" s="1" t="s">
        <v>102</v>
      </c>
      <c r="G28" s="2186">
        <v>1</v>
      </c>
      <c r="H28" s="2186">
        <f>VLOOKUP(G28,Pesos!A:B,2,0)</f>
        <v>0.9</v>
      </c>
      <c r="J28" s="1" t="s">
        <v>308</v>
      </c>
      <c r="K28" s="1">
        <v>2</v>
      </c>
      <c r="L28" s="1">
        <v>5</v>
      </c>
      <c r="M28" s="1">
        <v>1</v>
      </c>
      <c r="N28" s="1" t="s">
        <v>22</v>
      </c>
      <c r="O28" s="1">
        <v>1</v>
      </c>
      <c r="R28" s="6"/>
      <c r="S28" s="1">
        <v>1</v>
      </c>
      <c r="T28" s="26">
        <v>18150</v>
      </c>
      <c r="U28" s="24">
        <v>0.56000000000000005</v>
      </c>
      <c r="V28" s="26">
        <f t="shared" si="7"/>
        <v>7985.9999999999991</v>
      </c>
      <c r="W28" s="26">
        <f t="shared" si="8"/>
        <v>7985.9999999999991</v>
      </c>
      <c r="X28" s="6"/>
    </row>
    <row r="29" spans="1:26" x14ac:dyDescent="0.3">
      <c r="A29" t="s">
        <v>343</v>
      </c>
      <c r="B29" t="s">
        <v>360</v>
      </c>
      <c r="C29" t="s">
        <v>361</v>
      </c>
      <c r="D29" t="s">
        <v>362</v>
      </c>
      <c r="E29" s="1" t="s">
        <v>210</v>
      </c>
      <c r="F29" s="1" t="s">
        <v>211</v>
      </c>
      <c r="G29" s="2186">
        <v>3</v>
      </c>
      <c r="H29" s="2186">
        <f>VLOOKUP(G29,Pesos!A:B,2,0)</f>
        <v>0.7</v>
      </c>
      <c r="I29" s="1" t="s">
        <v>308</v>
      </c>
      <c r="K29" s="1">
        <v>4</v>
      </c>
      <c r="L29" s="1">
        <v>10</v>
      </c>
      <c r="M29" s="1">
        <v>4</v>
      </c>
      <c r="N29" s="1" t="s">
        <v>24</v>
      </c>
      <c r="O29" s="1">
        <v>4</v>
      </c>
      <c r="R29" s="18"/>
      <c r="S29" s="1">
        <v>1</v>
      </c>
      <c r="T29" s="26">
        <v>2732</v>
      </c>
      <c r="U29" s="24">
        <v>0.6</v>
      </c>
      <c r="V29" s="26">
        <f t="shared" si="7"/>
        <v>1092.8</v>
      </c>
      <c r="W29" s="26">
        <f t="shared" si="8"/>
        <v>4371.2</v>
      </c>
      <c r="X29" s="6"/>
    </row>
    <row r="30" spans="1:26" x14ac:dyDescent="0.3">
      <c r="A30" t="s">
        <v>343</v>
      </c>
      <c r="B30" t="s">
        <v>360</v>
      </c>
      <c r="C30" t="s">
        <v>361</v>
      </c>
      <c r="D30" t="s">
        <v>362</v>
      </c>
      <c r="E30" s="1" t="s">
        <v>209</v>
      </c>
      <c r="F30" s="1" t="s">
        <v>212</v>
      </c>
      <c r="G30" s="2186">
        <v>2</v>
      </c>
      <c r="H30" s="2186">
        <f>VLOOKUP(G30,Pesos!A:B,2,0)</f>
        <v>0.8</v>
      </c>
      <c r="I30" s="1" t="s">
        <v>308</v>
      </c>
      <c r="K30" s="1">
        <v>8</v>
      </c>
      <c r="L30" s="1">
        <v>15</v>
      </c>
      <c r="M30" s="1">
        <v>8</v>
      </c>
      <c r="N30" s="1" t="s">
        <v>24</v>
      </c>
      <c r="O30" s="1">
        <v>8</v>
      </c>
      <c r="R30" s="18"/>
      <c r="S30" s="1">
        <v>1</v>
      </c>
      <c r="T30" s="26">
        <v>2600</v>
      </c>
      <c r="U30" s="24">
        <v>0.35</v>
      </c>
      <c r="V30" s="26">
        <f t="shared" ref="V30" si="9">T30*(1-U30)</f>
        <v>1690</v>
      </c>
      <c r="W30" s="26">
        <f t="shared" ref="W30" si="10">V30*S30*M30</f>
        <v>13520</v>
      </c>
      <c r="X30" s="6"/>
    </row>
    <row r="31" spans="1:26" x14ac:dyDescent="0.3">
      <c r="G31" s="2186"/>
      <c r="H31" s="2186"/>
      <c r="M31" s="1"/>
      <c r="R31" s="18"/>
      <c r="T31" s="28"/>
      <c r="U31" s="29"/>
      <c r="V31" s="26"/>
      <c r="W31" s="26"/>
      <c r="X31" s="6"/>
    </row>
    <row r="32" spans="1:26" x14ac:dyDescent="0.3">
      <c r="A32" t="s">
        <v>326</v>
      </c>
      <c r="B32" t="s">
        <v>360</v>
      </c>
      <c r="C32" t="s">
        <v>361</v>
      </c>
      <c r="D32" t="s">
        <v>362</v>
      </c>
      <c r="E32" s="1" t="s">
        <v>207</v>
      </c>
      <c r="F32" s="1" t="s">
        <v>208</v>
      </c>
      <c r="G32" s="2186">
        <v>3</v>
      </c>
      <c r="H32" s="2186">
        <f>VLOOKUP(G32,Pesos!A:B,2,0)</f>
        <v>0.7</v>
      </c>
      <c r="I32" s="1" t="s">
        <v>308</v>
      </c>
      <c r="K32" s="2" t="s">
        <v>332</v>
      </c>
      <c r="L32" s="1">
        <v>5</v>
      </c>
      <c r="M32" s="1">
        <v>2</v>
      </c>
      <c r="N32" s="1" t="s">
        <v>63</v>
      </c>
      <c r="O32" s="1">
        <v>2</v>
      </c>
      <c r="S32" s="1">
        <v>1</v>
      </c>
      <c r="T32" s="26">
        <v>1800</v>
      </c>
      <c r="U32" s="24">
        <v>0.15</v>
      </c>
      <c r="V32" s="26">
        <f t="shared" ref="V32:V35" si="11">T32*(1-U32)</f>
        <v>1530</v>
      </c>
      <c r="W32" s="26">
        <f t="shared" ref="W32:W35" si="12">V32*S32*M32</f>
        <v>3060</v>
      </c>
    </row>
    <row r="33" spans="1:23" x14ac:dyDescent="0.3">
      <c r="A33" t="s">
        <v>326</v>
      </c>
      <c r="B33" t="s">
        <v>360</v>
      </c>
      <c r="C33" t="s">
        <v>361</v>
      </c>
      <c r="D33" t="s">
        <v>362</v>
      </c>
      <c r="E33" s="1" t="s">
        <v>207</v>
      </c>
      <c r="F33" s="1" t="s">
        <v>102</v>
      </c>
      <c r="G33" s="2186">
        <v>1</v>
      </c>
      <c r="H33" s="2186">
        <f>VLOOKUP(G33,Pesos!A:B,2,0)</f>
        <v>0.9</v>
      </c>
      <c r="J33" s="1" t="s">
        <v>308</v>
      </c>
      <c r="K33" s="2" t="s">
        <v>38</v>
      </c>
      <c r="L33" s="1">
        <v>4</v>
      </c>
      <c r="M33" s="1">
        <v>1</v>
      </c>
      <c r="N33" s="1" t="s">
        <v>24</v>
      </c>
      <c r="O33" s="1">
        <v>1</v>
      </c>
      <c r="S33" s="1">
        <v>1</v>
      </c>
      <c r="T33" s="26">
        <v>5000</v>
      </c>
      <c r="U33" s="24">
        <v>0.15</v>
      </c>
      <c r="V33" s="26">
        <f t="shared" si="11"/>
        <v>4250</v>
      </c>
      <c r="W33" s="26">
        <f t="shared" si="12"/>
        <v>4250</v>
      </c>
    </row>
    <row r="34" spans="1:23" x14ac:dyDescent="0.3">
      <c r="A34" t="s">
        <v>326</v>
      </c>
      <c r="B34" t="s">
        <v>360</v>
      </c>
      <c r="C34" t="s">
        <v>361</v>
      </c>
      <c r="D34" t="s">
        <v>362</v>
      </c>
      <c r="E34" s="1" t="s">
        <v>207</v>
      </c>
      <c r="F34" s="1" t="s">
        <v>26</v>
      </c>
      <c r="G34" s="2186">
        <v>4</v>
      </c>
      <c r="H34" s="2186">
        <f>VLOOKUP(G34,Pesos!A:B,2,0)</f>
        <v>0.6</v>
      </c>
      <c r="I34" s="1" t="s">
        <v>308</v>
      </c>
      <c r="K34" s="2" t="s">
        <v>38</v>
      </c>
      <c r="L34" s="1">
        <v>3</v>
      </c>
      <c r="M34" s="1">
        <v>1</v>
      </c>
      <c r="N34" s="1" t="s">
        <v>24</v>
      </c>
      <c r="O34" s="1">
        <v>1</v>
      </c>
      <c r="S34" s="1">
        <v>1</v>
      </c>
      <c r="T34" s="26">
        <v>5500</v>
      </c>
      <c r="U34" s="24">
        <v>0.15</v>
      </c>
      <c r="V34" s="26">
        <f t="shared" si="11"/>
        <v>4675</v>
      </c>
      <c r="W34" s="26">
        <f t="shared" si="12"/>
        <v>4675</v>
      </c>
    </row>
    <row r="35" spans="1:23" x14ac:dyDescent="0.3">
      <c r="A35" t="s">
        <v>326</v>
      </c>
      <c r="B35" t="s">
        <v>360</v>
      </c>
      <c r="C35" t="s">
        <v>361</v>
      </c>
      <c r="D35" t="s">
        <v>362</v>
      </c>
      <c r="E35" s="1" t="s">
        <v>209</v>
      </c>
      <c r="F35" s="1" t="s">
        <v>214</v>
      </c>
      <c r="G35" s="2186">
        <v>2</v>
      </c>
      <c r="H35" s="2186">
        <f>VLOOKUP(G35,Pesos!A:B,2,0)</f>
        <v>0.8</v>
      </c>
      <c r="I35" s="1" t="s">
        <v>308</v>
      </c>
      <c r="K35" s="2" t="s">
        <v>346</v>
      </c>
      <c r="L35" s="1">
        <v>8</v>
      </c>
      <c r="M35" s="1">
        <v>6</v>
      </c>
      <c r="N35" s="1" t="s">
        <v>24</v>
      </c>
      <c r="O35" s="1">
        <v>6</v>
      </c>
      <c r="S35" s="1">
        <v>1</v>
      </c>
      <c r="T35" s="26">
        <v>900</v>
      </c>
      <c r="U35" s="24">
        <v>0.22</v>
      </c>
      <c r="V35" s="26">
        <f t="shared" si="11"/>
        <v>702</v>
      </c>
      <c r="W35" s="26">
        <f t="shared" si="12"/>
        <v>4212</v>
      </c>
    </row>
    <row r="36" spans="1:23" x14ac:dyDescent="0.3">
      <c r="M36" s="2"/>
      <c r="U36" s="29"/>
      <c r="V36" s="26"/>
      <c r="W36" s="26"/>
    </row>
    <row r="37" spans="1:23" x14ac:dyDescent="0.3">
      <c r="M37" s="2"/>
      <c r="T37" s="28"/>
      <c r="U37" s="29"/>
      <c r="V37" s="26"/>
      <c r="W37" s="26"/>
    </row>
    <row r="38" spans="1:23" x14ac:dyDescent="0.3">
      <c r="M38" s="2"/>
      <c r="T38" s="28"/>
      <c r="U38" s="29"/>
      <c r="V38" s="26"/>
      <c r="W38" s="26"/>
    </row>
    <row r="40" spans="1:23" x14ac:dyDescent="0.3">
      <c r="A40" s="47"/>
      <c r="D40" s="43" t="s">
        <v>1158</v>
      </c>
      <c r="E40" s="43" t="s">
        <v>1159</v>
      </c>
      <c r="F40" s="43" t="s">
        <v>1160</v>
      </c>
      <c r="G40" s="43"/>
    </row>
    <row r="41" spans="1:23" x14ac:dyDescent="0.3">
      <c r="A41" s="47" t="s">
        <v>1161</v>
      </c>
      <c r="B41" s="2174"/>
      <c r="C41" s="2174"/>
      <c r="D41" s="2181">
        <f>E41*(1-10%)</f>
        <v>3669.21</v>
      </c>
      <c r="E41" s="427">
        <f>ARACAJU!S50</f>
        <v>4076.9</v>
      </c>
      <c r="F41" s="427">
        <f>E41*(1+15%)</f>
        <v>4688.4349999999995</v>
      </c>
      <c r="G41" s="427"/>
    </row>
    <row r="42" spans="1:23" x14ac:dyDescent="0.3">
      <c r="A42" s="47" t="s">
        <v>1162</v>
      </c>
      <c r="B42" s="2174"/>
      <c r="C42" s="2174"/>
      <c r="D42" s="2181">
        <f>E42*(1-25%)</f>
        <v>1887.6863636363641</v>
      </c>
      <c r="E42" s="427">
        <f>ARACAJU!S78</f>
        <v>2516.915151515152</v>
      </c>
      <c r="F42" s="427">
        <f>E42*(1+5%)</f>
        <v>2642.7609090909095</v>
      </c>
      <c r="G42" s="427"/>
    </row>
    <row r="43" spans="1:23" x14ac:dyDescent="0.3">
      <c r="A43" s="47" t="s">
        <v>550</v>
      </c>
      <c r="B43" s="2174"/>
      <c r="C43" s="2174"/>
      <c r="D43" s="2181">
        <f>E43*(1-15%)</f>
        <v>3441.4015384615382</v>
      </c>
      <c r="E43" s="427">
        <f>ARACAJU!S111</f>
        <v>4048.707692307692</v>
      </c>
      <c r="F43" s="427">
        <f>E43*(1+15%)</f>
        <v>4656.0138461538454</v>
      </c>
      <c r="G43" s="427"/>
    </row>
    <row r="44" spans="1:23" x14ac:dyDescent="0.3">
      <c r="A44" s="47" t="s">
        <v>679</v>
      </c>
      <c r="B44" s="2174"/>
      <c r="C44" s="2174"/>
      <c r="D44" s="2181">
        <f>E44*(1-25%)</f>
        <v>1966.9574999999998</v>
      </c>
      <c r="E44" s="427">
        <f>ARACAJU!S137</f>
        <v>2622.6099999999997</v>
      </c>
      <c r="F44" s="427">
        <f>E44*(1+5%)</f>
        <v>2753.7404999999999</v>
      </c>
      <c r="G44" s="427"/>
    </row>
    <row r="45" spans="1:23" x14ac:dyDescent="0.3">
      <c r="A45" s="47" t="s">
        <v>568</v>
      </c>
      <c r="B45" s="2174"/>
      <c r="C45" s="2174"/>
      <c r="D45" s="2181">
        <f>E45*(1-25%)</f>
        <v>1589.7749999999999</v>
      </c>
      <c r="E45" s="427">
        <f>ARACAJU!S168</f>
        <v>2119.6999999999998</v>
      </c>
      <c r="F45" s="427">
        <f>E45*(1+5%)</f>
        <v>2225.6849999999999</v>
      </c>
      <c r="G45" s="427"/>
    </row>
    <row r="46" spans="1:23" x14ac:dyDescent="0.3">
      <c r="A46" s="47"/>
      <c r="B46" s="47"/>
      <c r="C46" s="47"/>
      <c r="D46" s="48"/>
    </row>
    <row r="47" spans="1:23" x14ac:dyDescent="0.3">
      <c r="A47" s="47"/>
      <c r="B47" s="46"/>
      <c r="C47" s="46"/>
      <c r="D47" s="2314" t="s">
        <v>1163</v>
      </c>
      <c r="E47" s="2315"/>
      <c r="F47" s="2315"/>
      <c r="G47" s="2316"/>
    </row>
    <row r="48" spans="1:23" x14ac:dyDescent="0.3">
      <c r="A48" s="47" t="s">
        <v>1161</v>
      </c>
      <c r="B48" s="2175"/>
      <c r="C48" s="2175"/>
      <c r="D48" s="3">
        <v>1</v>
      </c>
      <c r="E48" s="3"/>
      <c r="F48" s="3"/>
      <c r="G48" s="3"/>
    </row>
    <row r="49" spans="1:30" x14ac:dyDescent="0.3">
      <c r="A49" s="47" t="s">
        <v>1162</v>
      </c>
      <c r="B49" s="2175"/>
      <c r="C49" s="2175"/>
      <c r="D49" s="2175">
        <v>1</v>
      </c>
      <c r="E49" s="304"/>
      <c r="F49" s="304"/>
      <c r="G49" s="304"/>
    </row>
    <row r="50" spans="1:30" x14ac:dyDescent="0.3">
      <c r="A50" s="47" t="s">
        <v>550</v>
      </c>
      <c r="B50" s="2175"/>
      <c r="C50" s="2175"/>
      <c r="D50" s="2175">
        <v>1</v>
      </c>
      <c r="E50" s="304"/>
      <c r="F50" s="304"/>
      <c r="G50" s="304"/>
    </row>
    <row r="51" spans="1:30" x14ac:dyDescent="0.3">
      <c r="A51" s="47" t="s">
        <v>679</v>
      </c>
      <c r="B51" s="2175"/>
      <c r="C51" s="2175"/>
      <c r="D51" s="2175"/>
      <c r="E51" s="304"/>
      <c r="F51" s="304"/>
      <c r="G51" s="304"/>
    </row>
    <row r="52" spans="1:30" x14ac:dyDescent="0.3">
      <c r="A52" s="47" t="s">
        <v>568</v>
      </c>
      <c r="B52" s="47"/>
      <c r="C52" s="47"/>
      <c r="D52" s="2175"/>
      <c r="E52" s="3"/>
      <c r="F52" s="304"/>
    </row>
    <row r="53" spans="1:30" x14ac:dyDescent="0.3">
      <c r="A53" s="47"/>
      <c r="B53" s="47"/>
      <c r="C53" s="47"/>
      <c r="D53" s="48"/>
    </row>
    <row r="54" spans="1:30" x14ac:dyDescent="0.3">
      <c r="A54" s="47"/>
      <c r="B54" s="47"/>
      <c r="C54" s="47"/>
      <c r="D54" s="48"/>
    </row>
    <row r="55" spans="1:30" x14ac:dyDescent="0.3">
      <c r="A55" s="47"/>
      <c r="B55" s="47"/>
      <c r="C55" s="47"/>
      <c r="D55" s="48"/>
    </row>
    <row r="56" spans="1:30" x14ac:dyDescent="0.3">
      <c r="A56" s="47"/>
      <c r="B56" s="46"/>
      <c r="C56" s="46"/>
      <c r="D56" s="2314" t="s">
        <v>1164</v>
      </c>
      <c r="E56" s="2315"/>
      <c r="F56" s="2315"/>
      <c r="G56" s="2316"/>
    </row>
    <row r="57" spans="1:30" x14ac:dyDescent="0.3">
      <c r="A57" s="47" t="s">
        <v>1161</v>
      </c>
      <c r="B57" s="2175"/>
      <c r="C57" s="2175"/>
      <c r="D57" s="2175">
        <v>0.35714285714285715</v>
      </c>
      <c r="E57" s="2175">
        <v>0.35714285714285715</v>
      </c>
      <c r="F57" s="2175">
        <v>0.14285714285714285</v>
      </c>
      <c r="G57" s="2175">
        <v>0.14285714285714285</v>
      </c>
    </row>
    <row r="58" spans="1:30" x14ac:dyDescent="0.3">
      <c r="A58" s="47" t="s">
        <v>1162</v>
      </c>
      <c r="B58" s="6"/>
      <c r="C58" s="6"/>
      <c r="D58" s="6">
        <v>0.33</v>
      </c>
      <c r="E58" s="2175">
        <v>0.33</v>
      </c>
      <c r="F58" s="2175">
        <v>0.17</v>
      </c>
      <c r="G58" s="2175">
        <v>0.17</v>
      </c>
    </row>
    <row r="59" spans="1:30" x14ac:dyDescent="0.3">
      <c r="A59" s="47" t="s">
        <v>550</v>
      </c>
      <c r="B59" s="2175"/>
      <c r="C59" s="2175"/>
      <c r="D59" s="2175">
        <v>0.41935483870967744</v>
      </c>
      <c r="E59" s="2175">
        <v>0.41935483870967744</v>
      </c>
      <c r="F59" s="2175">
        <v>0.16129032258064516</v>
      </c>
      <c r="G59" s="2175"/>
    </row>
    <row r="60" spans="1:30" x14ac:dyDescent="0.3">
      <c r="A60" s="47" t="s">
        <v>679</v>
      </c>
      <c r="B60" s="2175"/>
      <c r="C60" s="2175"/>
      <c r="D60" s="6">
        <v>0.39215686274509803</v>
      </c>
      <c r="E60" s="6">
        <v>0.39215686274509803</v>
      </c>
      <c r="F60" s="6">
        <v>0.21568627450980393</v>
      </c>
      <c r="G60" s="2200"/>
    </row>
    <row r="61" spans="1:30" x14ac:dyDescent="0.3">
      <c r="A61" s="47" t="s">
        <v>568</v>
      </c>
      <c r="B61" s="47"/>
      <c r="C61" s="47"/>
      <c r="D61" s="6">
        <v>0.35714285714285715</v>
      </c>
      <c r="E61" s="2175">
        <v>0.35714285714285715</v>
      </c>
      <c r="F61" s="2175">
        <v>0.2857142857142857</v>
      </c>
      <c r="G61" s="2175"/>
    </row>
    <row r="63" spans="1:30" x14ac:dyDescent="0.3">
      <c r="E63" s="48"/>
      <c r="F63" s="48"/>
      <c r="G63" s="48"/>
      <c r="H63" s="48"/>
      <c r="I63" s="48"/>
      <c r="J63" s="48"/>
      <c r="K63" s="48"/>
      <c r="L63" s="48"/>
      <c r="N63" s="48"/>
      <c r="O63" s="48"/>
      <c r="P63" s="48"/>
      <c r="Q63" s="48"/>
      <c r="R63" s="48"/>
      <c r="S63" s="48"/>
      <c r="T63" s="49"/>
      <c r="U63" s="48"/>
      <c r="V63" s="49"/>
      <c r="W63" s="49"/>
      <c r="X63" s="51"/>
      <c r="Y63" s="51"/>
      <c r="AB63" s="48"/>
      <c r="AD63" s="48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E181"/>
  <sheetViews>
    <sheetView workbookViewId="0"/>
  </sheetViews>
  <sheetFormatPr defaultRowHeight="14.4" x14ac:dyDescent="0.3"/>
  <sheetData>
    <row r="1" spans="1:5" ht="21" x14ac:dyDescent="0.4">
      <c r="A1" s="92" t="s">
        <v>1027</v>
      </c>
    </row>
    <row r="2" spans="1:5" x14ac:dyDescent="0.3">
      <c r="A2" t="s">
        <v>452</v>
      </c>
    </row>
    <row r="5" spans="1:5" x14ac:dyDescent="0.3">
      <c r="B5" s="95"/>
    </row>
    <row r="7" spans="1:5" x14ac:dyDescent="0.3">
      <c r="A7" s="100" t="s">
        <v>1028</v>
      </c>
      <c r="B7" s="101">
        <v>512927.37</v>
      </c>
      <c r="C7" s="661"/>
    </row>
    <row r="8" spans="1:5" x14ac:dyDescent="0.3">
      <c r="A8" s="100" t="s">
        <v>1029</v>
      </c>
      <c r="B8" s="101">
        <v>1027405.8999999999</v>
      </c>
    </row>
    <row r="10" spans="1:5" x14ac:dyDescent="0.3">
      <c r="A10" s="103" t="s">
        <v>1030</v>
      </c>
      <c r="B10" s="104">
        <v>1249049.5</v>
      </c>
      <c r="C10" s="662"/>
    </row>
    <row r="11" spans="1:5" x14ac:dyDescent="0.3">
      <c r="A11" s="100" t="s">
        <v>1031</v>
      </c>
      <c r="B11" s="101">
        <v>1469470</v>
      </c>
      <c r="C11" s="3"/>
    </row>
    <row r="14" spans="1:5" x14ac:dyDescent="0.3">
      <c r="A14" s="4" t="s">
        <v>457</v>
      </c>
    </row>
    <row r="15" spans="1:5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</row>
    <row r="16" spans="1:5" x14ac:dyDescent="0.3">
      <c r="A16" s="107" t="s">
        <v>606</v>
      </c>
      <c r="B16" s="108" t="s">
        <v>463</v>
      </c>
      <c r="C16" s="109">
        <v>0.44</v>
      </c>
      <c r="D16" s="110">
        <f>B10*C16</f>
        <v>549581.78</v>
      </c>
      <c r="E16" s="110">
        <f>D16/3</f>
        <v>183193.92666666667</v>
      </c>
    </row>
    <row r="17" spans="1:31" x14ac:dyDescent="0.3">
      <c r="A17" s="107" t="s">
        <v>607</v>
      </c>
      <c r="B17" s="108" t="s">
        <v>465</v>
      </c>
      <c r="C17" s="109">
        <v>0.44</v>
      </c>
      <c r="D17" s="110">
        <f>B10*C17</f>
        <v>549581.78</v>
      </c>
      <c r="E17" s="110">
        <f>D17/5</f>
        <v>109916.356</v>
      </c>
    </row>
    <row r="18" spans="1:31" x14ac:dyDescent="0.3">
      <c r="A18" s="107" t="s">
        <v>608</v>
      </c>
      <c r="B18" s="108">
        <v>3</v>
      </c>
      <c r="C18" s="109">
        <v>0.12</v>
      </c>
      <c r="D18" s="110">
        <f>B10*C18</f>
        <v>149885.94</v>
      </c>
      <c r="E18" s="110">
        <f>D18/3</f>
        <v>49961.98</v>
      </c>
    </row>
    <row r="19" spans="1:31" x14ac:dyDescent="0.3">
      <c r="B19" s="1" t="s">
        <v>467</v>
      </c>
      <c r="C19" s="3">
        <f>SUM(C16:C18)</f>
        <v>1</v>
      </c>
      <c r="D19" s="112">
        <f>SUM(D16:D18)</f>
        <v>1249049.5</v>
      </c>
    </row>
    <row r="22" spans="1:31" x14ac:dyDescent="0.3">
      <c r="A22" s="100" t="s">
        <v>769</v>
      </c>
      <c r="B22" s="769">
        <v>602757</v>
      </c>
      <c r="Q22" s="115"/>
    </row>
    <row r="23" spans="1:31" x14ac:dyDescent="0.3">
      <c r="A23" s="714" t="s">
        <v>579</v>
      </c>
      <c r="B23" s="770">
        <v>302394</v>
      </c>
      <c r="E23" s="1" t="s">
        <v>470</v>
      </c>
      <c r="F23" s="2" t="s">
        <v>1032</v>
      </c>
      <c r="H23" s="1" t="s">
        <v>472</v>
      </c>
      <c r="K23" s="304">
        <v>0.63</v>
      </c>
      <c r="L23" s="304"/>
      <c r="M23" s="304"/>
    </row>
    <row r="24" spans="1:31" x14ac:dyDescent="0.3">
      <c r="E24" s="1" t="s">
        <v>473</v>
      </c>
      <c r="F24" s="2" t="s">
        <v>712</v>
      </c>
      <c r="H24" s="1" t="s">
        <v>473</v>
      </c>
      <c r="K24" s="1">
        <v>54</v>
      </c>
      <c r="L24" s="1"/>
      <c r="M24" s="1"/>
    </row>
    <row r="25" spans="1:31" x14ac:dyDescent="0.3">
      <c r="E25" s="1" t="s">
        <v>475</v>
      </c>
      <c r="F25" s="2" t="s">
        <v>1033</v>
      </c>
      <c r="H25" s="1" t="s">
        <v>475</v>
      </c>
      <c r="K25" s="1">
        <v>2996</v>
      </c>
      <c r="L25" s="1"/>
      <c r="M25" s="1"/>
      <c r="P25" s="115"/>
    </row>
    <row r="26" spans="1:31" x14ac:dyDescent="0.3">
      <c r="E26" s="1" t="s">
        <v>477</v>
      </c>
      <c r="F26" s="2" t="s">
        <v>1034</v>
      </c>
      <c r="H26" s="1" t="s">
        <v>477</v>
      </c>
      <c r="K26" s="95">
        <v>11816590</v>
      </c>
      <c r="L26" s="95"/>
      <c r="M26" s="95"/>
    </row>
    <row r="27" spans="1:31" x14ac:dyDescent="0.3">
      <c r="P27" s="115"/>
    </row>
    <row r="28" spans="1:31" ht="18" x14ac:dyDescent="0.35">
      <c r="A28" s="1037" t="s">
        <v>479</v>
      </c>
    </row>
    <row r="29" spans="1:31" ht="18" x14ac:dyDescent="0.35">
      <c r="A29" s="1037"/>
    </row>
    <row r="30" spans="1:31" x14ac:dyDescent="0.3">
      <c r="A30" s="2587" t="s">
        <v>480</v>
      </c>
      <c r="B30" s="2588"/>
      <c r="C30" s="2588"/>
      <c r="D30" s="2588"/>
      <c r="E30" s="2588"/>
      <c r="F30" s="2588"/>
      <c r="G30" s="2588"/>
      <c r="H30" s="2588"/>
      <c r="I30" s="2588"/>
      <c r="J30" s="2588"/>
      <c r="K30" s="2588"/>
      <c r="L30" s="2588"/>
      <c r="M30" s="2588"/>
      <c r="N30" s="2588"/>
      <c r="O30" s="2588"/>
      <c r="P30" s="2588"/>
      <c r="Q30" s="2588"/>
      <c r="R30" s="2589"/>
      <c r="S30" s="2563" t="s">
        <v>584</v>
      </c>
      <c r="T30" s="2564"/>
      <c r="U30" s="2564"/>
      <c r="V30" s="2564"/>
      <c r="W30" s="2564"/>
      <c r="X30" s="2564"/>
      <c r="Y30" s="2564"/>
      <c r="Z30" s="2564"/>
      <c r="AA30" s="2564"/>
      <c r="AB30" s="2564"/>
      <c r="AC30" s="2564"/>
      <c r="AD30" s="2564"/>
      <c r="AE30" s="2576"/>
    </row>
    <row r="31" spans="1:31" ht="18" x14ac:dyDescent="0.3">
      <c r="A31" s="2722" t="s">
        <v>482</v>
      </c>
      <c r="B31" s="2723" t="s">
        <v>483</v>
      </c>
      <c r="C31" s="2723" t="s">
        <v>484</v>
      </c>
      <c r="D31" s="2723" t="s">
        <v>485</v>
      </c>
      <c r="E31" s="2723" t="s">
        <v>486</v>
      </c>
      <c r="F31" s="2724" t="s">
        <v>487</v>
      </c>
      <c r="G31" s="2723" t="s">
        <v>488</v>
      </c>
      <c r="H31" s="2723" t="s">
        <v>489</v>
      </c>
      <c r="I31" s="1381" t="s">
        <v>490</v>
      </c>
      <c r="J31" s="1381"/>
      <c r="K31" s="1381"/>
      <c r="L31" s="1381"/>
      <c r="M31" s="1382" t="s">
        <v>491</v>
      </c>
      <c r="N31" s="1383" t="s">
        <v>492</v>
      </c>
      <c r="O31" s="1384" t="s">
        <v>493</v>
      </c>
      <c r="P31" s="1383" t="s">
        <v>492</v>
      </c>
      <c r="Q31" s="1383" t="s">
        <v>494</v>
      </c>
      <c r="R31" s="1385" t="s">
        <v>495</v>
      </c>
      <c r="S31" s="1052" t="s">
        <v>496</v>
      </c>
      <c r="T31" s="2608" t="s">
        <v>497</v>
      </c>
      <c r="U31" s="2607"/>
      <c r="V31" s="2607"/>
      <c r="W31" s="2607"/>
      <c r="X31" s="2607"/>
      <c r="Y31" s="2608" t="s">
        <v>498</v>
      </c>
      <c r="Z31" s="2607"/>
      <c r="AA31" s="2608" t="s">
        <v>499</v>
      </c>
      <c r="AB31" s="2607"/>
      <c r="AC31" s="2607"/>
      <c r="AD31" s="2607"/>
      <c r="AE31" s="2609"/>
    </row>
    <row r="32" spans="1:31" ht="18" x14ac:dyDescent="0.3">
      <c r="A32" s="2722"/>
      <c r="B32" s="2723"/>
      <c r="C32" s="2723"/>
      <c r="D32" s="2723"/>
      <c r="E32" s="2723"/>
      <c r="F32" s="2724"/>
      <c r="G32" s="2723"/>
      <c r="H32" s="2723"/>
      <c r="I32" s="1386" t="s">
        <v>500</v>
      </c>
      <c r="J32" s="1386" t="s">
        <v>501</v>
      </c>
      <c r="K32" s="1386" t="s">
        <v>502</v>
      </c>
      <c r="L32" s="1386" t="s">
        <v>503</v>
      </c>
      <c r="M32" s="1382" t="s">
        <v>504</v>
      </c>
      <c r="N32" s="1383" t="s">
        <v>505</v>
      </c>
      <c r="O32" s="1384" t="s">
        <v>506</v>
      </c>
      <c r="P32" s="1383" t="s">
        <v>507</v>
      </c>
      <c r="Q32" s="1383" t="s">
        <v>507</v>
      </c>
      <c r="R32" s="1385"/>
      <c r="S32" s="1052" t="s">
        <v>508</v>
      </c>
      <c r="T32" s="2787"/>
      <c r="U32" s="2788"/>
      <c r="V32" s="2788"/>
      <c r="W32" s="2788"/>
      <c r="X32" s="2788"/>
      <c r="Y32" s="2787"/>
      <c r="Z32" s="2788"/>
      <c r="AA32" s="2787"/>
      <c r="AB32" s="2788"/>
      <c r="AC32" s="2788"/>
      <c r="AD32" s="2788"/>
      <c r="AE32" s="2789"/>
    </row>
    <row r="33" spans="1:31" ht="15.6" x14ac:dyDescent="0.3">
      <c r="A33" s="2796" t="s">
        <v>509</v>
      </c>
      <c r="B33" s="2797"/>
      <c r="C33" s="2797"/>
      <c r="D33" s="2797"/>
      <c r="E33" s="2797"/>
      <c r="F33" s="2797"/>
      <c r="G33" s="2797"/>
      <c r="H33" s="2797"/>
      <c r="I33" s="2797"/>
      <c r="J33" s="2797"/>
      <c r="K33" s="2797"/>
      <c r="L33" s="2797"/>
      <c r="M33" s="2797"/>
      <c r="N33" s="2797"/>
      <c r="O33" s="2797"/>
      <c r="P33" s="2797"/>
      <c r="Q33" s="2797"/>
      <c r="R33" s="2797"/>
      <c r="S33" s="1577"/>
      <c r="T33" s="1553" t="s">
        <v>510</v>
      </c>
      <c r="U33" s="1554" t="s">
        <v>11</v>
      </c>
      <c r="V33" s="1554" t="s">
        <v>511</v>
      </c>
      <c r="W33" s="1554" t="s">
        <v>512</v>
      </c>
      <c r="X33" s="1578" t="s">
        <v>513</v>
      </c>
      <c r="Y33" s="1553" t="s">
        <v>514</v>
      </c>
      <c r="Z33" s="1578" t="s">
        <v>515</v>
      </c>
      <c r="AA33" s="1553" t="s">
        <v>9</v>
      </c>
      <c r="AB33" s="1554" t="s">
        <v>10</v>
      </c>
      <c r="AC33" s="1554" t="s">
        <v>1035</v>
      </c>
      <c r="AD33" s="1554" t="s">
        <v>206</v>
      </c>
      <c r="AE33" s="1578" t="s">
        <v>5</v>
      </c>
    </row>
    <row r="34" spans="1:31" x14ac:dyDescent="0.3">
      <c r="A34" s="154"/>
      <c r="B34" s="462"/>
      <c r="C34" s="462"/>
      <c r="D34" s="462"/>
      <c r="E34" s="462"/>
      <c r="F34" s="463"/>
      <c r="G34" s="462"/>
      <c r="H34" s="462"/>
      <c r="I34" s="464"/>
      <c r="J34" s="465"/>
      <c r="K34" s="465"/>
      <c r="L34" s="466"/>
      <c r="M34" s="467"/>
      <c r="N34" s="468"/>
      <c r="O34" s="469"/>
      <c r="P34" s="468"/>
      <c r="Q34" s="468"/>
      <c r="R34" s="501"/>
      <c r="S34" s="166"/>
      <c r="T34" s="188"/>
      <c r="X34" s="286"/>
      <c r="Y34" s="188"/>
      <c r="Z34" s="286"/>
      <c r="AA34" s="188"/>
      <c r="AE34" s="286"/>
    </row>
    <row r="35" spans="1:31" x14ac:dyDescent="0.3">
      <c r="A35" s="157"/>
      <c r="B35" s="157"/>
      <c r="C35" s="157"/>
      <c r="D35" s="157"/>
      <c r="E35" s="157"/>
      <c r="F35" s="158"/>
      <c r="G35" s="157"/>
      <c r="H35" s="157"/>
      <c r="I35" s="188"/>
      <c r="L35" s="286"/>
      <c r="M35" s="163"/>
      <c r="N35" s="164"/>
      <c r="O35" s="165"/>
      <c r="P35" s="164"/>
      <c r="Q35" s="164"/>
      <c r="R35" s="1046"/>
      <c r="S35" s="164"/>
      <c r="T35" s="394"/>
      <c r="U35" s="169"/>
      <c r="V35" s="169"/>
      <c r="W35" s="169"/>
      <c r="X35" s="395"/>
      <c r="Y35" s="394"/>
      <c r="Z35" s="395"/>
      <c r="AA35" s="188"/>
      <c r="AE35" s="286"/>
    </row>
    <row r="36" spans="1:31" x14ac:dyDescent="0.3">
      <c r="A36" s="157" t="s">
        <v>1036</v>
      </c>
      <c r="B36" s="157" t="s">
        <v>215</v>
      </c>
      <c r="C36" s="157" t="s">
        <v>1037</v>
      </c>
      <c r="D36" s="157" t="s">
        <v>166</v>
      </c>
      <c r="E36" s="157" t="s">
        <v>520</v>
      </c>
      <c r="F36" s="158" t="s">
        <v>613</v>
      </c>
      <c r="G36" s="157">
        <v>5</v>
      </c>
      <c r="H36" s="157" t="s">
        <v>63</v>
      </c>
      <c r="I36" s="188"/>
      <c r="K36" s="176">
        <v>5</v>
      </c>
      <c r="L36" s="177"/>
      <c r="M36" s="163">
        <v>1</v>
      </c>
      <c r="N36" s="166">
        <v>4400</v>
      </c>
      <c r="O36" s="173">
        <v>0.3</v>
      </c>
      <c r="P36" s="166">
        <f t="shared" ref="P36:P40" si="0">N36*(1-O36)</f>
        <v>3080</v>
      </c>
      <c r="Q36" s="166">
        <f t="shared" ref="Q36:Q40" si="1">P36*M36*G36</f>
        <v>15400</v>
      </c>
      <c r="R36" s="184">
        <f t="shared" ref="R36:R45" si="2">Q36/$Q$50</f>
        <v>8.3998778199589827E-2</v>
      </c>
      <c r="S36" s="503">
        <f>Q36*2</f>
        <v>30800</v>
      </c>
      <c r="T36" s="394">
        <f t="shared" ref="T36:T39" si="3">S36</f>
        <v>30800</v>
      </c>
      <c r="X36" s="286"/>
      <c r="Y36" s="394">
        <f>S36</f>
        <v>30800</v>
      </c>
      <c r="Z36" s="395"/>
      <c r="AA36" s="394">
        <f>S36</f>
        <v>30800</v>
      </c>
      <c r="AE36" s="286"/>
    </row>
    <row r="37" spans="1:31" x14ac:dyDescent="0.3">
      <c r="A37" s="157" t="s">
        <v>1036</v>
      </c>
      <c r="B37" s="157" t="s">
        <v>215</v>
      </c>
      <c r="C37" s="157" t="s">
        <v>1037</v>
      </c>
      <c r="D37" s="157" t="s">
        <v>102</v>
      </c>
      <c r="E37" s="157" t="s">
        <v>518</v>
      </c>
      <c r="F37" s="158" t="s">
        <v>641</v>
      </c>
      <c r="G37" s="157">
        <v>1</v>
      </c>
      <c r="H37" s="157" t="s">
        <v>24</v>
      </c>
      <c r="I37" s="182">
        <v>1</v>
      </c>
      <c r="J37" s="183"/>
      <c r="K37" s="183"/>
      <c r="L37" s="2239"/>
      <c r="M37" s="163">
        <v>1</v>
      </c>
      <c r="N37" s="166">
        <v>13200</v>
      </c>
      <c r="O37" s="173">
        <v>0.3</v>
      </c>
      <c r="P37" s="166">
        <f>N37*(1-O37)</f>
        <v>9240</v>
      </c>
      <c r="Q37" s="166">
        <f t="shared" si="1"/>
        <v>9240</v>
      </c>
      <c r="R37" s="167">
        <f t="shared" si="2"/>
        <v>5.0399266919753896E-2</v>
      </c>
      <c r="S37" s="503">
        <f t="shared" ref="S37:S48" si="4">Q37*2</f>
        <v>18480</v>
      </c>
      <c r="T37" s="394">
        <f t="shared" si="3"/>
        <v>18480</v>
      </c>
      <c r="X37" s="286"/>
      <c r="Y37" s="394"/>
      <c r="Z37" s="395">
        <f>S37</f>
        <v>18480</v>
      </c>
      <c r="AA37" s="394">
        <f>S37</f>
        <v>18480</v>
      </c>
      <c r="AE37" s="286"/>
    </row>
    <row r="38" spans="1:31" x14ac:dyDescent="0.3">
      <c r="A38" s="157" t="s">
        <v>1036</v>
      </c>
      <c r="B38" s="157" t="s">
        <v>216</v>
      </c>
      <c r="C38" s="157" t="s">
        <v>1037</v>
      </c>
      <c r="D38" s="157" t="s">
        <v>102</v>
      </c>
      <c r="E38" s="157" t="s">
        <v>518</v>
      </c>
      <c r="F38" s="158" t="s">
        <v>641</v>
      </c>
      <c r="G38" s="157">
        <v>3</v>
      </c>
      <c r="H38" s="157" t="s">
        <v>63</v>
      </c>
      <c r="I38" s="182">
        <v>3</v>
      </c>
      <c r="J38" s="183"/>
      <c r="K38" s="183"/>
      <c r="L38" s="2239"/>
      <c r="M38" s="163">
        <v>1</v>
      </c>
      <c r="N38" s="166">
        <v>47500</v>
      </c>
      <c r="O38" s="173">
        <v>0.92</v>
      </c>
      <c r="P38" s="166">
        <f t="shared" ref="P38" si="5">N38*(1-O38)</f>
        <v>3799.9999999999982</v>
      </c>
      <c r="Q38" s="166">
        <f t="shared" si="1"/>
        <v>11399.999999999995</v>
      </c>
      <c r="R38" s="167">
        <f t="shared" si="2"/>
        <v>6.2180913732163869E-2</v>
      </c>
      <c r="S38" s="503">
        <f t="shared" si="4"/>
        <v>22799.999999999989</v>
      </c>
      <c r="T38" s="394">
        <f t="shared" si="3"/>
        <v>22799.999999999989</v>
      </c>
      <c r="X38" s="286"/>
      <c r="Y38" s="394"/>
      <c r="Z38" s="395">
        <f>S38</f>
        <v>22799.999999999989</v>
      </c>
      <c r="AA38" s="188"/>
      <c r="AB38" s="169">
        <f>S38</f>
        <v>22799.999999999989</v>
      </c>
      <c r="AE38" s="286"/>
    </row>
    <row r="39" spans="1:31" x14ac:dyDescent="0.3">
      <c r="A39" s="157" t="s">
        <v>1036</v>
      </c>
      <c r="B39" s="157" t="s">
        <v>216</v>
      </c>
      <c r="C39" s="157" t="s">
        <v>1037</v>
      </c>
      <c r="D39" s="157" t="s">
        <v>166</v>
      </c>
      <c r="E39" s="157" t="s">
        <v>520</v>
      </c>
      <c r="F39" s="158" t="s">
        <v>613</v>
      </c>
      <c r="G39" s="157">
        <v>15</v>
      </c>
      <c r="H39" s="157" t="s">
        <v>63</v>
      </c>
      <c r="I39" s="175">
        <v>15</v>
      </c>
      <c r="J39" s="688"/>
      <c r="L39" s="286"/>
      <c r="M39" s="163">
        <v>1</v>
      </c>
      <c r="N39" s="166">
        <v>22000</v>
      </c>
      <c r="O39" s="173">
        <v>0.96</v>
      </c>
      <c r="P39" s="166">
        <f t="shared" si="0"/>
        <v>880.0000000000008</v>
      </c>
      <c r="Q39" s="166">
        <f t="shared" si="1"/>
        <v>13200.000000000013</v>
      </c>
      <c r="R39" s="184">
        <f t="shared" si="2"/>
        <v>7.1998952742505631E-2</v>
      </c>
      <c r="S39" s="503">
        <f t="shared" si="4"/>
        <v>26400.000000000025</v>
      </c>
      <c r="T39" s="394">
        <f t="shared" si="3"/>
        <v>26400.000000000025</v>
      </c>
      <c r="X39" s="286"/>
      <c r="Y39" s="394">
        <f>S39</f>
        <v>26400.000000000025</v>
      </c>
      <c r="Z39" s="395"/>
      <c r="AA39" s="188"/>
      <c r="AB39" s="169">
        <f t="shared" ref="AB39:AB41" si="6">S39</f>
        <v>26400.000000000025</v>
      </c>
      <c r="AE39" s="286"/>
    </row>
    <row r="40" spans="1:31" x14ac:dyDescent="0.3">
      <c r="A40" s="157" t="s">
        <v>1036</v>
      </c>
      <c r="B40" s="157" t="s">
        <v>216</v>
      </c>
      <c r="C40" s="157" t="s">
        <v>1037</v>
      </c>
      <c r="D40" s="157" t="s">
        <v>26</v>
      </c>
      <c r="E40" s="157" t="s">
        <v>520</v>
      </c>
      <c r="F40" s="158" t="s">
        <v>640</v>
      </c>
      <c r="G40" s="157">
        <v>3</v>
      </c>
      <c r="H40" s="157" t="s">
        <v>24</v>
      </c>
      <c r="I40" s="182">
        <v>3</v>
      </c>
      <c r="J40" s="183"/>
      <c r="K40" s="183"/>
      <c r="L40" s="2239"/>
      <c r="M40" s="163">
        <v>1</v>
      </c>
      <c r="N40" s="166">
        <v>32000</v>
      </c>
      <c r="O40" s="173">
        <v>0.83</v>
      </c>
      <c r="P40" s="166">
        <f t="shared" si="0"/>
        <v>5440.0000000000009</v>
      </c>
      <c r="Q40" s="166">
        <f t="shared" si="1"/>
        <v>16320.000000000004</v>
      </c>
      <c r="R40" s="184">
        <f t="shared" si="2"/>
        <v>8.9016887027097813E-2</v>
      </c>
      <c r="S40" s="503">
        <f>Q40*2</f>
        <v>32640.000000000007</v>
      </c>
      <c r="T40" s="394">
        <f>S40</f>
        <v>32640.000000000007</v>
      </c>
      <c r="U40" s="169"/>
      <c r="X40" s="286"/>
      <c r="Y40" s="394">
        <f>S40</f>
        <v>32640.000000000007</v>
      </c>
      <c r="Z40" s="286"/>
      <c r="AA40" s="188"/>
      <c r="AB40" s="169">
        <f t="shared" si="6"/>
        <v>32640.000000000007</v>
      </c>
      <c r="AE40" s="286"/>
    </row>
    <row r="41" spans="1:31" x14ac:dyDescent="0.3">
      <c r="A41" s="157" t="s">
        <v>1036</v>
      </c>
      <c r="B41" s="157" t="s">
        <v>216</v>
      </c>
      <c r="C41" s="157" t="s">
        <v>1038</v>
      </c>
      <c r="D41" s="157" t="s">
        <v>217</v>
      </c>
      <c r="E41" s="157" t="s">
        <v>520</v>
      </c>
      <c r="F41" s="158" t="s">
        <v>43</v>
      </c>
      <c r="G41" s="157">
        <v>1</v>
      </c>
      <c r="H41" s="157" t="s">
        <v>24</v>
      </c>
      <c r="I41" s="175">
        <v>1</v>
      </c>
      <c r="J41" s="176"/>
      <c r="K41" s="176"/>
      <c r="L41" s="177"/>
      <c r="M41" s="163">
        <v>1</v>
      </c>
      <c r="N41" s="166">
        <v>29200</v>
      </c>
      <c r="O41" s="173">
        <v>0.87</v>
      </c>
      <c r="P41" s="166">
        <f>N41*(1-O41)</f>
        <v>3796</v>
      </c>
      <c r="Q41" s="166">
        <f>P41*M41*G41</f>
        <v>3796</v>
      </c>
      <c r="R41" s="184">
        <f t="shared" si="2"/>
        <v>2.0705153379587206E-2</v>
      </c>
      <c r="S41" s="503">
        <f>Q41*2</f>
        <v>7592</v>
      </c>
      <c r="T41" s="394">
        <f>S41</f>
        <v>7592</v>
      </c>
      <c r="X41" s="286"/>
      <c r="Y41" s="394">
        <f>S41</f>
        <v>7592</v>
      </c>
      <c r="Z41" s="395"/>
      <c r="AA41" s="188"/>
      <c r="AB41" s="169">
        <f t="shared" si="6"/>
        <v>7592</v>
      </c>
      <c r="AE41" s="286"/>
    </row>
    <row r="42" spans="1:31" x14ac:dyDescent="0.3">
      <c r="A42" s="157" t="s">
        <v>1036</v>
      </c>
      <c r="B42" s="157" t="s">
        <v>218</v>
      </c>
      <c r="C42" s="157" t="s">
        <v>1037</v>
      </c>
      <c r="D42" s="157" t="s">
        <v>102</v>
      </c>
      <c r="E42" s="157" t="s">
        <v>518</v>
      </c>
      <c r="F42" s="158" t="s">
        <v>641</v>
      </c>
      <c r="G42" s="157">
        <v>2</v>
      </c>
      <c r="H42" s="157" t="s">
        <v>24</v>
      </c>
      <c r="I42" s="182">
        <v>2</v>
      </c>
      <c r="J42" s="183"/>
      <c r="K42" s="183"/>
      <c r="L42" s="2239"/>
      <c r="M42" s="163">
        <v>1</v>
      </c>
      <c r="N42" s="166">
        <v>5000</v>
      </c>
      <c r="O42" s="173">
        <v>0.2</v>
      </c>
      <c r="P42" s="166">
        <f t="shared" ref="P42:P45" si="7">N42*(1-O42)</f>
        <v>4000</v>
      </c>
      <c r="Q42" s="166">
        <f t="shared" ref="Q42:Q45" si="8">P42*M42*G42</f>
        <v>8000</v>
      </c>
      <c r="R42" s="167">
        <f t="shared" si="2"/>
        <v>4.3635728934851854E-2</v>
      </c>
      <c r="S42" s="503">
        <f>Q42*2</f>
        <v>16000</v>
      </c>
      <c r="T42" s="394">
        <f>S42</f>
        <v>16000</v>
      </c>
      <c r="X42" s="286"/>
      <c r="Y42" s="394"/>
      <c r="Z42" s="395">
        <f>S42</f>
        <v>16000</v>
      </c>
      <c r="AA42" s="188"/>
      <c r="AC42" s="169">
        <f>S42</f>
        <v>16000</v>
      </c>
      <c r="AE42" s="286"/>
    </row>
    <row r="43" spans="1:31" x14ac:dyDescent="0.3">
      <c r="A43" s="157" t="s">
        <v>1036</v>
      </c>
      <c r="B43" s="157" t="s">
        <v>210</v>
      </c>
      <c r="C43" s="157" t="s">
        <v>1039</v>
      </c>
      <c r="D43" s="157" t="s">
        <v>219</v>
      </c>
      <c r="E43" s="157" t="s">
        <v>518</v>
      </c>
      <c r="F43" s="158" t="s">
        <v>1040</v>
      </c>
      <c r="G43" s="157">
        <v>5</v>
      </c>
      <c r="H43" s="157" t="s">
        <v>147</v>
      </c>
      <c r="I43" s="175">
        <v>5</v>
      </c>
      <c r="J43" s="176"/>
      <c r="L43" s="286"/>
      <c r="M43" s="163">
        <v>1</v>
      </c>
      <c r="N43" s="166">
        <v>5463</v>
      </c>
      <c r="O43" s="173">
        <v>0.6</v>
      </c>
      <c r="P43" s="166">
        <f t="shared" si="7"/>
        <v>2185.2000000000003</v>
      </c>
      <c r="Q43" s="166">
        <f t="shared" si="8"/>
        <v>10926.000000000002</v>
      </c>
      <c r="R43" s="167">
        <f t="shared" si="2"/>
        <v>5.9595496792773935E-2</v>
      </c>
      <c r="S43" s="503">
        <f t="shared" ref="S43" si="9">Q43*2</f>
        <v>21852.000000000004</v>
      </c>
      <c r="T43" s="394"/>
      <c r="U43" s="169">
        <f>S43</f>
        <v>21852.000000000004</v>
      </c>
      <c r="X43" s="286"/>
      <c r="Y43" s="394"/>
      <c r="Z43" s="395">
        <f>S43</f>
        <v>21852.000000000004</v>
      </c>
      <c r="AA43" s="188"/>
      <c r="AD43" s="169">
        <f>S43</f>
        <v>21852.000000000004</v>
      </c>
      <c r="AE43" s="286"/>
    </row>
    <row r="44" spans="1:31" x14ac:dyDescent="0.3">
      <c r="A44" s="157" t="s">
        <v>1036</v>
      </c>
      <c r="B44" s="157" t="s">
        <v>220</v>
      </c>
      <c r="C44" s="157" t="s">
        <v>1037</v>
      </c>
      <c r="D44" s="157" t="s">
        <v>221</v>
      </c>
      <c r="E44" s="157" t="s">
        <v>520</v>
      </c>
      <c r="F44" s="158" t="s">
        <v>38</v>
      </c>
      <c r="G44" s="157">
        <v>1</v>
      </c>
      <c r="H44" s="157" t="s">
        <v>24</v>
      </c>
      <c r="I44" s="182">
        <v>1</v>
      </c>
      <c r="J44" s="183"/>
      <c r="K44" s="183"/>
      <c r="L44" s="2239"/>
      <c r="M44" s="163">
        <v>1</v>
      </c>
      <c r="N44" s="166">
        <v>45000</v>
      </c>
      <c r="O44" s="173">
        <v>0.2</v>
      </c>
      <c r="P44" s="166">
        <f t="shared" si="7"/>
        <v>36000</v>
      </c>
      <c r="Q44" s="166">
        <f t="shared" si="8"/>
        <v>36000</v>
      </c>
      <c r="R44" s="184">
        <f t="shared" si="2"/>
        <v>0.19636078020683337</v>
      </c>
      <c r="S44" s="503">
        <f>Q44*2</f>
        <v>72000</v>
      </c>
      <c r="T44" s="394"/>
      <c r="V44" s="169">
        <f>S44</f>
        <v>72000</v>
      </c>
      <c r="X44" s="286"/>
      <c r="Y44" s="394">
        <f>S44</f>
        <v>72000</v>
      </c>
      <c r="Z44" s="286"/>
      <c r="AA44" s="188"/>
      <c r="AE44" s="395">
        <f>S44</f>
        <v>72000</v>
      </c>
    </row>
    <row r="45" spans="1:31" x14ac:dyDescent="0.3">
      <c r="A45" s="157" t="s">
        <v>1036</v>
      </c>
      <c r="B45" s="157" t="s">
        <v>210</v>
      </c>
      <c r="C45" s="157" t="s">
        <v>1037</v>
      </c>
      <c r="D45" s="157" t="s">
        <v>222</v>
      </c>
      <c r="E45" s="157" t="s">
        <v>520</v>
      </c>
      <c r="F45" s="158" t="s">
        <v>552</v>
      </c>
      <c r="G45" s="157">
        <v>15</v>
      </c>
      <c r="H45" s="157" t="s">
        <v>147</v>
      </c>
      <c r="I45" s="175">
        <v>15</v>
      </c>
      <c r="J45" s="176"/>
      <c r="K45" s="1"/>
      <c r="L45" s="163"/>
      <c r="M45" s="163">
        <v>1</v>
      </c>
      <c r="N45" s="166">
        <v>6009</v>
      </c>
      <c r="O45" s="173">
        <v>0.6</v>
      </c>
      <c r="P45" s="166">
        <f t="shared" si="7"/>
        <v>2403.6</v>
      </c>
      <c r="Q45" s="166">
        <f t="shared" si="8"/>
        <v>36054</v>
      </c>
      <c r="R45" s="184">
        <f t="shared" si="2"/>
        <v>0.19665532137714362</v>
      </c>
      <c r="S45" s="503">
        <f>Q45*2</f>
        <v>72108</v>
      </c>
      <c r="T45" s="394"/>
      <c r="U45" s="169">
        <f>S45</f>
        <v>72108</v>
      </c>
      <c r="V45" s="169"/>
      <c r="X45" s="286"/>
      <c r="Y45" s="394">
        <f>S45</f>
        <v>72108</v>
      </c>
      <c r="Z45" s="286"/>
      <c r="AA45" s="188"/>
      <c r="AD45" s="169">
        <f>S45</f>
        <v>72108</v>
      </c>
      <c r="AE45" s="286"/>
    </row>
    <row r="46" spans="1:31" x14ac:dyDescent="0.3">
      <c r="A46" s="172"/>
      <c r="B46" s="157"/>
      <c r="C46" s="157"/>
      <c r="D46" s="157"/>
      <c r="E46" s="157"/>
      <c r="F46" s="158"/>
      <c r="G46" s="157"/>
      <c r="H46" s="157"/>
      <c r="I46" s="243"/>
      <c r="J46" s="245"/>
      <c r="K46" s="245"/>
      <c r="L46" s="287"/>
      <c r="M46" s="163"/>
      <c r="N46" s="166"/>
      <c r="O46" s="173"/>
      <c r="P46" s="166"/>
      <c r="Q46" s="166"/>
      <c r="R46" s="393"/>
      <c r="S46" s="503"/>
      <c r="T46" s="188"/>
      <c r="X46" s="286"/>
      <c r="Y46" s="188"/>
      <c r="Z46" s="286"/>
      <c r="AA46" s="188"/>
      <c r="AE46" s="286"/>
    </row>
    <row r="47" spans="1:31" x14ac:dyDescent="0.3">
      <c r="A47" s="108" t="s">
        <v>1036</v>
      </c>
      <c r="B47" s="108" t="s">
        <v>528</v>
      </c>
      <c r="C47" s="289"/>
      <c r="D47" s="252"/>
      <c r="E47" s="252"/>
      <c r="F47" s="253"/>
      <c r="G47" s="252"/>
      <c r="H47" s="252"/>
      <c r="I47" s="254"/>
      <c r="J47" s="254"/>
      <c r="K47" s="254"/>
      <c r="L47" s="254"/>
      <c r="M47" s="252"/>
      <c r="N47" s="255"/>
      <c r="O47" s="256"/>
      <c r="P47" s="290"/>
      <c r="Q47" s="257"/>
      <c r="R47" s="291"/>
      <c r="S47" s="503"/>
      <c r="T47" s="188"/>
      <c r="W47" s="169"/>
      <c r="X47" s="286"/>
      <c r="Y47" s="188"/>
      <c r="Z47" s="286"/>
      <c r="AA47" s="188"/>
      <c r="AE47" s="286"/>
    </row>
    <row r="48" spans="1:31" x14ac:dyDescent="0.3">
      <c r="A48" s="108" t="s">
        <v>1036</v>
      </c>
      <c r="B48" s="108" t="s">
        <v>529</v>
      </c>
      <c r="C48" s="289"/>
      <c r="D48" s="252"/>
      <c r="E48" s="252"/>
      <c r="F48" s="253"/>
      <c r="G48" s="252"/>
      <c r="H48" s="252"/>
      <c r="I48" s="254"/>
      <c r="J48" s="254"/>
      <c r="K48" s="254"/>
      <c r="L48" s="254"/>
      <c r="M48" s="252"/>
      <c r="N48" s="255"/>
      <c r="O48" s="256"/>
      <c r="P48" s="290"/>
      <c r="Q48" s="257">
        <v>23000</v>
      </c>
      <c r="R48" s="291">
        <f>Q48/Q50</f>
        <v>0.12545272068769908</v>
      </c>
      <c r="S48" s="503">
        <f t="shared" si="4"/>
        <v>46000</v>
      </c>
      <c r="T48" s="188"/>
      <c r="X48" s="395">
        <f>S48</f>
        <v>46000</v>
      </c>
      <c r="Y48" s="188"/>
      <c r="Z48" s="286"/>
      <c r="AA48" s="188"/>
      <c r="AE48" s="286"/>
    </row>
    <row r="49" spans="1:31" x14ac:dyDescent="0.3">
      <c r="I49" s="115">
        <f>I50/$M$50</f>
        <v>0.90196078431372551</v>
      </c>
      <c r="J49" s="115">
        <f t="shared" ref="J49:L49" si="10">J50/$M$50</f>
        <v>0</v>
      </c>
      <c r="K49" s="115">
        <f t="shared" si="10"/>
        <v>9.8039215686274508E-2</v>
      </c>
      <c r="L49" s="115">
        <f t="shared" si="10"/>
        <v>0</v>
      </c>
      <c r="S49" s="166"/>
      <c r="T49" s="188"/>
      <c r="X49" s="286"/>
      <c r="Y49" s="188"/>
      <c r="Z49" s="286"/>
      <c r="AA49" s="188"/>
      <c r="AE49" s="286"/>
    </row>
    <row r="50" spans="1:31" x14ac:dyDescent="0.3">
      <c r="A50" s="840" t="s">
        <v>531</v>
      </c>
      <c r="B50" s="841"/>
      <c r="C50" s="841"/>
      <c r="D50" s="841"/>
      <c r="E50" s="841"/>
      <c r="F50" s="842"/>
      <c r="G50" s="841"/>
      <c r="H50" s="841"/>
      <c r="I50" s="1579">
        <f>I44+I43+I39+I42+I41+I40+I38+I37+I45</f>
        <v>46</v>
      </c>
      <c r="J50" s="1579">
        <f>J43</f>
        <v>0</v>
      </c>
      <c r="K50" s="1579">
        <f>K36</f>
        <v>5</v>
      </c>
      <c r="L50" s="1579"/>
      <c r="M50" s="841">
        <f>SUM(I50:L50)</f>
        <v>51</v>
      </c>
      <c r="N50" s="843"/>
      <c r="O50" s="844"/>
      <c r="P50" s="843"/>
      <c r="Q50" s="845">
        <f>SUM(Q35:Q49)</f>
        <v>183336</v>
      </c>
      <c r="R50" s="844">
        <f>SUM(R35:R48)</f>
        <v>1</v>
      </c>
      <c r="S50" s="1580">
        <f>SUM(S35:S49)</f>
        <v>366672</v>
      </c>
      <c r="T50" s="1581">
        <f>SUM(T35:T48)</f>
        <v>154712.00000000003</v>
      </c>
      <c r="U50" s="570">
        <f>SUM(U35:U48)</f>
        <v>93960</v>
      </c>
      <c r="V50" s="570">
        <f>SUM(V35:V48)</f>
        <v>72000</v>
      </c>
      <c r="W50" s="570">
        <f t="shared" ref="W50" si="11">SUM(W35:W48)</f>
        <v>0</v>
      </c>
      <c r="X50" s="570">
        <f>SUM(X35:X48)</f>
        <v>46000</v>
      </c>
      <c r="Y50" s="1091">
        <f>SUM(Y35:Y48)</f>
        <v>241540.00000000003</v>
      </c>
      <c r="Z50" s="1056">
        <f>SUM(Z35:Z48)</f>
        <v>79131.999999999985</v>
      </c>
      <c r="AA50" s="1582">
        <f>SUM(AA34:AA49)</f>
        <v>49280</v>
      </c>
      <c r="AB50" s="1583">
        <f>SUM(AB34:AB49)</f>
        <v>89432.000000000029</v>
      </c>
      <c r="AC50" s="1583">
        <f t="shared" ref="AC50:AE50" si="12">SUM(AC34:AC49)</f>
        <v>16000</v>
      </c>
      <c r="AD50" s="1583">
        <f t="shared" si="12"/>
        <v>93960</v>
      </c>
      <c r="AE50" s="1584">
        <f t="shared" si="12"/>
        <v>72000</v>
      </c>
    </row>
    <row r="51" spans="1:31" x14ac:dyDescent="0.3">
      <c r="A51" s="840" t="s">
        <v>532</v>
      </c>
      <c r="B51" s="841"/>
      <c r="C51" s="841"/>
      <c r="D51" s="841"/>
      <c r="E51" s="841"/>
      <c r="F51" s="842"/>
      <c r="G51" s="841"/>
      <c r="H51" s="841"/>
      <c r="I51" s="1579">
        <f>I44+I43+I42+I41+I40+I39+I38+I37+I45</f>
        <v>46</v>
      </c>
      <c r="J51" s="1579">
        <f>I44+J43+I42+I41+I40+I39+I38+I37+I45</f>
        <v>41</v>
      </c>
      <c r="K51" s="1579">
        <f>I44+I42+I41+I40+I38+I37+K36</f>
        <v>16</v>
      </c>
      <c r="L51" s="1579">
        <f>I44+I42+I41+I40+I38+I37+K36</f>
        <v>16</v>
      </c>
      <c r="M51" s="841">
        <f>SUM(I51:L51)</f>
        <v>119</v>
      </c>
      <c r="N51" s="843"/>
      <c r="O51" s="844"/>
      <c r="P51" s="843"/>
      <c r="Q51" s="843"/>
      <c r="R51" s="844"/>
      <c r="S51" s="1585"/>
      <c r="T51" s="1586">
        <f>T50/S50</f>
        <v>0.42193568093555012</v>
      </c>
      <c r="U51" s="1587">
        <f>U50/S50</f>
        <v>0.25625081816991752</v>
      </c>
      <c r="V51" s="1588">
        <f>V50/S50</f>
        <v>0.19636078020683337</v>
      </c>
      <c r="W51" s="1587">
        <f>W50/S50</f>
        <v>0</v>
      </c>
      <c r="X51" s="1587">
        <f>X50/S50</f>
        <v>0.12545272068769908</v>
      </c>
      <c r="Y51" s="1589">
        <f>Y50/S50</f>
        <v>0.65873587293275737</v>
      </c>
      <c r="Z51" s="1590">
        <f>Z50/S50</f>
        <v>0.21581140637954352</v>
      </c>
      <c r="AA51" s="1591"/>
      <c r="AB51" s="1592"/>
      <c r="AC51" s="1592"/>
      <c r="AD51" s="1592"/>
      <c r="AE51" s="1593"/>
    </row>
    <row r="52" spans="1:31" x14ac:dyDescent="0.3">
      <c r="A52" s="251" t="s">
        <v>533</v>
      </c>
      <c r="B52" s="252"/>
      <c r="C52" s="252"/>
      <c r="D52" s="252"/>
      <c r="E52" s="252"/>
      <c r="F52" s="253"/>
      <c r="G52" s="252"/>
      <c r="H52" s="252"/>
      <c r="I52" s="2188">
        <f>I51/$M$51</f>
        <v>0.38655462184873951</v>
      </c>
      <c r="J52" s="2188">
        <f t="shared" ref="J52:L52" si="13">J51/$M$51</f>
        <v>0.34453781512605042</v>
      </c>
      <c r="K52" s="2188">
        <f t="shared" si="13"/>
        <v>0.13445378151260504</v>
      </c>
      <c r="L52" s="2188">
        <f t="shared" si="13"/>
        <v>0.13445378151260504</v>
      </c>
      <c r="M52" s="252"/>
      <c r="N52" s="255"/>
      <c r="O52" s="256"/>
      <c r="P52" s="255"/>
      <c r="Q52" s="257">
        <f>T50/2</f>
        <v>77356.000000000015</v>
      </c>
      <c r="R52" s="262">
        <f>Q52/Q56</f>
        <v>0.42193568093555012</v>
      </c>
      <c r="X52" s="248"/>
      <c r="Y52" s="357">
        <f>K36+I39+I40+I41+I44</f>
        <v>25</v>
      </c>
      <c r="Z52" s="358">
        <f>I37+I38+I42+I43+J43</f>
        <v>11</v>
      </c>
      <c r="AA52" s="4"/>
    </row>
    <row r="53" spans="1:31" x14ac:dyDescent="0.3">
      <c r="A53" s="251" t="s">
        <v>11</v>
      </c>
      <c r="B53" s="252"/>
      <c r="C53" s="252"/>
      <c r="D53" s="252"/>
      <c r="E53" s="252"/>
      <c r="F53" s="253"/>
      <c r="G53" s="252"/>
      <c r="H53" s="252"/>
      <c r="I53" s="254"/>
      <c r="J53" s="254"/>
      <c r="K53" s="254"/>
      <c r="L53" s="254"/>
      <c r="M53" s="252"/>
      <c r="N53" s="255"/>
      <c r="O53" s="256"/>
      <c r="P53" s="255"/>
      <c r="Q53" s="257">
        <f>U50/2</f>
        <v>46980</v>
      </c>
      <c r="R53" s="262">
        <f>Q53/Q56</f>
        <v>0.25625081816991752</v>
      </c>
      <c r="S53" s="1050">
        <f>Q50/M50</f>
        <v>3594.8235294117649</v>
      </c>
      <c r="T53" s="1051" t="s">
        <v>535</v>
      </c>
      <c r="Y53" s="195">
        <f>Y52/M50</f>
        <v>0.49019607843137253</v>
      </c>
      <c r="Z53" s="247">
        <f>Z52/M50</f>
        <v>0.21568627450980393</v>
      </c>
    </row>
    <row r="54" spans="1:31" x14ac:dyDescent="0.3">
      <c r="A54" s="251" t="s">
        <v>536</v>
      </c>
      <c r="B54" s="252"/>
      <c r="C54" s="252"/>
      <c r="D54" s="252"/>
      <c r="E54" s="252"/>
      <c r="F54" s="253"/>
      <c r="G54" s="252"/>
      <c r="H54" s="252"/>
      <c r="I54" s="254"/>
      <c r="J54" s="254"/>
      <c r="K54" s="254"/>
      <c r="L54" s="254"/>
      <c r="M54" s="252"/>
      <c r="N54" s="255"/>
      <c r="O54" s="256"/>
      <c r="P54" s="255"/>
      <c r="Q54" s="257">
        <f>V50/2</f>
        <v>36000</v>
      </c>
      <c r="R54" s="262">
        <f>Q54/Q50</f>
        <v>0.19636078020683337</v>
      </c>
      <c r="W54" s="99"/>
      <c r="Y54" s="2551" t="s">
        <v>537</v>
      </c>
      <c r="Z54" s="2551"/>
    </row>
    <row r="55" spans="1:31" x14ac:dyDescent="0.3">
      <c r="A55" s="251" t="s">
        <v>529</v>
      </c>
      <c r="B55" s="252"/>
      <c r="C55" s="252"/>
      <c r="D55" s="252"/>
      <c r="E55" s="252"/>
      <c r="F55" s="253"/>
      <c r="G55" s="252"/>
      <c r="H55" s="252"/>
      <c r="I55" s="254"/>
      <c r="J55" s="254"/>
      <c r="K55" s="254"/>
      <c r="L55" s="254"/>
      <c r="M55" s="252"/>
      <c r="N55" s="255"/>
      <c r="O55" s="256"/>
      <c r="P55" s="255"/>
      <c r="Q55" s="257">
        <f>Q48</f>
        <v>23000</v>
      </c>
      <c r="R55" s="262">
        <f>Q55/Q56</f>
        <v>0.12545272068769908</v>
      </c>
    </row>
    <row r="56" spans="1:31" x14ac:dyDescent="0.3">
      <c r="A56" s="243"/>
      <c r="B56" s="193"/>
      <c r="C56" s="193"/>
      <c r="D56" s="193"/>
      <c r="E56" s="193"/>
      <c r="F56" s="244"/>
      <c r="G56" s="193"/>
      <c r="H56" s="193"/>
      <c r="I56" s="245"/>
      <c r="J56" s="245"/>
      <c r="K56" s="245"/>
      <c r="L56" s="245"/>
      <c r="M56" s="193"/>
      <c r="N56" s="246"/>
      <c r="O56" s="196"/>
      <c r="P56" s="246"/>
      <c r="Q56" s="194">
        <f>SUM(Q52:Q55)</f>
        <v>183336</v>
      </c>
      <c r="R56" s="247">
        <f>SUM(R52:R55)</f>
        <v>1</v>
      </c>
      <c r="S56" s="600"/>
    </row>
    <row r="57" spans="1:31" x14ac:dyDescent="0.3">
      <c r="N57" s="5"/>
      <c r="O57" s="6"/>
      <c r="P57" s="5"/>
      <c r="Q57" s="5"/>
      <c r="R57" s="6"/>
      <c r="S57" s="600"/>
    </row>
    <row r="58" spans="1:31" ht="18" x14ac:dyDescent="0.35">
      <c r="A58" s="1037" t="s">
        <v>538</v>
      </c>
    </row>
    <row r="60" spans="1:31" x14ac:dyDescent="0.3">
      <c r="A60" s="2587" t="s">
        <v>480</v>
      </c>
      <c r="B60" s="2588"/>
      <c r="C60" s="2588"/>
      <c r="D60" s="2588"/>
      <c r="E60" s="2588"/>
      <c r="F60" s="2588"/>
      <c r="G60" s="2588"/>
      <c r="H60" s="2588"/>
      <c r="I60" s="2588"/>
      <c r="J60" s="2588"/>
      <c r="K60" s="2588"/>
      <c r="L60" s="2588"/>
      <c r="M60" s="2588"/>
      <c r="N60" s="2588"/>
      <c r="O60" s="2588"/>
      <c r="P60" s="2588"/>
      <c r="Q60" s="2588"/>
      <c r="R60" s="2589"/>
      <c r="S60" s="2563" t="s">
        <v>584</v>
      </c>
      <c r="T60" s="2564"/>
      <c r="U60" s="2564"/>
      <c r="V60" s="2564"/>
      <c r="W60" s="2564"/>
      <c r="X60" s="2564"/>
      <c r="Y60" s="2564"/>
      <c r="Z60" s="2564"/>
      <c r="AA60" s="2564"/>
      <c r="AB60" s="2564"/>
      <c r="AC60" s="2564"/>
      <c r="AD60" s="2564"/>
      <c r="AE60" s="2576"/>
    </row>
    <row r="61" spans="1:31" ht="18" x14ac:dyDescent="0.3">
      <c r="A61" s="2284" t="s">
        <v>482</v>
      </c>
      <c r="B61" s="2286" t="s">
        <v>483</v>
      </c>
      <c r="C61" s="2286" t="s">
        <v>484</v>
      </c>
      <c r="D61" s="2286" t="s">
        <v>485</v>
      </c>
      <c r="E61" s="2286" t="s">
        <v>486</v>
      </c>
      <c r="F61" s="2288" t="s">
        <v>487</v>
      </c>
      <c r="G61" s="2286" t="s">
        <v>488</v>
      </c>
      <c r="H61" s="2286" t="s">
        <v>489</v>
      </c>
      <c r="I61" s="2266" t="s">
        <v>490</v>
      </c>
      <c r="J61" s="2266"/>
      <c r="K61" s="2266"/>
      <c r="L61" s="2266"/>
      <c r="M61" s="265" t="s">
        <v>491</v>
      </c>
      <c r="N61" s="266" t="s">
        <v>492</v>
      </c>
      <c r="O61" s="267" t="s">
        <v>493</v>
      </c>
      <c r="P61" s="266" t="s">
        <v>492</v>
      </c>
      <c r="Q61" s="266" t="s">
        <v>494</v>
      </c>
      <c r="R61" s="1594" t="s">
        <v>495</v>
      </c>
      <c r="S61" s="1086" t="s">
        <v>496</v>
      </c>
      <c r="T61" s="2608" t="s">
        <v>497</v>
      </c>
      <c r="U61" s="2607"/>
      <c r="V61" s="2607"/>
      <c r="W61" s="2607"/>
      <c r="X61" s="2607"/>
      <c r="Y61" s="2608" t="s">
        <v>498</v>
      </c>
      <c r="Z61" s="2607"/>
      <c r="AA61" s="2608" t="s">
        <v>499</v>
      </c>
      <c r="AB61" s="2607"/>
      <c r="AC61" s="2607"/>
      <c r="AD61" s="2607"/>
      <c r="AE61" s="2609"/>
    </row>
    <row r="62" spans="1:31" ht="18" x14ac:dyDescent="0.3">
      <c r="A62" s="2798"/>
      <c r="B62" s="2799"/>
      <c r="C62" s="2799"/>
      <c r="D62" s="2799"/>
      <c r="E62" s="2799"/>
      <c r="F62" s="2800"/>
      <c r="G62" s="2799"/>
      <c r="H62" s="2799"/>
      <c r="I62" s="1595" t="s">
        <v>500</v>
      </c>
      <c r="J62" s="1595" t="s">
        <v>501</v>
      </c>
      <c r="K62" s="1595" t="s">
        <v>502</v>
      </c>
      <c r="L62" s="1595" t="s">
        <v>503</v>
      </c>
      <c r="M62" s="1381" t="s">
        <v>504</v>
      </c>
      <c r="N62" s="1596" t="s">
        <v>505</v>
      </c>
      <c r="O62" s="1589" t="s">
        <v>506</v>
      </c>
      <c r="P62" s="1596" t="s">
        <v>507</v>
      </c>
      <c r="Q62" s="1596" t="s">
        <v>507</v>
      </c>
      <c r="R62" s="1597"/>
      <c r="S62" s="1598" t="s">
        <v>508</v>
      </c>
      <c r="T62" s="2787"/>
      <c r="U62" s="2788"/>
      <c r="V62" s="2788"/>
      <c r="W62" s="2788"/>
      <c r="X62" s="2788"/>
      <c r="Y62" s="2787"/>
      <c r="Z62" s="2788"/>
      <c r="AA62" s="2787"/>
      <c r="AB62" s="2788"/>
      <c r="AC62" s="2788"/>
      <c r="AD62" s="2788"/>
      <c r="AE62" s="2789"/>
    </row>
    <row r="63" spans="1:31" ht="15.6" x14ac:dyDescent="0.3">
      <c r="A63" s="2796" t="s">
        <v>540</v>
      </c>
      <c r="B63" s="2797"/>
      <c r="C63" s="2797"/>
      <c r="D63" s="2797"/>
      <c r="E63" s="2797"/>
      <c r="F63" s="2797"/>
      <c r="G63" s="2797"/>
      <c r="H63" s="2797"/>
      <c r="I63" s="2797"/>
      <c r="J63" s="2797"/>
      <c r="K63" s="2797"/>
      <c r="L63" s="2797"/>
      <c r="M63" s="2797"/>
      <c r="N63" s="2797"/>
      <c r="O63" s="2797"/>
      <c r="P63" s="2797"/>
      <c r="Q63" s="2797"/>
      <c r="R63" s="2797"/>
      <c r="S63" s="1577"/>
      <c r="T63" s="1553" t="s">
        <v>510</v>
      </c>
      <c r="U63" s="1554" t="s">
        <v>11</v>
      </c>
      <c r="V63" s="1554" t="s">
        <v>511</v>
      </c>
      <c r="W63" s="1554" t="s">
        <v>512</v>
      </c>
      <c r="X63" s="1578" t="s">
        <v>513</v>
      </c>
      <c r="Y63" s="1553" t="s">
        <v>514</v>
      </c>
      <c r="Z63" s="1578" t="s">
        <v>515</v>
      </c>
      <c r="AA63" s="1553" t="s">
        <v>9</v>
      </c>
      <c r="AB63" s="1554" t="s">
        <v>10</v>
      </c>
      <c r="AC63" s="1554" t="s">
        <v>140</v>
      </c>
      <c r="AD63" s="1554" t="s">
        <v>206</v>
      </c>
      <c r="AE63" s="1578" t="s">
        <v>5</v>
      </c>
    </row>
    <row r="64" spans="1:31" x14ac:dyDescent="0.3">
      <c r="A64" s="154"/>
      <c r="B64" s="462"/>
      <c r="C64" s="462"/>
      <c r="D64" s="462"/>
      <c r="E64" s="462"/>
      <c r="F64" s="463"/>
      <c r="G64" s="462"/>
      <c r="H64" s="462"/>
      <c r="I64" s="465"/>
      <c r="J64" s="465"/>
      <c r="K64" s="465"/>
      <c r="L64" s="465"/>
      <c r="M64" s="462"/>
      <c r="N64" s="468"/>
      <c r="O64" s="469"/>
      <c r="P64" s="468"/>
      <c r="Q64" s="468"/>
      <c r="R64" s="501"/>
      <c r="S64" s="166"/>
      <c r="T64" s="188"/>
      <c r="X64" s="286"/>
      <c r="Y64" s="188"/>
      <c r="Z64" s="286"/>
      <c r="AA64" s="188"/>
      <c r="AE64" s="286"/>
    </row>
    <row r="65" spans="1:31" x14ac:dyDescent="0.3">
      <c r="A65" s="157"/>
      <c r="B65" s="157"/>
      <c r="C65" s="157"/>
      <c r="D65" s="157"/>
      <c r="E65" s="157"/>
      <c r="F65" s="158"/>
      <c r="G65" s="157"/>
      <c r="H65" s="157"/>
      <c r="I65" s="188"/>
      <c r="L65" s="286"/>
      <c r="M65" s="163"/>
      <c r="N65" s="164"/>
      <c r="O65" s="165"/>
      <c r="P65" s="164"/>
      <c r="Q65" s="164"/>
      <c r="R65" s="1046"/>
      <c r="S65" s="164"/>
      <c r="T65" s="394"/>
      <c r="U65" s="169"/>
      <c r="V65" s="169"/>
      <c r="W65" s="169"/>
      <c r="X65" s="395"/>
      <c r="Y65" s="394"/>
      <c r="Z65" s="395"/>
      <c r="AA65" s="188"/>
      <c r="AE65" s="286"/>
    </row>
    <row r="66" spans="1:31" x14ac:dyDescent="0.3">
      <c r="A66" s="157" t="s">
        <v>1036</v>
      </c>
      <c r="B66" s="157" t="s">
        <v>215</v>
      </c>
      <c r="C66" s="157" t="s">
        <v>1037</v>
      </c>
      <c r="D66" s="157" t="s">
        <v>166</v>
      </c>
      <c r="E66" s="157" t="s">
        <v>520</v>
      </c>
      <c r="F66" s="158" t="s">
        <v>798</v>
      </c>
      <c r="G66" s="157">
        <v>8</v>
      </c>
      <c r="H66" s="157" t="s">
        <v>63</v>
      </c>
      <c r="I66" s="188"/>
      <c r="K66" s="176">
        <v>8</v>
      </c>
      <c r="L66" s="177"/>
      <c r="M66" s="163">
        <v>1</v>
      </c>
      <c r="N66" s="166">
        <v>4400</v>
      </c>
      <c r="O66" s="173">
        <v>0.3</v>
      </c>
      <c r="P66" s="166">
        <f t="shared" ref="P66" si="14">N66*(1-O66)</f>
        <v>3080</v>
      </c>
      <c r="Q66" s="166">
        <f t="shared" ref="Q66:Q74" si="15">P66*M66*G66</f>
        <v>24640</v>
      </c>
      <c r="R66" s="184">
        <f t="shared" ref="R66:R74" si="16">Q66/$Q$50</f>
        <v>0.13439804511934372</v>
      </c>
      <c r="S66" s="503">
        <f>Q66</f>
        <v>24640</v>
      </c>
      <c r="T66" s="394">
        <f t="shared" ref="T66:T69" si="17">S66</f>
        <v>24640</v>
      </c>
      <c r="X66" s="286"/>
      <c r="Y66" s="394">
        <f>S66</f>
        <v>24640</v>
      </c>
      <c r="Z66" s="395"/>
      <c r="AA66" s="394">
        <f>S66</f>
        <v>24640</v>
      </c>
      <c r="AE66" s="286"/>
    </row>
    <row r="67" spans="1:31" x14ac:dyDescent="0.3">
      <c r="A67" s="157" t="s">
        <v>1036</v>
      </c>
      <c r="B67" s="157" t="s">
        <v>215</v>
      </c>
      <c r="C67" s="157" t="s">
        <v>1037</v>
      </c>
      <c r="D67" s="157" t="s">
        <v>102</v>
      </c>
      <c r="E67" s="157" t="s">
        <v>518</v>
      </c>
      <c r="F67" s="158" t="s">
        <v>521</v>
      </c>
      <c r="G67" s="157">
        <v>1</v>
      </c>
      <c r="H67" s="157" t="s">
        <v>24</v>
      </c>
      <c r="I67" s="182">
        <v>1</v>
      </c>
      <c r="J67" s="183"/>
      <c r="K67" s="183"/>
      <c r="L67" s="2239"/>
      <c r="M67" s="163">
        <v>1</v>
      </c>
      <c r="N67" s="166">
        <v>13200</v>
      </c>
      <c r="O67" s="173">
        <v>0.3</v>
      </c>
      <c r="P67" s="166">
        <f>N67*(1-O67)</f>
        <v>9240</v>
      </c>
      <c r="Q67" s="166">
        <f t="shared" si="15"/>
        <v>9240</v>
      </c>
      <c r="R67" s="167">
        <f t="shared" si="16"/>
        <v>5.0399266919753896E-2</v>
      </c>
      <c r="S67" s="503">
        <f t="shared" ref="S67:S74" si="18">Q67</f>
        <v>9240</v>
      </c>
      <c r="T67" s="394">
        <f t="shared" si="17"/>
        <v>9240</v>
      </c>
      <c r="X67" s="286"/>
      <c r="Y67" s="394"/>
      <c r="Z67" s="395">
        <f>S67</f>
        <v>9240</v>
      </c>
      <c r="AA67" s="394">
        <f>S67</f>
        <v>9240</v>
      </c>
      <c r="AE67" s="286"/>
    </row>
    <row r="68" spans="1:31" x14ac:dyDescent="0.3">
      <c r="A68" s="157" t="s">
        <v>1036</v>
      </c>
      <c r="B68" s="157" t="s">
        <v>216</v>
      </c>
      <c r="C68" s="157" t="s">
        <v>1037</v>
      </c>
      <c r="D68" s="157" t="s">
        <v>102</v>
      </c>
      <c r="E68" s="157" t="s">
        <v>518</v>
      </c>
      <c r="F68" s="158" t="s">
        <v>521</v>
      </c>
      <c r="G68" s="157">
        <v>3</v>
      </c>
      <c r="H68" s="157" t="s">
        <v>63</v>
      </c>
      <c r="I68" s="182">
        <v>3</v>
      </c>
      <c r="J68" s="183"/>
      <c r="K68" s="183"/>
      <c r="L68" s="2239"/>
      <c r="M68" s="163">
        <v>1</v>
      </c>
      <c r="N68" s="166">
        <v>47500</v>
      </c>
      <c r="O68" s="173">
        <v>0.92</v>
      </c>
      <c r="P68" s="166">
        <f t="shared" ref="P68:P74" si="19">N68*(1-O68)</f>
        <v>3799.9999999999982</v>
      </c>
      <c r="Q68" s="166">
        <f t="shared" si="15"/>
        <v>11399.999999999995</v>
      </c>
      <c r="R68" s="167">
        <f t="shared" si="16"/>
        <v>6.2180913732163869E-2</v>
      </c>
      <c r="S68" s="503">
        <f t="shared" si="18"/>
        <v>11399.999999999995</v>
      </c>
      <c r="T68" s="394">
        <f t="shared" si="17"/>
        <v>11399.999999999995</v>
      </c>
      <c r="X68" s="286"/>
      <c r="Y68" s="394"/>
      <c r="Z68" s="395">
        <f>S68</f>
        <v>11399.999999999995</v>
      </c>
      <c r="AA68" s="188"/>
      <c r="AB68" s="169">
        <f>S68</f>
        <v>11399.999999999995</v>
      </c>
      <c r="AE68" s="286"/>
    </row>
    <row r="69" spans="1:31" x14ac:dyDescent="0.3">
      <c r="A69" s="157" t="s">
        <v>1036</v>
      </c>
      <c r="B69" s="157" t="s">
        <v>216</v>
      </c>
      <c r="C69" s="157" t="s">
        <v>1037</v>
      </c>
      <c r="D69" s="157" t="s">
        <v>166</v>
      </c>
      <c r="E69" s="157" t="s">
        <v>520</v>
      </c>
      <c r="F69" s="158" t="s">
        <v>798</v>
      </c>
      <c r="G69" s="157">
        <v>14</v>
      </c>
      <c r="H69" s="157" t="s">
        <v>63</v>
      </c>
      <c r="I69" s="175">
        <v>14</v>
      </c>
      <c r="J69" s="688"/>
      <c r="L69" s="286"/>
      <c r="M69" s="163">
        <v>1</v>
      </c>
      <c r="N69" s="166">
        <v>22000</v>
      </c>
      <c r="O69" s="173">
        <v>0.96</v>
      </c>
      <c r="P69" s="166">
        <f t="shared" si="19"/>
        <v>880.0000000000008</v>
      </c>
      <c r="Q69" s="166">
        <f t="shared" si="15"/>
        <v>12320.000000000011</v>
      </c>
      <c r="R69" s="184">
        <f t="shared" si="16"/>
        <v>6.7199022559671917E-2</v>
      </c>
      <c r="S69" s="503">
        <f t="shared" si="18"/>
        <v>12320.000000000011</v>
      </c>
      <c r="T69" s="394">
        <f t="shared" si="17"/>
        <v>12320.000000000011</v>
      </c>
      <c r="X69" s="286"/>
      <c r="Y69" s="394">
        <f>S69</f>
        <v>12320.000000000011</v>
      </c>
      <c r="Z69" s="395"/>
      <c r="AA69" s="188"/>
      <c r="AB69" s="169">
        <f t="shared" ref="AB69:AB72" si="20">S69</f>
        <v>12320.000000000011</v>
      </c>
      <c r="AE69" s="286"/>
    </row>
    <row r="70" spans="1:31" x14ac:dyDescent="0.3">
      <c r="A70" s="157" t="s">
        <v>1036</v>
      </c>
      <c r="B70" s="157" t="s">
        <v>216</v>
      </c>
      <c r="C70" s="157" t="s">
        <v>1037</v>
      </c>
      <c r="D70" s="157" t="s">
        <v>26</v>
      </c>
      <c r="E70" s="157" t="s">
        <v>520</v>
      </c>
      <c r="F70" s="158" t="s">
        <v>640</v>
      </c>
      <c r="G70" s="157">
        <v>3</v>
      </c>
      <c r="H70" s="157" t="s">
        <v>24</v>
      </c>
      <c r="I70" s="182">
        <v>3</v>
      </c>
      <c r="J70" s="183"/>
      <c r="K70" s="183"/>
      <c r="L70" s="2239"/>
      <c r="M70" s="163">
        <v>1</v>
      </c>
      <c r="N70" s="166">
        <v>32000</v>
      </c>
      <c r="O70" s="173">
        <v>0.83</v>
      </c>
      <c r="P70" s="166">
        <f t="shared" si="19"/>
        <v>5440.0000000000009</v>
      </c>
      <c r="Q70" s="166">
        <f t="shared" si="15"/>
        <v>16320.000000000004</v>
      </c>
      <c r="R70" s="184">
        <f t="shared" si="16"/>
        <v>8.9016887027097813E-2</v>
      </c>
      <c r="S70" s="503">
        <f t="shared" si="18"/>
        <v>16320.000000000004</v>
      </c>
      <c r="T70" s="394">
        <f>S70</f>
        <v>16320.000000000004</v>
      </c>
      <c r="U70" s="169"/>
      <c r="X70" s="286"/>
      <c r="Y70" s="394">
        <f>S70</f>
        <v>16320.000000000004</v>
      </c>
      <c r="Z70" s="286"/>
      <c r="AA70" s="188"/>
      <c r="AB70" s="169">
        <f t="shared" si="20"/>
        <v>16320.000000000004</v>
      </c>
      <c r="AE70" s="286"/>
    </row>
    <row r="71" spans="1:31" x14ac:dyDescent="0.3">
      <c r="A71" s="157" t="s">
        <v>1036</v>
      </c>
      <c r="B71" s="157" t="s">
        <v>210</v>
      </c>
      <c r="C71" s="157" t="s">
        <v>1039</v>
      </c>
      <c r="D71" s="157" t="s">
        <v>219</v>
      </c>
      <c r="E71" s="157" t="s">
        <v>518</v>
      </c>
      <c r="F71" s="158" t="s">
        <v>1040</v>
      </c>
      <c r="G71" s="157">
        <v>5</v>
      </c>
      <c r="H71" s="157" t="s">
        <v>22</v>
      </c>
      <c r="I71" s="175">
        <v>5</v>
      </c>
      <c r="J71" s="688"/>
      <c r="L71" s="286"/>
      <c r="M71" s="163">
        <v>1</v>
      </c>
      <c r="N71" s="166">
        <v>5463</v>
      </c>
      <c r="O71" s="173">
        <v>0.6</v>
      </c>
      <c r="P71" s="166">
        <f t="shared" si="19"/>
        <v>2185.2000000000003</v>
      </c>
      <c r="Q71" s="166">
        <f t="shared" si="15"/>
        <v>10926.000000000002</v>
      </c>
      <c r="R71" s="167">
        <f t="shared" si="16"/>
        <v>5.9595496792773935E-2</v>
      </c>
      <c r="S71" s="503">
        <f t="shared" si="18"/>
        <v>10926.000000000002</v>
      </c>
      <c r="T71" s="394"/>
      <c r="U71" s="169">
        <f>S71</f>
        <v>10926.000000000002</v>
      </c>
      <c r="X71" s="286"/>
      <c r="Y71" s="394"/>
      <c r="Z71" s="395">
        <f>S71</f>
        <v>10926.000000000002</v>
      </c>
      <c r="AA71" s="188"/>
      <c r="AB71" s="169"/>
      <c r="AD71" s="169">
        <f>S71</f>
        <v>10926.000000000002</v>
      </c>
      <c r="AE71" s="286"/>
    </row>
    <row r="72" spans="1:31" x14ac:dyDescent="0.3">
      <c r="A72" s="157" t="s">
        <v>1036</v>
      </c>
      <c r="B72" s="157" t="s">
        <v>216</v>
      </c>
      <c r="C72" s="157" t="s">
        <v>1041</v>
      </c>
      <c r="D72" s="157" t="s">
        <v>68</v>
      </c>
      <c r="E72" s="157" t="s">
        <v>520</v>
      </c>
      <c r="F72" s="158" t="s">
        <v>655</v>
      </c>
      <c r="G72" s="157">
        <v>9</v>
      </c>
      <c r="H72" s="157" t="s">
        <v>24</v>
      </c>
      <c r="I72" s="182">
        <v>9</v>
      </c>
      <c r="J72" s="183"/>
      <c r="K72" s="183"/>
      <c r="L72" s="2239"/>
      <c r="M72" s="163">
        <v>1</v>
      </c>
      <c r="N72" s="166">
        <v>2300</v>
      </c>
      <c r="O72" s="173">
        <v>0.1</v>
      </c>
      <c r="P72" s="166">
        <f t="shared" si="19"/>
        <v>2070</v>
      </c>
      <c r="Q72" s="166">
        <f t="shared" si="15"/>
        <v>18630</v>
      </c>
      <c r="R72" s="184">
        <f t="shared" si="16"/>
        <v>0.10161670375703626</v>
      </c>
      <c r="S72" s="503">
        <f t="shared" si="18"/>
        <v>18630</v>
      </c>
      <c r="T72" s="394"/>
      <c r="V72" s="169">
        <f>S72</f>
        <v>18630</v>
      </c>
      <c r="X72" s="286"/>
      <c r="Y72" s="394">
        <f>S72</f>
        <v>18630</v>
      </c>
      <c r="Z72" s="286"/>
      <c r="AA72" s="188"/>
      <c r="AB72" s="169">
        <f t="shared" si="20"/>
        <v>18630</v>
      </c>
      <c r="AC72" s="169"/>
      <c r="AE72" s="286"/>
    </row>
    <row r="73" spans="1:31" x14ac:dyDescent="0.3">
      <c r="A73" s="157" t="s">
        <v>1036</v>
      </c>
      <c r="B73" s="157" t="s">
        <v>130</v>
      </c>
      <c r="C73" s="157" t="s">
        <v>1042</v>
      </c>
      <c r="D73" s="157" t="s">
        <v>223</v>
      </c>
      <c r="E73" s="157" t="s">
        <v>520</v>
      </c>
      <c r="F73" s="158" t="s">
        <v>655</v>
      </c>
      <c r="G73" s="157">
        <v>9</v>
      </c>
      <c r="H73" s="157" t="s">
        <v>24</v>
      </c>
      <c r="I73" s="182">
        <v>9</v>
      </c>
      <c r="J73" s="183"/>
      <c r="K73" s="183"/>
      <c r="L73" s="2239"/>
      <c r="M73" s="163">
        <v>1</v>
      </c>
      <c r="N73" s="166">
        <v>2005</v>
      </c>
      <c r="O73" s="173">
        <v>0.1</v>
      </c>
      <c r="P73" s="166">
        <f t="shared" si="19"/>
        <v>1804.5</v>
      </c>
      <c r="Q73" s="166">
        <f t="shared" si="15"/>
        <v>16240.5</v>
      </c>
      <c r="R73" s="184">
        <f t="shared" si="16"/>
        <v>8.8583256970807697E-2</v>
      </c>
      <c r="S73" s="503">
        <f t="shared" si="18"/>
        <v>16240.5</v>
      </c>
      <c r="T73" s="394"/>
      <c r="V73" s="169">
        <f>S73</f>
        <v>16240.5</v>
      </c>
      <c r="X73" s="286"/>
      <c r="Y73" s="394">
        <f>S73</f>
        <v>16240.5</v>
      </c>
      <c r="Z73" s="286"/>
      <c r="AA73" s="188"/>
      <c r="AB73" s="169"/>
      <c r="AC73" s="169">
        <f>S73</f>
        <v>16240.5</v>
      </c>
      <c r="AD73" s="169"/>
      <c r="AE73" s="286"/>
    </row>
    <row r="74" spans="1:31" x14ac:dyDescent="0.3">
      <c r="A74" s="157" t="s">
        <v>1036</v>
      </c>
      <c r="B74" s="157" t="s">
        <v>210</v>
      </c>
      <c r="C74" s="157" t="s">
        <v>1037</v>
      </c>
      <c r="D74" s="157" t="s">
        <v>222</v>
      </c>
      <c r="E74" s="157" t="s">
        <v>520</v>
      </c>
      <c r="F74" s="158" t="s">
        <v>552</v>
      </c>
      <c r="G74" s="157">
        <v>17</v>
      </c>
      <c r="H74" s="157" t="s">
        <v>147</v>
      </c>
      <c r="I74" s="175">
        <v>17</v>
      </c>
      <c r="J74" s="176"/>
      <c r="K74" s="1"/>
      <c r="L74" s="163"/>
      <c r="M74" s="163">
        <v>1</v>
      </c>
      <c r="N74" s="166">
        <v>6009</v>
      </c>
      <c r="O74" s="173">
        <v>0.6</v>
      </c>
      <c r="P74" s="166">
        <f t="shared" si="19"/>
        <v>2403.6</v>
      </c>
      <c r="Q74" s="166">
        <f t="shared" si="15"/>
        <v>40861.199999999997</v>
      </c>
      <c r="R74" s="184">
        <f t="shared" si="16"/>
        <v>0.22287603089409608</v>
      </c>
      <c r="S74" s="503">
        <f t="shared" si="18"/>
        <v>40861.199999999997</v>
      </c>
      <c r="T74" s="394"/>
      <c r="U74" s="169">
        <f>S74</f>
        <v>40861.199999999997</v>
      </c>
      <c r="V74" s="169"/>
      <c r="X74" s="286"/>
      <c r="Y74" s="394">
        <f>S74</f>
        <v>40861.199999999997</v>
      </c>
      <c r="Z74" s="286"/>
      <c r="AA74" s="188"/>
      <c r="AD74" s="169">
        <f>S74</f>
        <v>40861.199999999997</v>
      </c>
      <c r="AE74" s="395"/>
    </row>
    <row r="75" spans="1:31" x14ac:dyDescent="0.3">
      <c r="A75" s="172"/>
      <c r="B75" s="157"/>
      <c r="C75" s="474"/>
      <c r="I75" s="245"/>
      <c r="J75" s="245"/>
      <c r="K75" s="245"/>
      <c r="L75" s="245"/>
      <c r="N75" s="5"/>
      <c r="O75" s="6"/>
      <c r="P75" s="186"/>
      <c r="Q75" s="166"/>
      <c r="R75" s="393"/>
      <c r="S75" s="503"/>
      <c r="T75" s="188"/>
      <c r="X75" s="286"/>
      <c r="Y75" s="188"/>
      <c r="Z75" s="286"/>
      <c r="AA75" s="188"/>
      <c r="AD75" s="169"/>
      <c r="AE75" s="286"/>
    </row>
    <row r="76" spans="1:31" x14ac:dyDescent="0.3">
      <c r="A76" s="108" t="s">
        <v>1036</v>
      </c>
      <c r="B76" s="108" t="s">
        <v>528</v>
      </c>
      <c r="C76" s="289"/>
      <c r="D76" s="252"/>
      <c r="E76" s="252"/>
      <c r="F76" s="253"/>
      <c r="G76" s="252"/>
      <c r="H76" s="252"/>
      <c r="I76" s="254"/>
      <c r="J76" s="254"/>
      <c r="K76" s="254"/>
      <c r="L76" s="254"/>
      <c r="M76" s="252"/>
      <c r="N76" s="255"/>
      <c r="O76" s="256"/>
      <c r="P76" s="290"/>
      <c r="Q76" s="257"/>
      <c r="R76" s="291"/>
      <c r="S76" s="503"/>
      <c r="T76" s="188"/>
      <c r="W76" s="169">
        <f>S76</f>
        <v>0</v>
      </c>
      <c r="X76" s="286"/>
      <c r="Y76" s="188"/>
      <c r="Z76" s="286"/>
      <c r="AA76" s="188"/>
      <c r="AE76" s="286"/>
    </row>
    <row r="77" spans="1:31" x14ac:dyDescent="0.3">
      <c r="A77" s="108" t="s">
        <v>1036</v>
      </c>
      <c r="B77" s="108" t="s">
        <v>529</v>
      </c>
      <c r="C77" s="289"/>
      <c r="D77" s="252"/>
      <c r="E77" s="252"/>
      <c r="F77" s="253"/>
      <c r="G77" s="252"/>
      <c r="H77" s="252"/>
      <c r="I77" s="254"/>
      <c r="J77" s="254"/>
      <c r="K77" s="254"/>
      <c r="L77" s="254"/>
      <c r="M77" s="252"/>
      <c r="N77" s="255"/>
      <c r="O77" s="256"/>
      <c r="P77" s="290"/>
      <c r="Q77" s="257">
        <v>23000</v>
      </c>
      <c r="R77" s="291">
        <f>Q77/Q79</f>
        <v>0.12528754854211593</v>
      </c>
      <c r="S77" s="503">
        <f>Q77</f>
        <v>23000</v>
      </c>
      <c r="T77" s="188"/>
      <c r="X77" s="395">
        <f>S77</f>
        <v>23000</v>
      </c>
      <c r="Y77" s="188"/>
      <c r="Z77" s="286"/>
      <c r="AA77" s="188"/>
      <c r="AE77" s="286"/>
    </row>
    <row r="78" spans="1:31" x14ac:dyDescent="0.3">
      <c r="I78" s="115">
        <f>I79/$M$79</f>
        <v>0.88405797101449279</v>
      </c>
      <c r="J78" s="115">
        <f t="shared" ref="J78:L78" si="21">J79/$M$79</f>
        <v>0</v>
      </c>
      <c r="K78" s="115">
        <f t="shared" si="21"/>
        <v>0.11594202898550725</v>
      </c>
      <c r="L78" s="115">
        <f t="shared" si="21"/>
        <v>0</v>
      </c>
      <c r="S78" s="166"/>
      <c r="T78" s="188"/>
      <c r="X78" s="286"/>
      <c r="Y78" s="188"/>
      <c r="Z78" s="286"/>
      <c r="AA78" s="188"/>
      <c r="AE78" s="286"/>
    </row>
    <row r="79" spans="1:31" x14ac:dyDescent="0.3">
      <c r="A79" s="840" t="s">
        <v>531</v>
      </c>
      <c r="B79" s="841"/>
      <c r="C79" s="841"/>
      <c r="D79" s="841"/>
      <c r="E79" s="841"/>
      <c r="F79" s="842"/>
      <c r="G79" s="841"/>
      <c r="H79" s="841"/>
      <c r="I79" s="1579">
        <f>I73+I72+I71+I70+I69+I68+I67+I74</f>
        <v>61</v>
      </c>
      <c r="J79" s="1579">
        <f>J71</f>
        <v>0</v>
      </c>
      <c r="K79" s="1579">
        <f>K66</f>
        <v>8</v>
      </c>
      <c r="L79" s="1579"/>
      <c r="M79" s="841">
        <f>SUM(I79:L79)</f>
        <v>69</v>
      </c>
      <c r="N79" s="843"/>
      <c r="O79" s="844"/>
      <c r="P79" s="843"/>
      <c r="Q79" s="845">
        <f>SUM(Q64:Q78)</f>
        <v>183577.7</v>
      </c>
      <c r="R79" s="844">
        <f>SUM(R65:R77)</f>
        <v>1.001153172314861</v>
      </c>
      <c r="S79" s="1580">
        <f>SUM(S65:S78)</f>
        <v>183577.7</v>
      </c>
      <c r="T79" s="1581">
        <f t="shared" ref="T79:Z79" si="22">SUM(T65:T77)</f>
        <v>73920</v>
      </c>
      <c r="U79" s="570">
        <f t="shared" si="22"/>
        <v>51787.199999999997</v>
      </c>
      <c r="V79" s="570">
        <f t="shared" si="22"/>
        <v>34870.5</v>
      </c>
      <c r="W79" s="570">
        <f t="shared" si="22"/>
        <v>0</v>
      </c>
      <c r="X79" s="570">
        <f t="shared" si="22"/>
        <v>23000</v>
      </c>
      <c r="Y79" s="1091">
        <f>SUM(Y65:Y77)</f>
        <v>129011.70000000001</v>
      </c>
      <c r="Z79" s="1056">
        <f t="shared" si="22"/>
        <v>31565.999999999993</v>
      </c>
      <c r="AA79" s="1582">
        <f>SUM(AA64:AA78)</f>
        <v>33880</v>
      </c>
      <c r="AB79" s="1583">
        <f>SUM(AB64:AB78)</f>
        <v>58670.000000000015</v>
      </c>
      <c r="AC79" s="1583">
        <f>SUM(AC64:AC78)</f>
        <v>16240.5</v>
      </c>
      <c r="AD79" s="1583">
        <f>SUM(AD64:AD78)</f>
        <v>51787.199999999997</v>
      </c>
      <c r="AE79" s="1584">
        <f>SUM(AE64:AE78)</f>
        <v>0</v>
      </c>
    </row>
    <row r="80" spans="1:31" x14ac:dyDescent="0.3">
      <c r="A80" s="840" t="s">
        <v>532</v>
      </c>
      <c r="B80" s="841"/>
      <c r="C80" s="841"/>
      <c r="D80" s="841"/>
      <c r="E80" s="841"/>
      <c r="F80" s="842"/>
      <c r="G80" s="841"/>
      <c r="H80" s="841"/>
      <c r="I80" s="1579">
        <f>I73+I72+I71+I70+I69+I68+I67+I74</f>
        <v>61</v>
      </c>
      <c r="J80" s="1579">
        <f>I73+I72+J71+I70+I69+I68+I67+I74</f>
        <v>56</v>
      </c>
      <c r="K80" s="1579">
        <f>I73+I72+I70+I68+I67+K66</f>
        <v>33</v>
      </c>
      <c r="L80" s="1579">
        <f>I73+I72+I70+I68+I67+K66</f>
        <v>33</v>
      </c>
      <c r="M80" s="841">
        <f>SUM(I80:L80)</f>
        <v>183</v>
      </c>
      <c r="N80" s="843"/>
      <c r="O80" s="844"/>
      <c r="P80" s="843"/>
      <c r="Q80" s="843"/>
      <c r="R80" s="844"/>
      <c r="S80" s="1585"/>
      <c r="T80" s="1586">
        <f>T79/S79</f>
        <v>0.40266328644492222</v>
      </c>
      <c r="U80" s="1587">
        <f>U79/S79</f>
        <v>0.28209962321131593</v>
      </c>
      <c r="V80" s="1588">
        <f>V79/S79</f>
        <v>0.18994954180164583</v>
      </c>
      <c r="W80" s="1587">
        <f>W79/S79</f>
        <v>0</v>
      </c>
      <c r="X80" s="1587">
        <f>X79/S79</f>
        <v>0.12528754854211593</v>
      </c>
      <c r="Y80" s="1589">
        <f>Y79/S79</f>
        <v>0.70276346201090878</v>
      </c>
      <c r="Z80" s="1590">
        <f>Z79/S79</f>
        <v>0.17194898944697526</v>
      </c>
      <c r="AA80" s="1591"/>
      <c r="AB80" s="1592"/>
      <c r="AC80" s="1592"/>
      <c r="AD80" s="1592"/>
      <c r="AE80" s="1593"/>
    </row>
    <row r="81" spans="1:31" x14ac:dyDescent="0.3">
      <c r="A81" s="251" t="s">
        <v>533</v>
      </c>
      <c r="B81" s="252"/>
      <c r="C81" s="252"/>
      <c r="D81" s="252"/>
      <c r="E81" s="252"/>
      <c r="F81" s="253"/>
      <c r="G81" s="252"/>
      <c r="H81" s="252"/>
      <c r="I81" s="2188">
        <f>I80/$M$80</f>
        <v>0.33333333333333331</v>
      </c>
      <c r="J81" s="2188">
        <f t="shared" ref="J81:L81" si="23">J80/$M$80</f>
        <v>0.30601092896174864</v>
      </c>
      <c r="K81" s="2188">
        <f t="shared" si="23"/>
        <v>0.18032786885245902</v>
      </c>
      <c r="L81" s="2188">
        <f t="shared" si="23"/>
        <v>0.18032786885245902</v>
      </c>
      <c r="M81" s="252"/>
      <c r="N81" s="255"/>
      <c r="O81" s="256"/>
      <c r="P81" s="255"/>
      <c r="Q81" s="257">
        <f>T79</f>
        <v>73920</v>
      </c>
      <c r="R81" s="262">
        <f>Q81/Q85</f>
        <v>0.40266328644492222</v>
      </c>
      <c r="X81" s="248"/>
      <c r="Y81" s="357">
        <f>K66+I69+I70+I72+I73+I74</f>
        <v>60</v>
      </c>
      <c r="Z81" s="358">
        <f>I67+I68+I71+J71</f>
        <v>9</v>
      </c>
    </row>
    <row r="82" spans="1:31" x14ac:dyDescent="0.3">
      <c r="A82" s="251" t="s">
        <v>11</v>
      </c>
      <c r="B82" s="252"/>
      <c r="C82" s="252"/>
      <c r="D82" s="252"/>
      <c r="E82" s="252"/>
      <c r="F82" s="253"/>
      <c r="G82" s="252"/>
      <c r="H82" s="252"/>
      <c r="I82" s="254"/>
      <c r="J82" s="254"/>
      <c r="K82" s="254"/>
      <c r="L82" s="254"/>
      <c r="M82" s="252"/>
      <c r="N82" s="255"/>
      <c r="O82" s="256"/>
      <c r="P82" s="255"/>
      <c r="Q82" s="257">
        <f>U79</f>
        <v>51787.199999999997</v>
      </c>
      <c r="R82" s="262">
        <f>Q82/Q85</f>
        <v>0.28209962321131593</v>
      </c>
      <c r="S82" s="1050">
        <f>Q79/M79</f>
        <v>2660.5463768115942</v>
      </c>
      <c r="T82" s="1051" t="s">
        <v>535</v>
      </c>
      <c r="Y82" s="195">
        <f>Y81/M79</f>
        <v>0.86956521739130432</v>
      </c>
      <c r="Z82" s="247">
        <f>Z81/M79</f>
        <v>0.13043478260869565</v>
      </c>
    </row>
    <row r="83" spans="1:31" x14ac:dyDescent="0.3">
      <c r="A83" s="251" t="s">
        <v>536</v>
      </c>
      <c r="B83" s="252"/>
      <c r="C83" s="252"/>
      <c r="D83" s="252"/>
      <c r="E83" s="252"/>
      <c r="F83" s="253"/>
      <c r="G83" s="252"/>
      <c r="H83" s="252"/>
      <c r="I83" s="254"/>
      <c r="J83" s="254"/>
      <c r="K83" s="254"/>
      <c r="L83" s="254"/>
      <c r="M83" s="252"/>
      <c r="N83" s="255"/>
      <c r="O83" s="256"/>
      <c r="P83" s="255"/>
      <c r="Q83" s="257">
        <f>V79</f>
        <v>34870.5</v>
      </c>
      <c r="R83" s="262">
        <f>Q83/Q79</f>
        <v>0.18994954180164583</v>
      </c>
      <c r="W83" s="99"/>
      <c r="Y83" s="2551" t="s">
        <v>537</v>
      </c>
      <c r="Z83" s="2551"/>
    </row>
    <row r="84" spans="1:31" x14ac:dyDescent="0.3">
      <c r="A84" s="251" t="s">
        <v>529</v>
      </c>
      <c r="B84" s="252"/>
      <c r="C84" s="252"/>
      <c r="D84" s="252"/>
      <c r="E84" s="252"/>
      <c r="F84" s="253"/>
      <c r="G84" s="252"/>
      <c r="H84" s="252"/>
      <c r="I84" s="254"/>
      <c r="J84" s="254"/>
      <c r="K84" s="254"/>
      <c r="L84" s="254"/>
      <c r="M84" s="252"/>
      <c r="N84" s="255"/>
      <c r="O84" s="256"/>
      <c r="P84" s="255"/>
      <c r="Q84" s="257">
        <f>X79</f>
        <v>23000</v>
      </c>
      <c r="R84" s="262">
        <f>Q84/Q85</f>
        <v>0.12528754854211593</v>
      </c>
    </row>
    <row r="85" spans="1:31" x14ac:dyDescent="0.3">
      <c r="A85" s="243"/>
      <c r="B85" s="193"/>
      <c r="C85" s="193"/>
      <c r="D85" s="193"/>
      <c r="E85" s="193"/>
      <c r="F85" s="244"/>
      <c r="G85" s="193"/>
      <c r="H85" s="193"/>
      <c r="I85" s="245"/>
      <c r="J85" s="245"/>
      <c r="K85" s="245"/>
      <c r="L85" s="245"/>
      <c r="M85" s="193"/>
      <c r="N85" s="246"/>
      <c r="O85" s="196"/>
      <c r="P85" s="246"/>
      <c r="Q85" s="194">
        <f>SUM(Q81:Q84)</f>
        <v>183577.7</v>
      </c>
      <c r="R85" s="247">
        <f>SUM(R81:R84)</f>
        <v>1</v>
      </c>
      <c r="S85" s="600"/>
    </row>
    <row r="88" spans="1:31" x14ac:dyDescent="0.3">
      <c r="B88" s="2"/>
      <c r="E88" s="1" t="s">
        <v>543</v>
      </c>
      <c r="F88" s="2" t="s">
        <v>1043</v>
      </c>
      <c r="H88" s="1" t="s">
        <v>1044</v>
      </c>
      <c r="K88" s="304">
        <v>0.52</v>
      </c>
      <c r="L88" s="304"/>
    </row>
    <row r="89" spans="1:31" x14ac:dyDescent="0.3">
      <c r="E89" s="1" t="s">
        <v>473</v>
      </c>
      <c r="F89" s="2" t="s">
        <v>185</v>
      </c>
      <c r="H89" s="1" t="s">
        <v>473</v>
      </c>
      <c r="K89" s="1">
        <v>36</v>
      </c>
      <c r="L89" s="1"/>
    </row>
    <row r="90" spans="1:31" x14ac:dyDescent="0.3">
      <c r="B90" s="2"/>
      <c r="E90" s="1" t="s">
        <v>475</v>
      </c>
      <c r="F90" s="2" t="s">
        <v>1045</v>
      </c>
      <c r="H90" s="1" t="s">
        <v>475</v>
      </c>
      <c r="K90" s="1">
        <v>1980</v>
      </c>
      <c r="L90" s="1"/>
    </row>
    <row r="91" spans="1:31" x14ac:dyDescent="0.3">
      <c r="E91" s="1" t="s">
        <v>477</v>
      </c>
      <c r="F91" s="2" t="s">
        <v>1046</v>
      </c>
      <c r="H91" s="1" t="s">
        <v>477</v>
      </c>
      <c r="K91" s="95">
        <v>8676680</v>
      </c>
      <c r="L91" s="95"/>
    </row>
    <row r="92" spans="1:31" ht="18" x14ac:dyDescent="0.35">
      <c r="A92" s="1037" t="s">
        <v>596</v>
      </c>
    </row>
    <row r="93" spans="1:31" ht="18" x14ac:dyDescent="0.35">
      <c r="A93" s="1037"/>
    </row>
    <row r="94" spans="1:31" x14ac:dyDescent="0.3">
      <c r="A94" s="2587" t="s">
        <v>480</v>
      </c>
      <c r="B94" s="2588"/>
      <c r="C94" s="2588"/>
      <c r="D94" s="2588"/>
      <c r="E94" s="2588"/>
      <c r="F94" s="2588"/>
      <c r="G94" s="2588"/>
      <c r="H94" s="2588"/>
      <c r="I94" s="2588"/>
      <c r="J94" s="2588"/>
      <c r="K94" s="2588"/>
      <c r="L94" s="2588"/>
      <c r="M94" s="2588"/>
      <c r="N94" s="2588"/>
      <c r="O94" s="2588"/>
      <c r="P94" s="2588"/>
      <c r="Q94" s="2588"/>
      <c r="R94" s="2589"/>
      <c r="S94" s="2563" t="s">
        <v>584</v>
      </c>
      <c r="T94" s="2564"/>
      <c r="U94" s="2564"/>
      <c r="V94" s="2564"/>
      <c r="W94" s="2564"/>
      <c r="X94" s="2564"/>
      <c r="Y94" s="2564"/>
      <c r="Z94" s="2564"/>
      <c r="AA94" s="2564"/>
      <c r="AB94" s="2564"/>
      <c r="AC94" s="2564"/>
      <c r="AD94" s="2564"/>
      <c r="AE94" s="2576"/>
    </row>
    <row r="95" spans="1:31" ht="18" x14ac:dyDescent="0.3">
      <c r="A95" s="2453" t="s">
        <v>482</v>
      </c>
      <c r="B95" s="2453" t="s">
        <v>483</v>
      </c>
      <c r="C95" s="2453" t="s">
        <v>484</v>
      </c>
      <c r="D95" s="2453" t="s">
        <v>555</v>
      </c>
      <c r="E95" s="2453" t="s">
        <v>556</v>
      </c>
      <c r="F95" s="2451" t="s">
        <v>487</v>
      </c>
      <c r="G95" s="2453" t="s">
        <v>557</v>
      </c>
      <c r="H95" s="2453" t="s">
        <v>489</v>
      </c>
      <c r="I95" s="782" t="s">
        <v>490</v>
      </c>
      <c r="J95" s="782"/>
      <c r="K95" s="782"/>
      <c r="L95" s="782"/>
      <c r="M95" s="783" t="s">
        <v>491</v>
      </c>
      <c r="N95" s="784" t="s">
        <v>558</v>
      </c>
      <c r="O95" s="785" t="s">
        <v>493</v>
      </c>
      <c r="P95" s="784" t="s">
        <v>558</v>
      </c>
      <c r="Q95" s="784" t="s">
        <v>559</v>
      </c>
      <c r="R95" s="2455" t="s">
        <v>495</v>
      </c>
      <c r="S95" s="1059" t="s">
        <v>496</v>
      </c>
      <c r="T95" s="2567" t="s">
        <v>497</v>
      </c>
      <c r="U95" s="2568"/>
      <c r="V95" s="2568"/>
      <c r="W95" s="2568"/>
      <c r="X95" s="2568"/>
      <c r="Y95" s="2567" t="s">
        <v>498</v>
      </c>
      <c r="Z95" s="2568"/>
      <c r="AA95" s="2567" t="s">
        <v>499</v>
      </c>
      <c r="AB95" s="2568"/>
      <c r="AC95" s="2568"/>
      <c r="AD95" s="2568"/>
      <c r="AE95" s="2571"/>
    </row>
    <row r="96" spans="1:31" ht="18" x14ac:dyDescent="0.3">
      <c r="A96" s="2454"/>
      <c r="B96" s="2454"/>
      <c r="C96" s="2454"/>
      <c r="D96" s="2454"/>
      <c r="E96" s="2454"/>
      <c r="F96" s="2452"/>
      <c r="G96" s="2454"/>
      <c r="H96" s="2454"/>
      <c r="I96" s="782" t="s">
        <v>500</v>
      </c>
      <c r="J96" s="782" t="s">
        <v>501</v>
      </c>
      <c r="K96" s="782" t="s">
        <v>502</v>
      </c>
      <c r="L96" s="782" t="s">
        <v>503</v>
      </c>
      <c r="M96" s="786" t="s">
        <v>504</v>
      </c>
      <c r="N96" s="787" t="s">
        <v>505</v>
      </c>
      <c r="O96" s="788" t="s">
        <v>506</v>
      </c>
      <c r="P96" s="787" t="s">
        <v>507</v>
      </c>
      <c r="Q96" s="787" t="s">
        <v>560</v>
      </c>
      <c r="R96" s="2456"/>
      <c r="S96" s="1545" t="s">
        <v>508</v>
      </c>
      <c r="T96" s="2782"/>
      <c r="U96" s="2781"/>
      <c r="V96" s="2781"/>
      <c r="W96" s="2781"/>
      <c r="X96" s="2781"/>
      <c r="Y96" s="2782"/>
      <c r="Z96" s="2781"/>
      <c r="AA96" s="2782"/>
      <c r="AB96" s="2781"/>
      <c r="AC96" s="2781"/>
      <c r="AD96" s="2781"/>
      <c r="AE96" s="2783"/>
    </row>
    <row r="97" spans="1:31" ht="15.6" x14ac:dyDescent="0.3">
      <c r="A97" s="2792" t="s">
        <v>639</v>
      </c>
      <c r="B97" s="2793"/>
      <c r="C97" s="2793"/>
      <c r="D97" s="2793"/>
      <c r="E97" s="2793"/>
      <c r="F97" s="2793"/>
      <c r="G97" s="2793"/>
      <c r="H97" s="2793"/>
      <c r="I97" s="2793"/>
      <c r="J97" s="2793"/>
      <c r="K97" s="2793"/>
      <c r="L97" s="2793"/>
      <c r="M97" s="2793"/>
      <c r="N97" s="2793"/>
      <c r="O97" s="2793"/>
      <c r="P97" s="2793"/>
      <c r="Q97" s="2793"/>
      <c r="R97" s="2793"/>
      <c r="S97" s="1577"/>
      <c r="T97" s="1553" t="s">
        <v>510</v>
      </c>
      <c r="U97" s="1554" t="s">
        <v>11</v>
      </c>
      <c r="V97" s="1554" t="s">
        <v>511</v>
      </c>
      <c r="W97" s="1554" t="s">
        <v>512</v>
      </c>
      <c r="X97" s="1578" t="s">
        <v>513</v>
      </c>
      <c r="Y97" s="1553" t="s">
        <v>514</v>
      </c>
      <c r="Z97" s="1578" t="s">
        <v>515</v>
      </c>
      <c r="AA97" s="1553" t="s">
        <v>9</v>
      </c>
      <c r="AB97" s="1554" t="s">
        <v>10</v>
      </c>
      <c r="AC97" s="1554" t="s">
        <v>1035</v>
      </c>
      <c r="AD97" s="1554" t="s">
        <v>206</v>
      </c>
      <c r="AE97" s="1578" t="s">
        <v>5</v>
      </c>
    </row>
    <row r="98" spans="1:31" x14ac:dyDescent="0.3">
      <c r="A98" s="154"/>
      <c r="B98" s="462"/>
      <c r="C98" s="462"/>
      <c r="D98" s="462"/>
      <c r="E98" s="462"/>
      <c r="F98" s="463"/>
      <c r="G98" s="462"/>
      <c r="H98" s="462"/>
      <c r="I98" s="465"/>
      <c r="J98" s="465"/>
      <c r="K98" s="465"/>
      <c r="L98" s="465"/>
      <c r="M98" s="462"/>
      <c r="N98" s="468"/>
      <c r="O98" s="469"/>
      <c r="P98" s="468"/>
      <c r="Q98" s="468"/>
      <c r="R98" s="532"/>
      <c r="S98" s="166"/>
      <c r="T98" s="188"/>
      <c r="X98" s="286"/>
      <c r="Y98" s="188"/>
      <c r="Z98" s="286"/>
      <c r="AA98" s="188"/>
      <c r="AE98" s="286"/>
    </row>
    <row r="99" spans="1:31" x14ac:dyDescent="0.3">
      <c r="A99" s="157" t="s">
        <v>1036</v>
      </c>
      <c r="B99" s="157" t="s">
        <v>215</v>
      </c>
      <c r="C99" s="157" t="s">
        <v>1037</v>
      </c>
      <c r="D99" s="157" t="s">
        <v>102</v>
      </c>
      <c r="E99" s="157" t="s">
        <v>518</v>
      </c>
      <c r="F99" s="158" t="s">
        <v>551</v>
      </c>
      <c r="G99" s="157">
        <v>1</v>
      </c>
      <c r="H99" s="157" t="s">
        <v>24</v>
      </c>
      <c r="I99" s="182">
        <v>1</v>
      </c>
      <c r="J99" s="183"/>
      <c r="K99" s="183"/>
      <c r="L99" s="2239"/>
      <c r="M99" s="163">
        <v>1</v>
      </c>
      <c r="N99" s="166">
        <v>13200</v>
      </c>
      <c r="O99" s="173">
        <v>0.3</v>
      </c>
      <c r="P99" s="166">
        <f>N99*(1-O99)</f>
        <v>9240</v>
      </c>
      <c r="Q99" s="166">
        <f t="shared" ref="Q99:Q102" si="24">P99*M99*G99</f>
        <v>9240</v>
      </c>
      <c r="R99" s="167">
        <f t="shared" ref="R99:R106" si="25">Q99/$Q$112</f>
        <v>8.4397435194826551E-2</v>
      </c>
      <c r="S99" s="503">
        <f>Q99*4</f>
        <v>36960</v>
      </c>
      <c r="T99" s="394">
        <f t="shared" ref="T99:T103" si="26">S99</f>
        <v>36960</v>
      </c>
      <c r="U99" s="169"/>
      <c r="V99" s="169"/>
      <c r="W99" s="169"/>
      <c r="X99" s="395"/>
      <c r="Y99" s="394"/>
      <c r="Z99" s="395">
        <f>S99</f>
        <v>36960</v>
      </c>
      <c r="AA99" s="394">
        <f>S99</f>
        <v>36960</v>
      </c>
      <c r="AE99" s="286"/>
    </row>
    <row r="100" spans="1:31" x14ac:dyDescent="0.3">
      <c r="A100" s="157" t="s">
        <v>1036</v>
      </c>
      <c r="B100" s="157" t="s">
        <v>216</v>
      </c>
      <c r="C100" s="157" t="s">
        <v>1037</v>
      </c>
      <c r="D100" s="157" t="s">
        <v>102</v>
      </c>
      <c r="E100" s="157" t="s">
        <v>518</v>
      </c>
      <c r="F100" s="158" t="s">
        <v>551</v>
      </c>
      <c r="G100" s="157">
        <v>2</v>
      </c>
      <c r="H100" s="157" t="s">
        <v>63</v>
      </c>
      <c r="I100" s="182">
        <v>2</v>
      </c>
      <c r="J100" s="183"/>
      <c r="K100" s="183"/>
      <c r="L100" s="2239"/>
      <c r="M100" s="163">
        <v>1</v>
      </c>
      <c r="N100" s="166">
        <v>47500</v>
      </c>
      <c r="O100" s="173">
        <v>0.92</v>
      </c>
      <c r="P100" s="166">
        <f t="shared" ref="P100:P102" si="27">N100*(1-O100)</f>
        <v>3799.9999999999982</v>
      </c>
      <c r="Q100" s="166">
        <f t="shared" si="24"/>
        <v>7599.9999999999964</v>
      </c>
      <c r="R100" s="167">
        <f t="shared" si="25"/>
        <v>6.9417803839900594E-2</v>
      </c>
      <c r="S100" s="503">
        <f t="shared" ref="S100:S106" si="28">Q100*4</f>
        <v>30399.999999999985</v>
      </c>
      <c r="T100" s="394">
        <f t="shared" si="26"/>
        <v>30399.999999999985</v>
      </c>
      <c r="X100" s="286"/>
      <c r="Y100" s="394"/>
      <c r="Z100" s="395">
        <f>S100</f>
        <v>30399.999999999985</v>
      </c>
      <c r="AA100" s="394"/>
      <c r="AB100" s="169">
        <f>S100</f>
        <v>30399.999999999985</v>
      </c>
      <c r="AE100" s="286"/>
    </row>
    <row r="101" spans="1:31" x14ac:dyDescent="0.3">
      <c r="A101" s="157" t="s">
        <v>1036</v>
      </c>
      <c r="B101" s="157" t="s">
        <v>216</v>
      </c>
      <c r="C101" s="157" t="s">
        <v>1037</v>
      </c>
      <c r="D101" s="157" t="s">
        <v>166</v>
      </c>
      <c r="E101" s="157" t="s">
        <v>520</v>
      </c>
      <c r="F101" s="158" t="s">
        <v>519</v>
      </c>
      <c r="G101" s="157">
        <v>8</v>
      </c>
      <c r="H101" s="157" t="s">
        <v>63</v>
      </c>
      <c r="I101" s="175">
        <v>8</v>
      </c>
      <c r="J101" s="688"/>
      <c r="L101" s="286"/>
      <c r="M101" s="163">
        <v>1</v>
      </c>
      <c r="N101" s="166">
        <v>22000</v>
      </c>
      <c r="O101" s="173">
        <v>0.96</v>
      </c>
      <c r="P101" s="166">
        <f t="shared" si="27"/>
        <v>880.0000000000008</v>
      </c>
      <c r="Q101" s="166">
        <f t="shared" si="24"/>
        <v>7040.0000000000064</v>
      </c>
      <c r="R101" s="184">
        <f t="shared" si="25"/>
        <v>6.4302807767486952E-2</v>
      </c>
      <c r="S101" s="503">
        <f t="shared" si="28"/>
        <v>28160.000000000025</v>
      </c>
      <c r="T101" s="394">
        <f t="shared" si="26"/>
        <v>28160.000000000025</v>
      </c>
      <c r="X101" s="286"/>
      <c r="Y101" s="394">
        <f>S101</f>
        <v>28160.000000000025</v>
      </c>
      <c r="Z101" s="395"/>
      <c r="AA101" s="394"/>
      <c r="AB101" s="169">
        <f>S101</f>
        <v>28160.000000000025</v>
      </c>
      <c r="AE101" s="286"/>
    </row>
    <row r="102" spans="1:31" x14ac:dyDescent="0.3">
      <c r="A102" s="157" t="s">
        <v>1036</v>
      </c>
      <c r="B102" s="157" t="s">
        <v>216</v>
      </c>
      <c r="C102" s="157" t="s">
        <v>1037</v>
      </c>
      <c r="D102" s="157" t="s">
        <v>26</v>
      </c>
      <c r="E102" s="157" t="s">
        <v>520</v>
      </c>
      <c r="F102" s="158" t="s">
        <v>645</v>
      </c>
      <c r="G102" s="157">
        <v>2</v>
      </c>
      <c r="H102" s="157" t="s">
        <v>24</v>
      </c>
      <c r="I102" s="182">
        <v>2</v>
      </c>
      <c r="J102" s="183"/>
      <c r="K102" s="183"/>
      <c r="L102" s="2239"/>
      <c r="M102" s="163">
        <v>1</v>
      </c>
      <c r="N102" s="166">
        <v>32000</v>
      </c>
      <c r="O102" s="173">
        <v>0.83</v>
      </c>
      <c r="P102" s="166">
        <f t="shared" si="27"/>
        <v>5440.0000000000009</v>
      </c>
      <c r="Q102" s="166">
        <f t="shared" si="24"/>
        <v>10880.000000000002</v>
      </c>
      <c r="R102" s="184">
        <f t="shared" si="25"/>
        <v>9.9377066549752494E-2</v>
      </c>
      <c r="S102" s="503">
        <f t="shared" si="28"/>
        <v>43520.000000000007</v>
      </c>
      <c r="T102" s="394">
        <f t="shared" si="26"/>
        <v>43520.000000000007</v>
      </c>
      <c r="X102" s="286"/>
      <c r="Y102" s="394">
        <f>S102</f>
        <v>43520.000000000007</v>
      </c>
      <c r="Z102" s="395"/>
      <c r="AA102" s="188"/>
      <c r="AB102" s="169">
        <f>S102</f>
        <v>43520.000000000007</v>
      </c>
      <c r="AE102" s="286"/>
    </row>
    <row r="103" spans="1:31" x14ac:dyDescent="0.3">
      <c r="A103" s="157" t="s">
        <v>1036</v>
      </c>
      <c r="B103" s="157" t="s">
        <v>216</v>
      </c>
      <c r="C103" s="157" t="s">
        <v>1038</v>
      </c>
      <c r="D103" s="157" t="s">
        <v>217</v>
      </c>
      <c r="E103" s="157" t="s">
        <v>520</v>
      </c>
      <c r="F103" s="158" t="s">
        <v>589</v>
      </c>
      <c r="G103" s="157">
        <v>1</v>
      </c>
      <c r="H103" s="157" t="s">
        <v>24</v>
      </c>
      <c r="I103" s="175">
        <v>1</v>
      </c>
      <c r="J103" s="176"/>
      <c r="K103" s="176"/>
      <c r="L103" s="177"/>
      <c r="M103" s="163">
        <v>1</v>
      </c>
      <c r="N103" s="166">
        <v>29200</v>
      </c>
      <c r="O103" s="173">
        <v>0.87</v>
      </c>
      <c r="P103" s="166">
        <f>N103*(1-O103)</f>
        <v>3796</v>
      </c>
      <c r="Q103" s="166">
        <f>P103*M103*G103</f>
        <v>3796</v>
      </c>
      <c r="R103" s="184">
        <f t="shared" si="25"/>
        <v>3.4672366233718784E-2</v>
      </c>
      <c r="S103" s="503">
        <f t="shared" si="28"/>
        <v>15184</v>
      </c>
      <c r="T103" s="394">
        <f t="shared" si="26"/>
        <v>15184</v>
      </c>
      <c r="X103" s="286"/>
      <c r="Y103" s="394">
        <f>S103</f>
        <v>15184</v>
      </c>
      <c r="Z103" s="395"/>
      <c r="AA103" s="188"/>
      <c r="AB103" s="169">
        <f t="shared" ref="AB103" si="29">S103</f>
        <v>15184</v>
      </c>
      <c r="AE103" s="286"/>
    </row>
    <row r="104" spans="1:31" x14ac:dyDescent="0.3">
      <c r="A104" s="157" t="s">
        <v>1036</v>
      </c>
      <c r="B104" s="157" t="s">
        <v>218</v>
      </c>
      <c r="C104" s="157" t="s">
        <v>1037</v>
      </c>
      <c r="D104" s="157" t="s">
        <v>102</v>
      </c>
      <c r="E104" s="157" t="s">
        <v>518</v>
      </c>
      <c r="F104" s="158" t="s">
        <v>521</v>
      </c>
      <c r="G104" s="157">
        <v>1</v>
      </c>
      <c r="H104" s="157" t="s">
        <v>24</v>
      </c>
      <c r="I104" s="182">
        <v>1</v>
      </c>
      <c r="J104" s="183"/>
      <c r="K104" s="183"/>
      <c r="L104" s="2239"/>
      <c r="M104" s="163">
        <v>1</v>
      </c>
      <c r="N104" s="166">
        <v>5000</v>
      </c>
      <c r="O104" s="173">
        <v>0.2</v>
      </c>
      <c r="P104" s="166">
        <f t="shared" ref="P104:P106" si="30">N104*(1-O104)</f>
        <v>4000</v>
      </c>
      <c r="Q104" s="166">
        <f t="shared" ref="Q104:Q106" si="31">P104*M104*G104</f>
        <v>4000</v>
      </c>
      <c r="R104" s="167">
        <f t="shared" si="25"/>
        <v>3.6535686231526643E-2</v>
      </c>
      <c r="S104" s="503">
        <f t="shared" si="28"/>
        <v>16000</v>
      </c>
      <c r="T104" s="394">
        <f>S104</f>
        <v>16000</v>
      </c>
      <c r="U104" s="169"/>
      <c r="X104" s="286"/>
      <c r="Y104" s="394"/>
      <c r="Z104" s="395">
        <f>S104</f>
        <v>16000</v>
      </c>
      <c r="AA104" s="188"/>
      <c r="AB104" s="169"/>
      <c r="AC104" s="169">
        <f>S104</f>
        <v>16000</v>
      </c>
      <c r="AE104" s="286"/>
    </row>
    <row r="105" spans="1:31" x14ac:dyDescent="0.3">
      <c r="A105" s="157" t="s">
        <v>1036</v>
      </c>
      <c r="B105" s="157" t="s">
        <v>210</v>
      </c>
      <c r="C105" s="157" t="s">
        <v>1039</v>
      </c>
      <c r="D105" s="157" t="s">
        <v>224</v>
      </c>
      <c r="E105" s="157" t="s">
        <v>518</v>
      </c>
      <c r="F105" s="158" t="s">
        <v>1047</v>
      </c>
      <c r="G105" s="157">
        <v>5</v>
      </c>
      <c r="H105" s="157" t="s">
        <v>22</v>
      </c>
      <c r="I105" s="175">
        <v>5</v>
      </c>
      <c r="J105" s="176"/>
      <c r="L105" s="286"/>
      <c r="M105" s="163">
        <v>1</v>
      </c>
      <c r="N105" s="166">
        <v>5463</v>
      </c>
      <c r="O105" s="173">
        <v>0.6</v>
      </c>
      <c r="P105" s="166">
        <f t="shared" si="30"/>
        <v>2185.2000000000003</v>
      </c>
      <c r="Q105" s="166">
        <f t="shared" si="31"/>
        <v>10926.000000000002</v>
      </c>
      <c r="R105" s="167">
        <f t="shared" si="25"/>
        <v>9.9797226941415046E-2</v>
      </c>
      <c r="S105" s="503">
        <f t="shared" si="28"/>
        <v>43704.000000000007</v>
      </c>
      <c r="T105" s="394"/>
      <c r="U105" s="169">
        <f>S105</f>
        <v>43704.000000000007</v>
      </c>
      <c r="X105" s="286"/>
      <c r="Y105" s="394"/>
      <c r="Z105" s="395">
        <f>S105</f>
        <v>43704.000000000007</v>
      </c>
      <c r="AA105" s="188"/>
      <c r="AB105" s="169"/>
      <c r="AD105" s="169">
        <f>S105</f>
        <v>43704.000000000007</v>
      </c>
      <c r="AE105" s="286"/>
    </row>
    <row r="106" spans="1:31" x14ac:dyDescent="0.3">
      <c r="A106" s="157" t="s">
        <v>1036</v>
      </c>
      <c r="B106" s="157" t="s">
        <v>220</v>
      </c>
      <c r="C106" s="157" t="s">
        <v>1037</v>
      </c>
      <c r="D106" s="157" t="s">
        <v>221</v>
      </c>
      <c r="E106" s="157" t="s">
        <v>697</v>
      </c>
      <c r="F106" s="158" t="s">
        <v>38</v>
      </c>
      <c r="G106" s="157">
        <v>1</v>
      </c>
      <c r="H106" s="157" t="s">
        <v>24</v>
      </c>
      <c r="I106" s="182">
        <v>1</v>
      </c>
      <c r="J106" s="183"/>
      <c r="K106" s="183"/>
      <c r="L106" s="2239"/>
      <c r="M106" s="163">
        <v>1</v>
      </c>
      <c r="N106" s="166">
        <v>45000</v>
      </c>
      <c r="O106" s="173">
        <v>0.2</v>
      </c>
      <c r="P106" s="166">
        <f t="shared" si="30"/>
        <v>36000</v>
      </c>
      <c r="Q106" s="166">
        <f t="shared" si="31"/>
        <v>36000</v>
      </c>
      <c r="R106" s="184">
        <f t="shared" si="25"/>
        <v>0.32882117608373979</v>
      </c>
      <c r="S106" s="503">
        <f t="shared" si="28"/>
        <v>144000</v>
      </c>
      <c r="T106" s="394"/>
      <c r="V106" s="169">
        <f>S106</f>
        <v>144000</v>
      </c>
      <c r="X106" s="286"/>
      <c r="Y106" s="394">
        <f>S106</f>
        <v>144000</v>
      </c>
      <c r="Z106" s="286"/>
      <c r="AA106" s="188"/>
      <c r="AB106" s="169"/>
      <c r="AC106" s="169"/>
      <c r="AE106" s="395">
        <f>S106</f>
        <v>144000</v>
      </c>
    </row>
    <row r="107" spans="1:31" x14ac:dyDescent="0.3">
      <c r="A107" s="157"/>
      <c r="B107" s="157"/>
      <c r="C107" s="157"/>
      <c r="D107" s="157"/>
      <c r="E107" s="157"/>
      <c r="F107" s="158"/>
      <c r="G107" s="157"/>
      <c r="H107" s="157"/>
      <c r="I107" s="474"/>
      <c r="J107" s="1"/>
      <c r="K107" s="1"/>
      <c r="L107" s="163"/>
      <c r="M107" s="163"/>
      <c r="N107" s="166"/>
      <c r="O107" s="173"/>
      <c r="P107" s="166"/>
      <c r="Q107" s="166"/>
      <c r="R107" s="184"/>
      <c r="S107" s="503"/>
      <c r="T107" s="394"/>
      <c r="V107" s="169"/>
      <c r="X107" s="286"/>
      <c r="Y107" s="394"/>
      <c r="Z107" s="286"/>
      <c r="AA107" s="188"/>
      <c r="AB107" s="169"/>
      <c r="AC107" s="169"/>
      <c r="AD107" s="169"/>
      <c r="AE107" s="286"/>
    </row>
    <row r="108" spans="1:31" x14ac:dyDescent="0.3">
      <c r="A108" s="172"/>
      <c r="B108" s="157"/>
      <c r="C108" s="157"/>
      <c r="D108" s="157"/>
      <c r="E108" s="157"/>
      <c r="F108" s="158"/>
      <c r="G108" s="157"/>
      <c r="H108" s="157"/>
      <c r="I108" s="243"/>
      <c r="J108" s="245"/>
      <c r="K108" s="245"/>
      <c r="L108" s="287"/>
      <c r="M108" s="163"/>
      <c r="N108" s="166"/>
      <c r="O108" s="173"/>
      <c r="P108" s="166"/>
      <c r="Q108" s="166"/>
      <c r="R108" s="393"/>
      <c r="S108" s="503"/>
      <c r="T108" s="394"/>
      <c r="U108" s="169"/>
      <c r="V108" s="169"/>
      <c r="X108" s="286"/>
      <c r="Y108" s="394"/>
      <c r="Z108" s="286"/>
      <c r="AA108" s="188"/>
      <c r="AD108" s="169"/>
      <c r="AE108" s="395"/>
    </row>
    <row r="109" spans="1:31" x14ac:dyDescent="0.3">
      <c r="A109" s="108" t="s">
        <v>1036</v>
      </c>
      <c r="B109" s="108" t="s">
        <v>528</v>
      </c>
      <c r="C109" s="289"/>
      <c r="D109" s="252"/>
      <c r="E109" s="252"/>
      <c r="F109" s="253"/>
      <c r="G109" s="252"/>
      <c r="H109" s="252"/>
      <c r="I109" s="254"/>
      <c r="J109" s="254"/>
      <c r="K109" s="254"/>
      <c r="L109" s="254"/>
      <c r="M109" s="252"/>
      <c r="N109" s="255"/>
      <c r="O109" s="256"/>
      <c r="P109" s="290"/>
      <c r="Q109" s="257"/>
      <c r="R109" s="291"/>
      <c r="S109" s="503"/>
      <c r="T109" s="188"/>
      <c r="X109" s="286"/>
      <c r="Y109" s="188"/>
      <c r="Z109" s="286"/>
      <c r="AA109" s="188"/>
      <c r="AD109" s="169"/>
      <c r="AE109" s="286"/>
    </row>
    <row r="110" spans="1:31" x14ac:dyDescent="0.3">
      <c r="A110" s="108" t="s">
        <v>1036</v>
      </c>
      <c r="B110" s="108" t="s">
        <v>529</v>
      </c>
      <c r="C110" s="289"/>
      <c r="D110" s="252"/>
      <c r="E110" s="252"/>
      <c r="F110" s="253"/>
      <c r="G110" s="252"/>
      <c r="H110" s="252"/>
      <c r="I110" s="254"/>
      <c r="J110" s="254"/>
      <c r="K110" s="254"/>
      <c r="L110" s="254"/>
      <c r="M110" s="252"/>
      <c r="N110" s="255"/>
      <c r="O110" s="256"/>
      <c r="P110" s="290"/>
      <c r="Q110" s="257">
        <v>20000</v>
      </c>
      <c r="R110" s="291">
        <f>Q110/Q112</f>
        <v>0.18267843115763321</v>
      </c>
      <c r="S110" s="503">
        <f t="shared" ref="S110" si="32">Q110*4</f>
        <v>80000</v>
      </c>
      <c r="T110" s="188"/>
      <c r="W110" s="169"/>
      <c r="X110" s="395">
        <f>S110</f>
        <v>80000</v>
      </c>
      <c r="Y110" s="188"/>
      <c r="Z110" s="286"/>
      <c r="AA110" s="188"/>
      <c r="AE110" s="286"/>
    </row>
    <row r="111" spans="1:31" x14ac:dyDescent="0.3">
      <c r="I111" s="115">
        <f>I112/M112</f>
        <v>1</v>
      </c>
      <c r="S111" s="503">
        <f>Q111</f>
        <v>0</v>
      </c>
      <c r="T111" s="188"/>
      <c r="X111" s="395">
        <f>S111</f>
        <v>0</v>
      </c>
      <c r="Y111" s="188"/>
      <c r="Z111" s="286"/>
      <c r="AA111" s="188"/>
      <c r="AE111" s="286"/>
    </row>
    <row r="112" spans="1:31" x14ac:dyDescent="0.3">
      <c r="A112" s="789" t="s">
        <v>531</v>
      </c>
      <c r="B112" s="790"/>
      <c r="C112" s="790"/>
      <c r="D112" s="790"/>
      <c r="E112" s="790"/>
      <c r="F112" s="791"/>
      <c r="G112" s="790"/>
      <c r="H112" s="790"/>
      <c r="I112" s="792">
        <f>I106+I105+I101+I104+I103+I102+I100+I99</f>
        <v>21</v>
      </c>
      <c r="J112" s="792"/>
      <c r="K112" s="792"/>
      <c r="L112" s="792"/>
      <c r="M112" s="790">
        <f>SUM(I112:L112)</f>
        <v>21</v>
      </c>
      <c r="N112" s="793"/>
      <c r="O112" s="794"/>
      <c r="P112" s="793"/>
      <c r="Q112" s="795">
        <f>SUM(Q98:Q111)</f>
        <v>109482</v>
      </c>
      <c r="R112" s="794">
        <f>SUM(R98:R110)</f>
        <v>1.0000000000000002</v>
      </c>
      <c r="S112" s="1599">
        <f t="shared" ref="S112:Z112" si="33">SUM(S99:S111)</f>
        <v>437928</v>
      </c>
      <c r="T112" s="1600">
        <f t="shared" si="33"/>
        <v>170224.00000000003</v>
      </c>
      <c r="U112" s="585">
        <f t="shared" si="33"/>
        <v>43704.000000000007</v>
      </c>
      <c r="V112" s="585">
        <f t="shared" si="33"/>
        <v>144000</v>
      </c>
      <c r="W112" s="585">
        <f t="shared" si="33"/>
        <v>0</v>
      </c>
      <c r="X112" s="585">
        <f t="shared" si="33"/>
        <v>80000</v>
      </c>
      <c r="Y112" s="1601">
        <f t="shared" si="33"/>
        <v>230864.00000000003</v>
      </c>
      <c r="Z112" s="1602">
        <f t="shared" si="33"/>
        <v>127064</v>
      </c>
      <c r="AA112" s="1603">
        <f>SUM(AA98:AA111)</f>
        <v>36960</v>
      </c>
      <c r="AB112" s="1604">
        <f>SUM(AB98:AB111)</f>
        <v>117264.00000000003</v>
      </c>
      <c r="AC112" s="1604">
        <f>SUM(AC98:AC111)</f>
        <v>16000</v>
      </c>
      <c r="AD112" s="1604">
        <f>SUM(AD98:AD111)</f>
        <v>43704.000000000007</v>
      </c>
      <c r="AE112" s="1605">
        <f>SUM(AE98:AE111)</f>
        <v>144000</v>
      </c>
    </row>
    <row r="113" spans="1:31" x14ac:dyDescent="0.3">
      <c r="A113" s="789" t="s">
        <v>532</v>
      </c>
      <c r="B113" s="790"/>
      <c r="C113" s="790"/>
      <c r="D113" s="790"/>
      <c r="E113" s="790"/>
      <c r="F113" s="791"/>
      <c r="G113" s="790"/>
      <c r="H113" s="790"/>
      <c r="I113" s="792">
        <f>I106+I105+I104+I103+I102+I101+I100+I99</f>
        <v>21</v>
      </c>
      <c r="J113" s="792">
        <f>I106+J105+I104+I103+I102+I101+I100+I99</f>
        <v>16</v>
      </c>
      <c r="K113" s="792">
        <f>I106+I104+I103+I102+I100+I99</f>
        <v>8</v>
      </c>
      <c r="L113" s="792"/>
      <c r="M113" s="790">
        <f>SUM(I113:L113)</f>
        <v>45</v>
      </c>
      <c r="N113" s="793"/>
      <c r="O113" s="794"/>
      <c r="P113" s="793"/>
      <c r="Q113" s="793"/>
      <c r="R113" s="794"/>
      <c r="S113" s="1606"/>
      <c r="T113" s="1607">
        <f>T112/S112</f>
        <v>0.38870316581721204</v>
      </c>
      <c r="U113" s="1608">
        <f>U112/S112</f>
        <v>9.9797226941415046E-2</v>
      </c>
      <c r="V113" s="1609">
        <f>V112/S112</f>
        <v>0.32882117608373979</v>
      </c>
      <c r="W113" s="1608">
        <f>W112/S112</f>
        <v>0</v>
      </c>
      <c r="X113" s="1608">
        <f>X112/S112</f>
        <v>0.18267843115763321</v>
      </c>
      <c r="Y113" s="788">
        <f>Y112/S112</f>
        <v>0.52717341663469797</v>
      </c>
      <c r="Z113" s="1610">
        <f>Z112/S112</f>
        <v>0.29014815220766882</v>
      </c>
      <c r="AA113" s="1611"/>
      <c r="AB113" s="1612"/>
      <c r="AC113" s="1612"/>
      <c r="AD113" s="1612"/>
      <c r="AE113" s="1613"/>
    </row>
    <row r="114" spans="1:31" x14ac:dyDescent="0.3">
      <c r="A114" s="251" t="s">
        <v>533</v>
      </c>
      <c r="B114" s="252"/>
      <c r="C114" s="252"/>
      <c r="D114" s="252"/>
      <c r="E114" s="252"/>
      <c r="F114" s="253"/>
      <c r="G114" s="252"/>
      <c r="H114" s="252"/>
      <c r="I114" s="2188">
        <f>I113/$M$113</f>
        <v>0.46666666666666667</v>
      </c>
      <c r="J114" s="2188">
        <f t="shared" ref="J114:L114" si="34">J113/$M$113</f>
        <v>0.35555555555555557</v>
      </c>
      <c r="K114" s="2188">
        <f t="shared" si="34"/>
        <v>0.17777777777777778</v>
      </c>
      <c r="L114" s="2188">
        <f t="shared" si="34"/>
        <v>0</v>
      </c>
      <c r="M114" s="252"/>
      <c r="N114" s="255"/>
      <c r="O114" s="256"/>
      <c r="P114" s="255"/>
      <c r="Q114" s="257">
        <f>T112/4</f>
        <v>42556.000000000007</v>
      </c>
      <c r="R114" s="262">
        <f>Q114/Q118</f>
        <v>0.38870316581721204</v>
      </c>
      <c r="X114" s="248"/>
      <c r="Y114" s="357">
        <f>I101+I102+I103+I106</f>
        <v>12</v>
      </c>
      <c r="Z114" s="358">
        <f>I99+I100+I104+I105</f>
        <v>9</v>
      </c>
    </row>
    <row r="115" spans="1:31" x14ac:dyDescent="0.3">
      <c r="A115" s="251" t="s">
        <v>11</v>
      </c>
      <c r="B115" s="252"/>
      <c r="C115" s="252"/>
      <c r="D115" s="252"/>
      <c r="E115" s="252"/>
      <c r="F115" s="253"/>
      <c r="G115" s="252"/>
      <c r="H115" s="252"/>
      <c r="I115" s="254"/>
      <c r="J115" s="254"/>
      <c r="K115" s="254"/>
      <c r="L115" s="254"/>
      <c r="M115" s="252"/>
      <c r="N115" s="255"/>
      <c r="O115" s="256"/>
      <c r="P115" s="255"/>
      <c r="Q115" s="257">
        <f>U112/4</f>
        <v>10926.000000000002</v>
      </c>
      <c r="R115" s="262">
        <f>Q115/Q118</f>
        <v>9.9797226941415046E-2</v>
      </c>
      <c r="S115" s="1068">
        <f>Q112/M112</f>
        <v>5213.4285714285716</v>
      </c>
      <c r="T115" s="1069" t="s">
        <v>535</v>
      </c>
      <c r="Y115" s="195">
        <f>Y114/M113</f>
        <v>0.26666666666666666</v>
      </c>
      <c r="Z115" s="247">
        <f>Z114/M113</f>
        <v>0.2</v>
      </c>
    </row>
    <row r="116" spans="1:31" x14ac:dyDescent="0.3">
      <c r="A116" s="251" t="s">
        <v>536</v>
      </c>
      <c r="B116" s="252"/>
      <c r="C116" s="252"/>
      <c r="D116" s="252"/>
      <c r="E116" s="252"/>
      <c r="F116" s="253"/>
      <c r="G116" s="252"/>
      <c r="H116" s="252"/>
      <c r="I116" s="254"/>
      <c r="J116" s="254"/>
      <c r="K116" s="254"/>
      <c r="L116" s="254"/>
      <c r="M116" s="252"/>
      <c r="N116" s="255"/>
      <c r="O116" s="256"/>
      <c r="P116" s="255"/>
      <c r="Q116" s="257">
        <f>V112/4</f>
        <v>36000</v>
      </c>
      <c r="R116" s="262">
        <f>Q116/Q112</f>
        <v>0.32882117608373979</v>
      </c>
      <c r="W116" s="99"/>
      <c r="Y116" s="2768" t="s">
        <v>537</v>
      </c>
      <c r="Z116" s="2769"/>
    </row>
    <row r="117" spans="1:31" x14ac:dyDescent="0.3">
      <c r="A117" s="251" t="s">
        <v>529</v>
      </c>
      <c r="B117" s="252"/>
      <c r="C117" s="252"/>
      <c r="D117" s="252"/>
      <c r="E117" s="252"/>
      <c r="F117" s="253"/>
      <c r="G117" s="252"/>
      <c r="H117" s="252"/>
      <c r="I117" s="254"/>
      <c r="J117" s="254"/>
      <c r="K117" s="254"/>
      <c r="L117" s="254"/>
      <c r="M117" s="252"/>
      <c r="N117" s="255"/>
      <c r="O117" s="256"/>
      <c r="P117" s="255"/>
      <c r="Q117" s="257">
        <f>Q110</f>
        <v>20000</v>
      </c>
      <c r="R117" s="262">
        <f>Q117/Q118</f>
        <v>0.18267843115763321</v>
      </c>
    </row>
    <row r="118" spans="1:31" x14ac:dyDescent="0.3">
      <c r="A118" s="243"/>
      <c r="B118" s="193"/>
      <c r="C118" s="193"/>
      <c r="D118" s="193"/>
      <c r="E118" s="193"/>
      <c r="F118" s="244"/>
      <c r="G118" s="193"/>
      <c r="H118" s="193"/>
      <c r="I118" s="245"/>
      <c r="J118" s="245"/>
      <c r="K118" s="245"/>
      <c r="L118" s="245"/>
      <c r="M118" s="193"/>
      <c r="N118" s="246"/>
      <c r="O118" s="196"/>
      <c r="P118" s="246"/>
      <c r="Q118" s="194">
        <f>SUM(Q114:Q117)</f>
        <v>109482</v>
      </c>
      <c r="R118" s="247">
        <f>SUM(R114:R117)</f>
        <v>1.0000000000000002</v>
      </c>
    </row>
    <row r="119" spans="1:31" x14ac:dyDescent="0.3">
      <c r="A119" s="188"/>
      <c r="N119" s="5"/>
      <c r="O119" s="6"/>
      <c r="P119" s="5"/>
      <c r="Q119" s="5"/>
      <c r="R119" s="6"/>
      <c r="S119" s="701"/>
    </row>
    <row r="120" spans="1:31" x14ac:dyDescent="0.3">
      <c r="A120" s="188"/>
      <c r="N120" s="5"/>
      <c r="O120" s="6"/>
      <c r="P120" s="5"/>
      <c r="Q120" s="5"/>
      <c r="R120" s="6"/>
      <c r="S120" s="701"/>
    </row>
    <row r="121" spans="1:31" ht="18" x14ac:dyDescent="0.35">
      <c r="A121" s="1037" t="s">
        <v>597</v>
      </c>
      <c r="N121" s="5"/>
      <c r="O121" s="6"/>
      <c r="P121" s="5"/>
      <c r="Q121" s="5"/>
      <c r="R121" s="6"/>
      <c r="S121" s="701"/>
    </row>
    <row r="122" spans="1:31" x14ac:dyDescent="0.3">
      <c r="A122" s="243"/>
      <c r="B122" s="193"/>
      <c r="C122" s="193"/>
      <c r="D122" s="193"/>
      <c r="E122" s="193"/>
      <c r="F122" s="244"/>
      <c r="G122" s="193"/>
      <c r="H122" s="193"/>
      <c r="I122" s="245"/>
      <c r="J122" s="245"/>
      <c r="K122" s="245"/>
      <c r="L122" s="245"/>
      <c r="M122" s="193"/>
      <c r="N122" s="246"/>
      <c r="O122" s="196"/>
      <c r="P122" s="246"/>
      <c r="Q122" s="246"/>
      <c r="R122" s="196"/>
      <c r="S122" s="702"/>
    </row>
    <row r="123" spans="1:31" x14ac:dyDescent="0.3">
      <c r="A123" s="2794" t="s">
        <v>480</v>
      </c>
      <c r="B123" s="2717"/>
      <c r="C123" s="2717"/>
      <c r="D123" s="2717"/>
      <c r="E123" s="2717"/>
      <c r="F123" s="2717"/>
      <c r="G123" s="2717"/>
      <c r="H123" s="2717"/>
      <c r="I123" s="2717"/>
      <c r="J123" s="2717"/>
      <c r="K123" s="2717"/>
      <c r="L123" s="2717"/>
      <c r="M123" s="2717"/>
      <c r="N123" s="2717"/>
      <c r="O123" s="2717"/>
      <c r="P123" s="2717"/>
      <c r="Q123" s="2717"/>
      <c r="R123" s="2718"/>
      <c r="S123" s="2795" t="s">
        <v>584</v>
      </c>
      <c r="T123" s="2564"/>
      <c r="U123" s="2564"/>
      <c r="V123" s="2564"/>
      <c r="W123" s="2564"/>
      <c r="X123" s="2564"/>
      <c r="Y123" s="2564"/>
      <c r="Z123" s="2564"/>
      <c r="AA123" s="2564"/>
      <c r="AB123" s="2564"/>
      <c r="AC123" s="2564"/>
      <c r="AD123" s="2564"/>
      <c r="AE123" s="2576"/>
    </row>
    <row r="124" spans="1:31" ht="18" x14ac:dyDescent="0.3">
      <c r="A124" s="2784" t="s">
        <v>482</v>
      </c>
      <c r="B124" s="2784" t="s">
        <v>483</v>
      </c>
      <c r="C124" s="2784" t="s">
        <v>484</v>
      </c>
      <c r="D124" s="2784" t="s">
        <v>555</v>
      </c>
      <c r="E124" s="2784" t="s">
        <v>556</v>
      </c>
      <c r="F124" s="2785" t="s">
        <v>487</v>
      </c>
      <c r="G124" s="2784" t="s">
        <v>557</v>
      </c>
      <c r="H124" s="2784" t="s">
        <v>489</v>
      </c>
      <c r="I124" s="786" t="s">
        <v>490</v>
      </c>
      <c r="J124" s="786"/>
      <c r="K124" s="786"/>
      <c r="L124" s="786"/>
      <c r="M124" s="1549" t="s">
        <v>491</v>
      </c>
      <c r="N124" s="1550" t="s">
        <v>558</v>
      </c>
      <c r="O124" s="1551" t="s">
        <v>493</v>
      </c>
      <c r="P124" s="1550" t="s">
        <v>558</v>
      </c>
      <c r="Q124" s="1550" t="s">
        <v>559</v>
      </c>
      <c r="R124" s="2780" t="s">
        <v>495</v>
      </c>
      <c r="S124" s="1059" t="s">
        <v>496</v>
      </c>
      <c r="T124" s="2567" t="s">
        <v>497</v>
      </c>
      <c r="U124" s="2568"/>
      <c r="V124" s="2568"/>
      <c r="W124" s="2568"/>
      <c r="X124" s="2568"/>
      <c r="Y124" s="2567" t="s">
        <v>498</v>
      </c>
      <c r="Z124" s="2568"/>
      <c r="AA124" s="2567" t="s">
        <v>499</v>
      </c>
      <c r="AB124" s="2568"/>
      <c r="AC124" s="2568"/>
      <c r="AD124" s="2568"/>
      <c r="AE124" s="2571"/>
    </row>
    <row r="125" spans="1:31" ht="18" x14ac:dyDescent="0.3">
      <c r="A125" s="2454"/>
      <c r="B125" s="2454"/>
      <c r="C125" s="2454"/>
      <c r="D125" s="2454"/>
      <c r="E125" s="2454"/>
      <c r="F125" s="2452"/>
      <c r="G125" s="2454"/>
      <c r="H125" s="2454"/>
      <c r="I125" s="782" t="s">
        <v>500</v>
      </c>
      <c r="J125" s="782" t="s">
        <v>501</v>
      </c>
      <c r="K125" s="782" t="s">
        <v>502</v>
      </c>
      <c r="L125" s="782" t="s">
        <v>503</v>
      </c>
      <c r="M125" s="786" t="s">
        <v>504</v>
      </c>
      <c r="N125" s="787" t="s">
        <v>505</v>
      </c>
      <c r="O125" s="788" t="s">
        <v>506</v>
      </c>
      <c r="P125" s="787" t="s">
        <v>507</v>
      </c>
      <c r="Q125" s="787" t="s">
        <v>560</v>
      </c>
      <c r="R125" s="2456"/>
      <c r="S125" s="1545" t="s">
        <v>508</v>
      </c>
      <c r="T125" s="2782"/>
      <c r="U125" s="2781"/>
      <c r="V125" s="2781"/>
      <c r="W125" s="2781"/>
      <c r="X125" s="2781"/>
      <c r="Y125" s="2782"/>
      <c r="Z125" s="2781"/>
      <c r="AA125" s="2782"/>
      <c r="AB125" s="2781"/>
      <c r="AC125" s="2781"/>
      <c r="AD125" s="2781"/>
      <c r="AE125" s="2783"/>
    </row>
    <row r="126" spans="1:31" ht="15.6" x14ac:dyDescent="0.3">
      <c r="A126" s="2792" t="s">
        <v>561</v>
      </c>
      <c r="B126" s="2793"/>
      <c r="C126" s="2793"/>
      <c r="D126" s="2793"/>
      <c r="E126" s="2793"/>
      <c r="F126" s="2793"/>
      <c r="G126" s="2793"/>
      <c r="H126" s="2793"/>
      <c r="I126" s="2793"/>
      <c r="J126" s="2793"/>
      <c r="K126" s="2793"/>
      <c r="L126" s="2793"/>
      <c r="M126" s="2793"/>
      <c r="N126" s="2793"/>
      <c r="O126" s="2793"/>
      <c r="P126" s="2793"/>
      <c r="Q126" s="2793"/>
      <c r="R126" s="2793"/>
      <c r="S126" s="1577"/>
      <c r="T126" s="1553" t="s">
        <v>510</v>
      </c>
      <c r="U126" s="1554" t="s">
        <v>11</v>
      </c>
      <c r="V126" s="1554" t="s">
        <v>511</v>
      </c>
      <c r="W126" s="1554" t="s">
        <v>512</v>
      </c>
      <c r="X126" s="1578" t="s">
        <v>513</v>
      </c>
      <c r="Y126" s="1553" t="s">
        <v>514</v>
      </c>
      <c r="Z126" s="1578" t="s">
        <v>515</v>
      </c>
      <c r="AA126" s="1553" t="s">
        <v>9</v>
      </c>
      <c r="AB126" s="1554" t="s">
        <v>10</v>
      </c>
      <c r="AC126" s="1554" t="s">
        <v>140</v>
      </c>
      <c r="AD126" s="1554" t="s">
        <v>206</v>
      </c>
      <c r="AE126" s="1578" t="s">
        <v>5</v>
      </c>
    </row>
    <row r="127" spans="1:31" x14ac:dyDescent="0.3">
      <c r="A127" s="154"/>
      <c r="B127" s="462"/>
      <c r="C127" s="462"/>
      <c r="D127" s="462"/>
      <c r="E127" s="462"/>
      <c r="F127" s="463"/>
      <c r="G127" s="462"/>
      <c r="H127" s="462"/>
      <c r="I127" s="465"/>
      <c r="J127" s="465"/>
      <c r="K127" s="465"/>
      <c r="L127" s="465"/>
      <c r="M127" s="462"/>
      <c r="N127" s="468"/>
      <c r="O127" s="469"/>
      <c r="P127" s="468"/>
      <c r="Q127" s="468"/>
      <c r="R127" s="532"/>
      <c r="S127" s="166"/>
      <c r="T127" s="188"/>
      <c r="X127" s="286"/>
      <c r="Y127" s="188"/>
      <c r="Z127" s="286"/>
      <c r="AE127" s="286"/>
    </row>
    <row r="128" spans="1:31" x14ac:dyDescent="0.3">
      <c r="A128" s="157" t="s">
        <v>1036</v>
      </c>
      <c r="B128" s="157" t="s">
        <v>215</v>
      </c>
      <c r="C128" s="157" t="s">
        <v>1037</v>
      </c>
      <c r="D128" s="157" t="s">
        <v>166</v>
      </c>
      <c r="E128" s="157" t="s">
        <v>520</v>
      </c>
      <c r="F128" s="158" t="s">
        <v>519</v>
      </c>
      <c r="G128" s="157">
        <v>5</v>
      </c>
      <c r="H128" s="157" t="s">
        <v>63</v>
      </c>
      <c r="I128" s="188"/>
      <c r="K128" s="176">
        <v>5</v>
      </c>
      <c r="L128" s="177"/>
      <c r="M128" s="163">
        <v>1</v>
      </c>
      <c r="N128" s="166">
        <v>4400</v>
      </c>
      <c r="O128" s="173">
        <v>0.3</v>
      </c>
      <c r="P128" s="166">
        <f t="shared" ref="P128" si="35">N128*(1-O128)</f>
        <v>3080</v>
      </c>
      <c r="Q128" s="166">
        <f t="shared" ref="Q128:Q136" si="36">P128*M128*G128</f>
        <v>15400</v>
      </c>
      <c r="R128" s="184">
        <f>Q128/$Q$141</f>
        <v>0.14042894660052524</v>
      </c>
      <c r="S128" s="503">
        <f>Q128</f>
        <v>15400</v>
      </c>
      <c r="T128" s="394">
        <f t="shared" ref="T128:T131" si="37">S128</f>
        <v>15400</v>
      </c>
      <c r="X128" s="286"/>
      <c r="Y128" s="394">
        <f>S128</f>
        <v>15400</v>
      </c>
      <c r="Z128" s="395"/>
      <c r="AA128" s="169">
        <f>S128</f>
        <v>15400</v>
      </c>
      <c r="AE128" s="286"/>
    </row>
    <row r="129" spans="1:31" x14ac:dyDescent="0.3">
      <c r="A129" s="157" t="s">
        <v>1036</v>
      </c>
      <c r="B129" s="157" t="s">
        <v>215</v>
      </c>
      <c r="C129" s="157" t="s">
        <v>1037</v>
      </c>
      <c r="D129" s="157" t="s">
        <v>102</v>
      </c>
      <c r="E129" s="157" t="s">
        <v>518</v>
      </c>
      <c r="F129" s="158" t="s">
        <v>551</v>
      </c>
      <c r="G129" s="157">
        <v>1</v>
      </c>
      <c r="H129" s="157" t="s">
        <v>24</v>
      </c>
      <c r="I129" s="182">
        <v>1</v>
      </c>
      <c r="J129" s="183"/>
      <c r="K129" s="183"/>
      <c r="L129" s="2239"/>
      <c r="M129" s="163">
        <v>1</v>
      </c>
      <c r="N129" s="166">
        <v>13200</v>
      </c>
      <c r="O129" s="173">
        <v>0.3</v>
      </c>
      <c r="P129" s="166">
        <f>N129*(1-O129)</f>
        <v>9240</v>
      </c>
      <c r="Q129" s="166">
        <f t="shared" si="36"/>
        <v>9240</v>
      </c>
      <c r="R129" s="167">
        <f>Q129/$Q$141</f>
        <v>8.4257367960315147E-2</v>
      </c>
      <c r="S129" s="503">
        <f t="shared" ref="S129:S136" si="38">Q129</f>
        <v>9240</v>
      </c>
      <c r="T129" s="394">
        <f t="shared" si="37"/>
        <v>9240</v>
      </c>
      <c r="X129" s="286"/>
      <c r="Y129" s="394"/>
      <c r="Z129" s="395">
        <f>S129</f>
        <v>9240</v>
      </c>
      <c r="AA129" s="169">
        <f>S129</f>
        <v>9240</v>
      </c>
      <c r="AE129" s="286"/>
    </row>
    <row r="130" spans="1:31" x14ac:dyDescent="0.3">
      <c r="A130" s="157" t="s">
        <v>1036</v>
      </c>
      <c r="B130" s="157" t="s">
        <v>216</v>
      </c>
      <c r="C130" s="157" t="s">
        <v>1037</v>
      </c>
      <c r="D130" s="157" t="s">
        <v>102</v>
      </c>
      <c r="E130" s="157" t="s">
        <v>518</v>
      </c>
      <c r="F130" s="158" t="s">
        <v>551</v>
      </c>
      <c r="G130" s="157">
        <v>2</v>
      </c>
      <c r="H130" s="157" t="s">
        <v>63</v>
      </c>
      <c r="I130" s="182">
        <v>2</v>
      </c>
      <c r="J130" s="183"/>
      <c r="K130" s="183"/>
      <c r="L130" s="2239"/>
      <c r="M130" s="163">
        <v>1</v>
      </c>
      <c r="N130" s="166">
        <v>47500</v>
      </c>
      <c r="O130" s="173">
        <v>0.92</v>
      </c>
      <c r="P130" s="166">
        <f t="shared" ref="P130:P136" si="39">N130*(1-O130)</f>
        <v>3799.9999999999982</v>
      </c>
      <c r="Q130" s="166">
        <f t="shared" si="36"/>
        <v>7599.9999999999964</v>
      </c>
      <c r="R130" s="167">
        <f>Q130/$Q$141</f>
        <v>6.9302597023635795E-2</v>
      </c>
      <c r="S130" s="503">
        <f t="shared" si="38"/>
        <v>7599.9999999999964</v>
      </c>
      <c r="T130" s="394">
        <f t="shared" si="37"/>
        <v>7599.9999999999964</v>
      </c>
      <c r="X130" s="286"/>
      <c r="Y130" s="394"/>
      <c r="Z130" s="395">
        <f>S130</f>
        <v>7599.9999999999964</v>
      </c>
      <c r="AB130" s="169">
        <f>S130</f>
        <v>7599.9999999999964</v>
      </c>
      <c r="AE130" s="286"/>
    </row>
    <row r="131" spans="1:31" x14ac:dyDescent="0.3">
      <c r="A131" s="157" t="s">
        <v>1036</v>
      </c>
      <c r="B131" s="157" t="s">
        <v>216</v>
      </c>
      <c r="C131" s="157" t="s">
        <v>1037</v>
      </c>
      <c r="D131" s="157" t="s">
        <v>166</v>
      </c>
      <c r="E131" s="157" t="s">
        <v>520</v>
      </c>
      <c r="F131" s="158" t="s">
        <v>519</v>
      </c>
      <c r="G131" s="157">
        <v>9</v>
      </c>
      <c r="H131" s="157" t="s">
        <v>63</v>
      </c>
      <c r="I131" s="175">
        <v>9</v>
      </c>
      <c r="J131" s="688"/>
      <c r="L131" s="286"/>
      <c r="M131" s="163">
        <v>1</v>
      </c>
      <c r="N131" s="166">
        <v>22000</v>
      </c>
      <c r="O131" s="173">
        <v>0.96</v>
      </c>
      <c r="P131" s="166">
        <f t="shared" si="39"/>
        <v>880.0000000000008</v>
      </c>
      <c r="Q131" s="166">
        <f t="shared" si="36"/>
        <v>7920.0000000000073</v>
      </c>
      <c r="R131" s="184">
        <f t="shared" ref="R131:R136" si="40">Q131/$Q$141</f>
        <v>7.2220601108841626E-2</v>
      </c>
      <c r="S131" s="503">
        <f t="shared" si="38"/>
        <v>7920.0000000000073</v>
      </c>
      <c r="T131" s="394">
        <f t="shared" si="37"/>
        <v>7920.0000000000073</v>
      </c>
      <c r="X131" s="286"/>
      <c r="Y131" s="394">
        <f>S131</f>
        <v>7920.0000000000073</v>
      </c>
      <c r="Z131" s="395"/>
      <c r="AB131" s="169">
        <f t="shared" ref="AB131:AB132" si="41">S131</f>
        <v>7920.0000000000073</v>
      </c>
      <c r="AE131" s="286"/>
    </row>
    <row r="132" spans="1:31" x14ac:dyDescent="0.3">
      <c r="A132" s="157" t="s">
        <v>1036</v>
      </c>
      <c r="B132" s="157" t="s">
        <v>216</v>
      </c>
      <c r="C132" s="157" t="s">
        <v>1037</v>
      </c>
      <c r="D132" s="157" t="s">
        <v>26</v>
      </c>
      <c r="E132" s="157" t="s">
        <v>520</v>
      </c>
      <c r="F132" s="158" t="s">
        <v>645</v>
      </c>
      <c r="G132" s="157">
        <v>1</v>
      </c>
      <c r="H132" s="157" t="s">
        <v>24</v>
      </c>
      <c r="I132" s="182">
        <v>1</v>
      </c>
      <c r="J132" s="183"/>
      <c r="K132" s="183"/>
      <c r="L132" s="2239"/>
      <c r="M132" s="163">
        <v>1</v>
      </c>
      <c r="N132" s="166">
        <v>32000</v>
      </c>
      <c r="O132" s="173">
        <v>0.83</v>
      </c>
      <c r="P132" s="166">
        <f t="shared" si="39"/>
        <v>5440.0000000000009</v>
      </c>
      <c r="Q132" s="166">
        <f t="shared" si="36"/>
        <v>5440.0000000000009</v>
      </c>
      <c r="R132" s="184">
        <f t="shared" si="40"/>
        <v>4.9606069448497235E-2</v>
      </c>
      <c r="S132" s="503">
        <f t="shared" si="38"/>
        <v>5440.0000000000009</v>
      </c>
      <c r="T132" s="394">
        <f>S132</f>
        <v>5440.0000000000009</v>
      </c>
      <c r="U132" s="169"/>
      <c r="X132" s="286"/>
      <c r="Y132" s="394">
        <f>S132</f>
        <v>5440.0000000000009</v>
      </c>
      <c r="Z132" s="286"/>
      <c r="AB132" s="169">
        <f t="shared" si="41"/>
        <v>5440.0000000000009</v>
      </c>
      <c r="AE132" s="286"/>
    </row>
    <row r="133" spans="1:31" x14ac:dyDescent="0.3">
      <c r="A133" s="157" t="s">
        <v>1036</v>
      </c>
      <c r="B133" s="157" t="s">
        <v>210</v>
      </c>
      <c r="C133" s="157" t="s">
        <v>1039</v>
      </c>
      <c r="D133" s="157" t="s">
        <v>219</v>
      </c>
      <c r="E133" s="157" t="s">
        <v>518</v>
      </c>
      <c r="F133" s="158" t="s">
        <v>1047</v>
      </c>
      <c r="G133" s="157">
        <v>4</v>
      </c>
      <c r="H133" s="157" t="s">
        <v>22</v>
      </c>
      <c r="I133" s="175">
        <v>4</v>
      </c>
      <c r="J133" s="688"/>
      <c r="L133" s="286"/>
      <c r="M133" s="163">
        <v>1</v>
      </c>
      <c r="N133" s="166">
        <v>5463</v>
      </c>
      <c r="O133" s="173">
        <v>0.6</v>
      </c>
      <c r="P133" s="166">
        <f t="shared" si="39"/>
        <v>2185.2000000000003</v>
      </c>
      <c r="Q133" s="166">
        <f t="shared" si="36"/>
        <v>8740.8000000000011</v>
      </c>
      <c r="R133" s="167">
        <f>Q133/$Q$141</f>
        <v>7.9705281587394233E-2</v>
      </c>
      <c r="S133" s="503">
        <f t="shared" si="38"/>
        <v>8740.8000000000011</v>
      </c>
      <c r="T133" s="394"/>
      <c r="U133" s="169">
        <f>S133</f>
        <v>8740.8000000000011</v>
      </c>
      <c r="X133" s="286"/>
      <c r="Y133" s="394"/>
      <c r="Z133" s="395">
        <f>S133</f>
        <v>8740.8000000000011</v>
      </c>
      <c r="AC133" s="169"/>
      <c r="AD133" s="169">
        <f>S133</f>
        <v>8740.8000000000011</v>
      </c>
      <c r="AE133" s="286"/>
    </row>
    <row r="134" spans="1:31" x14ac:dyDescent="0.3">
      <c r="A134" s="157" t="s">
        <v>1036</v>
      </c>
      <c r="B134" s="157" t="s">
        <v>216</v>
      </c>
      <c r="C134" s="157" t="s">
        <v>1041</v>
      </c>
      <c r="D134" s="157" t="s">
        <v>68</v>
      </c>
      <c r="E134" s="157" t="s">
        <v>520</v>
      </c>
      <c r="F134" s="158" t="s">
        <v>521</v>
      </c>
      <c r="G134" s="157">
        <v>4</v>
      </c>
      <c r="H134" s="157" t="s">
        <v>24</v>
      </c>
      <c r="I134" s="182">
        <v>4</v>
      </c>
      <c r="J134" s="183"/>
      <c r="K134" s="183"/>
      <c r="L134" s="2239"/>
      <c r="M134" s="163">
        <v>1</v>
      </c>
      <c r="N134" s="166">
        <v>2300</v>
      </c>
      <c r="O134" s="173">
        <v>0.1</v>
      </c>
      <c r="P134" s="166">
        <f t="shared" si="39"/>
        <v>2070</v>
      </c>
      <c r="Q134" s="166">
        <f t="shared" si="36"/>
        <v>8280</v>
      </c>
      <c r="R134" s="184">
        <f t="shared" si="40"/>
        <v>7.5503355704697989E-2</v>
      </c>
      <c r="S134" s="503">
        <f t="shared" si="38"/>
        <v>8280</v>
      </c>
      <c r="T134" s="394"/>
      <c r="V134" s="169">
        <f>S134</f>
        <v>8280</v>
      </c>
      <c r="X134" s="286"/>
      <c r="Y134" s="394">
        <f>S134</f>
        <v>8280</v>
      </c>
      <c r="Z134" s="286"/>
      <c r="AB134" s="169">
        <f>S134</f>
        <v>8280</v>
      </c>
      <c r="AE134" s="286"/>
    </row>
    <row r="135" spans="1:31" x14ac:dyDescent="0.3">
      <c r="A135" s="157" t="s">
        <v>1036</v>
      </c>
      <c r="B135" s="157" t="s">
        <v>130</v>
      </c>
      <c r="C135" s="157" t="s">
        <v>1042</v>
      </c>
      <c r="D135" s="157" t="s">
        <v>223</v>
      </c>
      <c r="E135" s="157" t="s">
        <v>520</v>
      </c>
      <c r="F135" s="158" t="s">
        <v>521</v>
      </c>
      <c r="G135" s="157">
        <v>4</v>
      </c>
      <c r="H135" s="157" t="s">
        <v>24</v>
      </c>
      <c r="I135" s="182">
        <v>4</v>
      </c>
      <c r="J135" s="183"/>
      <c r="K135" s="183"/>
      <c r="L135" s="2239"/>
      <c r="M135" s="163">
        <v>1</v>
      </c>
      <c r="N135" s="166">
        <v>2005</v>
      </c>
      <c r="O135" s="173">
        <v>0.1</v>
      </c>
      <c r="P135" s="166">
        <f t="shared" si="39"/>
        <v>1804.5</v>
      </c>
      <c r="Q135" s="166">
        <f t="shared" si="36"/>
        <v>7218</v>
      </c>
      <c r="R135" s="184">
        <f t="shared" si="40"/>
        <v>6.5819229646921509E-2</v>
      </c>
      <c r="S135" s="503">
        <f t="shared" si="38"/>
        <v>7218</v>
      </c>
      <c r="T135" s="394"/>
      <c r="V135" s="169">
        <f>S135</f>
        <v>7218</v>
      </c>
      <c r="X135" s="286"/>
      <c r="Y135" s="394">
        <f>S135</f>
        <v>7218</v>
      </c>
      <c r="Z135" s="286"/>
      <c r="AC135" s="169">
        <f>S135</f>
        <v>7218</v>
      </c>
      <c r="AE135" s="286"/>
    </row>
    <row r="136" spans="1:31" x14ac:dyDescent="0.3">
      <c r="A136" s="157" t="s">
        <v>1036</v>
      </c>
      <c r="B136" s="157" t="s">
        <v>210</v>
      </c>
      <c r="C136" s="157" t="s">
        <v>1037</v>
      </c>
      <c r="D136" s="157" t="s">
        <v>222</v>
      </c>
      <c r="E136" s="157" t="s">
        <v>520</v>
      </c>
      <c r="F136" s="158" t="s">
        <v>519</v>
      </c>
      <c r="G136" s="157">
        <v>7</v>
      </c>
      <c r="H136" s="157" t="s">
        <v>147</v>
      </c>
      <c r="I136" s="175">
        <v>7</v>
      </c>
      <c r="J136" s="176"/>
      <c r="K136" s="1"/>
      <c r="L136" s="163"/>
      <c r="M136" s="163">
        <v>1</v>
      </c>
      <c r="N136" s="166">
        <v>6009</v>
      </c>
      <c r="O136" s="173">
        <v>0.6</v>
      </c>
      <c r="P136" s="166">
        <f t="shared" si="39"/>
        <v>2403.6</v>
      </c>
      <c r="Q136" s="166">
        <f t="shared" si="36"/>
        <v>16825.2</v>
      </c>
      <c r="R136" s="184">
        <f t="shared" si="40"/>
        <v>0.15342500729501021</v>
      </c>
      <c r="S136" s="503">
        <f t="shared" si="38"/>
        <v>16825.2</v>
      </c>
      <c r="T136" s="394"/>
      <c r="U136" s="169">
        <f>S136</f>
        <v>16825.2</v>
      </c>
      <c r="V136" s="169"/>
      <c r="X136" s="286"/>
      <c r="Y136" s="394">
        <f>S136</f>
        <v>16825.2</v>
      </c>
      <c r="Z136" s="286"/>
      <c r="AD136" s="169">
        <f>S136</f>
        <v>16825.2</v>
      </c>
      <c r="AE136" s="286"/>
    </row>
    <row r="137" spans="1:31" x14ac:dyDescent="0.3">
      <c r="A137" s="172"/>
      <c r="B137" s="157"/>
      <c r="C137" s="190"/>
      <c r="D137" s="190"/>
      <c r="E137" s="190"/>
      <c r="F137" s="191"/>
      <c r="G137" s="190"/>
      <c r="H137" s="190"/>
      <c r="I137" s="245"/>
      <c r="J137" s="245"/>
      <c r="K137" s="245"/>
      <c r="L137" s="287"/>
      <c r="M137" s="190"/>
      <c r="N137" s="194"/>
      <c r="O137" s="195"/>
      <c r="P137" s="194"/>
      <c r="Q137" s="194"/>
      <c r="R137" s="195"/>
      <c r="S137" s="503"/>
      <c r="T137" s="188"/>
      <c r="X137" s="286"/>
      <c r="Y137" s="188"/>
      <c r="Z137" s="286"/>
      <c r="AE137" s="286"/>
    </row>
    <row r="138" spans="1:31" x14ac:dyDescent="0.3">
      <c r="A138" s="108" t="s">
        <v>1036</v>
      </c>
      <c r="B138" s="108" t="s">
        <v>528</v>
      </c>
      <c r="C138" s="289"/>
      <c r="D138" s="252"/>
      <c r="E138" s="252"/>
      <c r="F138" s="253"/>
      <c r="G138" s="252"/>
      <c r="H138" s="252"/>
      <c r="I138" s="254"/>
      <c r="J138" s="254"/>
      <c r="K138" s="254"/>
      <c r="L138" s="254"/>
      <c r="M138" s="252"/>
      <c r="N138" s="255"/>
      <c r="O138" s="256"/>
      <c r="P138" s="290"/>
      <c r="Q138" s="257"/>
      <c r="R138" s="291"/>
      <c r="S138" s="503"/>
      <c r="T138" s="188"/>
      <c r="W138" s="169">
        <f>S138</f>
        <v>0</v>
      </c>
      <c r="X138" s="286"/>
      <c r="Y138" s="188"/>
      <c r="Z138" s="286"/>
      <c r="AE138" s="286"/>
    </row>
    <row r="139" spans="1:31" x14ac:dyDescent="0.3">
      <c r="A139" s="108" t="s">
        <v>1036</v>
      </c>
      <c r="B139" s="108" t="s">
        <v>529</v>
      </c>
      <c r="C139" s="289"/>
      <c r="D139" s="252"/>
      <c r="E139" s="252"/>
      <c r="F139" s="253"/>
      <c r="G139" s="252"/>
      <c r="H139" s="252"/>
      <c r="I139" s="254"/>
      <c r="J139" s="254"/>
      <c r="K139" s="254"/>
      <c r="L139" s="254"/>
      <c r="M139" s="252"/>
      <c r="N139" s="255"/>
      <c r="O139" s="256"/>
      <c r="P139" s="290"/>
      <c r="Q139" s="257">
        <v>23000</v>
      </c>
      <c r="R139" s="291">
        <f>Q139/Q141</f>
        <v>0.20973154362416108</v>
      </c>
      <c r="S139" s="503">
        <f>Q139</f>
        <v>23000</v>
      </c>
      <c r="T139" s="188"/>
      <c r="X139" s="395">
        <f>S139</f>
        <v>23000</v>
      </c>
      <c r="Y139" s="188"/>
      <c r="Z139" s="286"/>
      <c r="AE139" s="286"/>
    </row>
    <row r="140" spans="1:31" x14ac:dyDescent="0.3">
      <c r="I140" s="115">
        <f>I141/M141</f>
        <v>0.86486486486486491</v>
      </c>
      <c r="J140" s="115"/>
      <c r="K140" s="115">
        <f>K141/M141</f>
        <v>0.13513513513513514</v>
      </c>
      <c r="S140" s="166"/>
      <c r="T140" s="188"/>
      <c r="X140" s="286"/>
      <c r="Y140" s="188"/>
      <c r="Z140" s="286"/>
      <c r="AE140" s="287"/>
    </row>
    <row r="141" spans="1:31" x14ac:dyDescent="0.3">
      <c r="A141" s="789" t="s">
        <v>531</v>
      </c>
      <c r="B141" s="790"/>
      <c r="C141" s="790"/>
      <c r="D141" s="790"/>
      <c r="E141" s="790"/>
      <c r="F141" s="791"/>
      <c r="G141" s="790"/>
      <c r="H141" s="790"/>
      <c r="I141" s="792">
        <f>I135+I134+I133+I132+I131+I130+I129+I136</f>
        <v>32</v>
      </c>
      <c r="J141" s="792">
        <f>J133</f>
        <v>0</v>
      </c>
      <c r="K141" s="792">
        <f>K128</f>
        <v>5</v>
      </c>
      <c r="L141" s="792"/>
      <c r="M141" s="790">
        <f>SUM(I141:L141)</f>
        <v>37</v>
      </c>
      <c r="N141" s="793"/>
      <c r="O141" s="794"/>
      <c r="P141" s="793"/>
      <c r="Q141" s="795">
        <f>SUM(Q128:Q140)</f>
        <v>109664</v>
      </c>
      <c r="R141" s="794">
        <f>SUM(R127:R139)</f>
        <v>1</v>
      </c>
      <c r="S141" s="1599">
        <f t="shared" ref="S141:Z141" si="42">SUM(S128:S140)</f>
        <v>109664</v>
      </c>
      <c r="T141" s="1600">
        <f t="shared" si="42"/>
        <v>45600</v>
      </c>
      <c r="U141" s="585">
        <f t="shared" si="42"/>
        <v>25566</v>
      </c>
      <c r="V141" s="585">
        <f t="shared" si="42"/>
        <v>15498</v>
      </c>
      <c r="W141" s="585">
        <f t="shared" si="42"/>
        <v>0</v>
      </c>
      <c r="X141" s="585">
        <f t="shared" si="42"/>
        <v>23000</v>
      </c>
      <c r="Y141" s="1601">
        <f t="shared" si="42"/>
        <v>61083.200000000012</v>
      </c>
      <c r="Z141" s="1602">
        <f t="shared" si="42"/>
        <v>25580.799999999996</v>
      </c>
      <c r="AA141" s="1603">
        <f>SUM(AA127:AA140)</f>
        <v>24640</v>
      </c>
      <c r="AB141" s="1604">
        <f>SUM(AB127:AB140)</f>
        <v>29240.000000000004</v>
      </c>
      <c r="AC141" s="1604">
        <f>SUM(AC127:AC140)</f>
        <v>7218</v>
      </c>
      <c r="AD141" s="1604">
        <f>SUM(AD127:AD140)</f>
        <v>25566</v>
      </c>
      <c r="AE141" s="1605">
        <f>SUM(AE127:AE140)</f>
        <v>0</v>
      </c>
    </row>
    <row r="142" spans="1:31" x14ac:dyDescent="0.3">
      <c r="A142" s="789" t="s">
        <v>532</v>
      </c>
      <c r="B142" s="790"/>
      <c r="C142" s="790"/>
      <c r="D142" s="790"/>
      <c r="E142" s="790"/>
      <c r="F142" s="791"/>
      <c r="G142" s="790"/>
      <c r="H142" s="790"/>
      <c r="I142" s="792">
        <f>I135+I134+I133+I132+I131+I130+I129+I136</f>
        <v>32</v>
      </c>
      <c r="J142" s="792">
        <f>I135+I134+J133+I132+I131+I130+I129+I136</f>
        <v>28</v>
      </c>
      <c r="K142" s="792">
        <f>I135+I134+I132+I130+I129+K128</f>
        <v>17</v>
      </c>
      <c r="L142" s="792"/>
      <c r="M142" s="790">
        <f>SUM(I142:L142)</f>
        <v>77</v>
      </c>
      <c r="N142" s="793"/>
      <c r="O142" s="794"/>
      <c r="P142" s="793"/>
      <c r="Q142" s="793"/>
      <c r="R142" s="794"/>
      <c r="S142" s="1606"/>
      <c r="T142" s="1607">
        <f>T141/S141</f>
        <v>0.41581558214181502</v>
      </c>
      <c r="U142" s="1608">
        <f>U141/S141</f>
        <v>0.23313028888240445</v>
      </c>
      <c r="V142" s="1609">
        <f>V141/S141</f>
        <v>0.14132258535161948</v>
      </c>
      <c r="W142" s="1608">
        <f>W141/S141</f>
        <v>0</v>
      </c>
      <c r="X142" s="1608">
        <f>X141/S141</f>
        <v>0.20973154362416108</v>
      </c>
      <c r="Y142" s="788">
        <f>Y141/S141</f>
        <v>0.5570032098044938</v>
      </c>
      <c r="Z142" s="1610">
        <f>Z141/S141</f>
        <v>0.23326524657134515</v>
      </c>
      <c r="AA142" s="1611"/>
      <c r="AB142" s="1612"/>
      <c r="AC142" s="1612"/>
      <c r="AD142" s="1612"/>
      <c r="AE142" s="1613"/>
    </row>
    <row r="143" spans="1:31" x14ac:dyDescent="0.3">
      <c r="A143" s="251" t="s">
        <v>533</v>
      </c>
      <c r="B143" s="252"/>
      <c r="C143" s="252"/>
      <c r="D143" s="252"/>
      <c r="E143" s="252"/>
      <c r="F143" s="253"/>
      <c r="G143" s="252"/>
      <c r="H143" s="252"/>
      <c r="I143" s="2188">
        <f>I142/$M$142</f>
        <v>0.41558441558441561</v>
      </c>
      <c r="J143" s="2188">
        <f t="shared" ref="J143:L143" si="43">J142/$M$142</f>
        <v>0.36363636363636365</v>
      </c>
      <c r="K143" s="2188">
        <f t="shared" si="43"/>
        <v>0.22077922077922077</v>
      </c>
      <c r="L143" s="2188">
        <f t="shared" si="43"/>
        <v>0</v>
      </c>
      <c r="M143" s="252"/>
      <c r="N143" s="255"/>
      <c r="O143" s="256"/>
      <c r="P143" s="255"/>
      <c r="Q143" s="257">
        <f>T141</f>
        <v>45600</v>
      </c>
      <c r="R143" s="262">
        <f>Q143/Q147</f>
        <v>0.41581558214181502</v>
      </c>
      <c r="X143" s="248"/>
      <c r="Y143" s="357">
        <f>K128+I131+I132+I134+I135+I136</f>
        <v>30</v>
      </c>
      <c r="Z143" s="358">
        <f>I129+I130+I133</f>
        <v>7</v>
      </c>
    </row>
    <row r="144" spans="1:31" x14ac:dyDescent="0.3">
      <c r="A144" s="251" t="s">
        <v>11</v>
      </c>
      <c r="B144" s="252"/>
      <c r="C144" s="252"/>
      <c r="D144" s="252"/>
      <c r="E144" s="252"/>
      <c r="F144" s="253"/>
      <c r="G144" s="252"/>
      <c r="H144" s="252"/>
      <c r="I144" s="254"/>
      <c r="J144" s="254"/>
      <c r="K144" s="254"/>
      <c r="L144" s="254"/>
      <c r="M144" s="252"/>
      <c r="N144" s="255"/>
      <c r="O144" s="256"/>
      <c r="P144" s="255"/>
      <c r="Q144" s="257">
        <f>U141</f>
        <v>25566</v>
      </c>
      <c r="R144" s="262">
        <f>Q144/Q147</f>
        <v>0.23313028888240445</v>
      </c>
      <c r="S144" s="1068">
        <f>Q141/M141</f>
        <v>2963.8918918918921</v>
      </c>
      <c r="T144" s="1069" t="s">
        <v>535</v>
      </c>
      <c r="Y144" s="195">
        <f>Y143/M142</f>
        <v>0.38961038961038963</v>
      </c>
      <c r="Z144" s="247">
        <f>Z143/M142</f>
        <v>9.0909090909090912E-2</v>
      </c>
    </row>
    <row r="145" spans="1:31" x14ac:dyDescent="0.3">
      <c r="A145" s="251" t="s">
        <v>536</v>
      </c>
      <c r="B145" s="252"/>
      <c r="C145" s="252"/>
      <c r="D145" s="252"/>
      <c r="E145" s="252"/>
      <c r="F145" s="253"/>
      <c r="G145" s="252"/>
      <c r="H145" s="252"/>
      <c r="I145" s="254"/>
      <c r="J145" s="254"/>
      <c r="K145" s="254"/>
      <c r="L145" s="254"/>
      <c r="M145" s="252"/>
      <c r="N145" s="255"/>
      <c r="O145" s="256"/>
      <c r="P145" s="255"/>
      <c r="Q145" s="257">
        <f>V141</f>
        <v>15498</v>
      </c>
      <c r="R145" s="262">
        <f>Q145/Q141</f>
        <v>0.14132258535161948</v>
      </c>
      <c r="W145" s="99"/>
      <c r="Y145" s="2768" t="s">
        <v>537</v>
      </c>
      <c r="Z145" s="2769"/>
    </row>
    <row r="146" spans="1:31" x14ac:dyDescent="0.3">
      <c r="A146" s="251" t="s">
        <v>529</v>
      </c>
      <c r="B146" s="252"/>
      <c r="C146" s="252"/>
      <c r="D146" s="252"/>
      <c r="E146" s="252"/>
      <c r="F146" s="253"/>
      <c r="G146" s="252"/>
      <c r="H146" s="252"/>
      <c r="I146" s="254"/>
      <c r="J146" s="254"/>
      <c r="K146" s="254"/>
      <c r="L146" s="254"/>
      <c r="M146" s="252"/>
      <c r="N146" s="255"/>
      <c r="O146" s="256"/>
      <c r="P146" s="255"/>
      <c r="Q146" s="257">
        <f>Q139</f>
        <v>23000</v>
      </c>
      <c r="R146" s="262">
        <f>Q146/Q147</f>
        <v>0.20973154362416108</v>
      </c>
    </row>
    <row r="147" spans="1:31" x14ac:dyDescent="0.3">
      <c r="A147" s="243"/>
      <c r="B147" s="193"/>
      <c r="C147" s="193"/>
      <c r="D147" s="193"/>
      <c r="E147" s="193"/>
      <c r="F147" s="244"/>
      <c r="G147" s="193"/>
      <c r="H147" s="193"/>
      <c r="I147" s="245"/>
      <c r="J147" s="245"/>
      <c r="K147" s="245"/>
      <c r="L147" s="245"/>
      <c r="M147" s="193"/>
      <c r="N147" s="246"/>
      <c r="O147" s="196"/>
      <c r="P147" s="246"/>
      <c r="Q147" s="194">
        <f>SUM(Q143:Q146)</f>
        <v>109664</v>
      </c>
      <c r="R147" s="247">
        <f>SUM(R143:R146)</f>
        <v>1</v>
      </c>
    </row>
    <row r="151" spans="1:31" x14ac:dyDescent="0.3">
      <c r="E151" s="1" t="s">
        <v>562</v>
      </c>
      <c r="F151" s="2" t="s">
        <v>642</v>
      </c>
    </row>
    <row r="152" spans="1:31" x14ac:dyDescent="0.3">
      <c r="E152" s="1" t="s">
        <v>473</v>
      </c>
      <c r="F152" s="2" t="s">
        <v>672</v>
      </c>
    </row>
    <row r="153" spans="1:31" x14ac:dyDescent="0.3">
      <c r="E153" s="1" t="s">
        <v>475</v>
      </c>
      <c r="F153" s="2" t="s">
        <v>1048</v>
      </c>
    </row>
    <row r="154" spans="1:31" x14ac:dyDescent="0.3">
      <c r="E154" s="1" t="s">
        <v>477</v>
      </c>
      <c r="F154" s="2" t="s">
        <v>1049</v>
      </c>
    </row>
    <row r="156" spans="1:31" ht="18" x14ac:dyDescent="0.35">
      <c r="A156" s="1037" t="s">
        <v>1050</v>
      </c>
    </row>
    <row r="157" spans="1:31" x14ac:dyDescent="0.3">
      <c r="A157" s="208"/>
      <c r="B157" s="369"/>
      <c r="C157" s="369"/>
      <c r="D157" s="369"/>
      <c r="E157" s="369"/>
      <c r="F157" s="370"/>
      <c r="G157" s="369"/>
      <c r="H157" s="369"/>
      <c r="I157" s="208"/>
      <c r="J157" s="208"/>
      <c r="K157" s="208"/>
      <c r="L157" s="208"/>
      <c r="M157" s="369"/>
      <c r="N157" s="371"/>
      <c r="O157" s="372"/>
      <c r="P157" s="371"/>
      <c r="Q157" s="371"/>
      <c r="R157" s="372"/>
    </row>
    <row r="158" spans="1:31" ht="18" x14ac:dyDescent="0.3">
      <c r="A158" s="2775" t="s">
        <v>482</v>
      </c>
      <c r="B158" s="2775" t="s">
        <v>483</v>
      </c>
      <c r="C158" s="2775" t="s">
        <v>484</v>
      </c>
      <c r="D158" s="2775" t="s">
        <v>555</v>
      </c>
      <c r="E158" s="2775" t="s">
        <v>556</v>
      </c>
      <c r="F158" s="2776" t="s">
        <v>487</v>
      </c>
      <c r="G158" s="2775" t="s">
        <v>557</v>
      </c>
      <c r="H158" s="2775" t="s">
        <v>489</v>
      </c>
      <c r="I158" s="2777" t="s">
        <v>490</v>
      </c>
      <c r="J158" s="2778"/>
      <c r="K158" s="2778"/>
      <c r="L158" s="2779"/>
      <c r="M158" s="1558" t="s">
        <v>491</v>
      </c>
      <c r="N158" s="1559" t="s">
        <v>558</v>
      </c>
      <c r="O158" s="1560" t="s">
        <v>493</v>
      </c>
      <c r="P158" s="1559" t="s">
        <v>558</v>
      </c>
      <c r="Q158" s="1559" t="s">
        <v>559</v>
      </c>
      <c r="R158" s="2770" t="s">
        <v>495</v>
      </c>
      <c r="S158" s="1073" t="s">
        <v>496</v>
      </c>
      <c r="T158" s="2552" t="s">
        <v>497</v>
      </c>
      <c r="U158" s="2553"/>
      <c r="V158" s="2553"/>
      <c r="W158" s="2553"/>
      <c r="X158" s="2553"/>
      <c r="Y158" s="2552" t="s">
        <v>498</v>
      </c>
      <c r="Z158" s="2553"/>
      <c r="AA158" s="2552" t="s">
        <v>499</v>
      </c>
      <c r="AB158" s="2553"/>
      <c r="AC158" s="2553"/>
      <c r="AD158" s="2553"/>
      <c r="AE158" s="2556"/>
    </row>
    <row r="159" spans="1:31" ht="18" x14ac:dyDescent="0.3">
      <c r="A159" s="2216"/>
      <c r="B159" s="2216"/>
      <c r="C159" s="2216"/>
      <c r="D159" s="2216"/>
      <c r="E159" s="2216"/>
      <c r="F159" s="2214"/>
      <c r="G159" s="2216"/>
      <c r="H159" s="2216"/>
      <c r="I159" s="106" t="s">
        <v>500</v>
      </c>
      <c r="J159" s="106" t="s">
        <v>501</v>
      </c>
      <c r="K159" s="106" t="s">
        <v>502</v>
      </c>
      <c r="L159" s="106" t="s">
        <v>503</v>
      </c>
      <c r="M159" s="379" t="s">
        <v>504</v>
      </c>
      <c r="N159" s="380" t="s">
        <v>505</v>
      </c>
      <c r="O159" s="381" t="s">
        <v>506</v>
      </c>
      <c r="P159" s="380" t="s">
        <v>507</v>
      </c>
      <c r="Q159" s="380" t="s">
        <v>560</v>
      </c>
      <c r="R159" s="2771"/>
      <c r="S159" s="1561" t="s">
        <v>508</v>
      </c>
      <c r="T159" s="2773"/>
      <c r="U159" s="2772"/>
      <c r="V159" s="2772"/>
      <c r="W159" s="2772"/>
      <c r="X159" s="2772"/>
      <c r="Y159" s="2773"/>
      <c r="Z159" s="2772"/>
      <c r="AA159" s="2773"/>
      <c r="AB159" s="2772"/>
      <c r="AC159" s="2772"/>
      <c r="AD159" s="2772"/>
      <c r="AE159" s="2774"/>
    </row>
    <row r="160" spans="1:31" ht="18" x14ac:dyDescent="0.35">
      <c r="A160" s="2763" t="s">
        <v>568</v>
      </c>
      <c r="B160" s="2764"/>
      <c r="C160" s="2764"/>
      <c r="D160" s="2764"/>
      <c r="E160" s="2764"/>
      <c r="F160" s="2764"/>
      <c r="G160" s="2764"/>
      <c r="H160" s="2764"/>
      <c r="I160" s="2764"/>
      <c r="J160" s="2764"/>
      <c r="K160" s="2764"/>
      <c r="L160" s="2764"/>
      <c r="M160" s="2764"/>
      <c r="N160" s="2764"/>
      <c r="O160" s="2764"/>
      <c r="P160" s="2764"/>
      <c r="Q160" s="2764"/>
      <c r="R160" s="2765"/>
      <c r="S160" s="1577"/>
      <c r="T160" s="1553" t="s">
        <v>510</v>
      </c>
      <c r="U160" s="1554" t="s">
        <v>11</v>
      </c>
      <c r="V160" s="1554" t="s">
        <v>511</v>
      </c>
      <c r="W160" s="1554" t="s">
        <v>512</v>
      </c>
      <c r="X160" s="1578" t="s">
        <v>513</v>
      </c>
      <c r="Y160" s="1553" t="s">
        <v>514</v>
      </c>
      <c r="Z160" s="1578" t="s">
        <v>515</v>
      </c>
      <c r="AA160" s="1553" t="s">
        <v>9</v>
      </c>
      <c r="AB160" s="1554" t="s">
        <v>10</v>
      </c>
      <c r="AC160" s="1554" t="s">
        <v>140</v>
      </c>
      <c r="AD160" s="1554" t="s">
        <v>206</v>
      </c>
      <c r="AE160" s="1578" t="s">
        <v>5</v>
      </c>
    </row>
    <row r="161" spans="1:31" x14ac:dyDescent="0.3">
      <c r="A161" s="154"/>
      <c r="B161" s="462"/>
      <c r="C161" s="462"/>
      <c r="D161" s="462"/>
      <c r="E161" s="462"/>
      <c r="F161" s="463"/>
      <c r="G161" s="462"/>
      <c r="H161" s="462"/>
      <c r="I161" s="465"/>
      <c r="J161" s="465"/>
      <c r="K161" s="465"/>
      <c r="L161" s="465"/>
      <c r="M161" s="462"/>
      <c r="N161" s="468"/>
      <c r="O161" s="469"/>
      <c r="P161" s="468"/>
      <c r="Q161" s="468"/>
      <c r="R161" s="469"/>
      <c r="S161" s="166"/>
      <c r="X161" s="286"/>
      <c r="Z161" s="286"/>
      <c r="AE161" s="286"/>
    </row>
    <row r="162" spans="1:31" x14ac:dyDescent="0.3">
      <c r="A162" s="157" t="s">
        <v>1036</v>
      </c>
      <c r="B162" s="157" t="s">
        <v>215</v>
      </c>
      <c r="C162" s="157" t="s">
        <v>1037</v>
      </c>
      <c r="D162" s="157" t="s">
        <v>225</v>
      </c>
      <c r="E162" s="157" t="s">
        <v>520</v>
      </c>
      <c r="F162" s="158" t="s">
        <v>640</v>
      </c>
      <c r="G162" s="157">
        <v>2</v>
      </c>
      <c r="H162" s="157" t="s">
        <v>63</v>
      </c>
      <c r="I162" s="188"/>
      <c r="K162" s="176">
        <v>2</v>
      </c>
      <c r="L162" s="177"/>
      <c r="M162" s="163">
        <v>1</v>
      </c>
      <c r="N162" s="166">
        <v>2450</v>
      </c>
      <c r="O162" s="173">
        <v>0.3</v>
      </c>
      <c r="P162" s="166">
        <f t="shared" ref="P162" si="44">N162*(1-O162)</f>
        <v>1715</v>
      </c>
      <c r="Q162" s="166">
        <f t="shared" ref="Q162:Q166" si="45">P162*M162*G162</f>
        <v>3430</v>
      </c>
      <c r="R162" s="184">
        <f>Q162/$Q$171</f>
        <v>6.8177300735440274E-2</v>
      </c>
      <c r="S162" s="503">
        <f>Q162*3</f>
        <v>10290</v>
      </c>
      <c r="T162" s="394">
        <f t="shared" ref="T162:T165" si="46">S162</f>
        <v>10290</v>
      </c>
      <c r="X162" s="286"/>
      <c r="Y162" s="394">
        <f>S162</f>
        <v>10290</v>
      </c>
      <c r="Z162" s="395"/>
      <c r="AA162" s="169">
        <f>S162</f>
        <v>10290</v>
      </c>
      <c r="AE162" s="286"/>
    </row>
    <row r="163" spans="1:31" x14ac:dyDescent="0.3">
      <c r="A163" s="157" t="s">
        <v>1036</v>
      </c>
      <c r="B163" s="157" t="s">
        <v>215</v>
      </c>
      <c r="C163" s="157" t="s">
        <v>1037</v>
      </c>
      <c r="D163" s="157" t="s">
        <v>102</v>
      </c>
      <c r="E163" s="157" t="s">
        <v>518</v>
      </c>
      <c r="F163" s="158" t="s">
        <v>588</v>
      </c>
      <c r="G163" s="157">
        <v>1</v>
      </c>
      <c r="H163" s="157" t="s">
        <v>24</v>
      </c>
      <c r="I163" s="182">
        <v>1</v>
      </c>
      <c r="J163" s="183"/>
      <c r="K163" s="183"/>
      <c r="L163" s="2239"/>
      <c r="M163" s="163">
        <v>1</v>
      </c>
      <c r="N163" s="166">
        <v>13200</v>
      </c>
      <c r="O163" s="173">
        <v>0.3</v>
      </c>
      <c r="P163" s="166">
        <f>N163*(1-O163)</f>
        <v>9240</v>
      </c>
      <c r="Q163" s="166">
        <f t="shared" si="45"/>
        <v>9240</v>
      </c>
      <c r="R163" s="167">
        <f>Q163/$Q$171</f>
        <v>0.1836612999403697</v>
      </c>
      <c r="S163" s="503">
        <f t="shared" ref="S163:S166" si="47">Q163*3</f>
        <v>27720</v>
      </c>
      <c r="T163" s="394">
        <f t="shared" si="46"/>
        <v>27720</v>
      </c>
      <c r="X163" s="286"/>
      <c r="Y163" s="394"/>
      <c r="Z163" s="395">
        <f>S163</f>
        <v>27720</v>
      </c>
      <c r="AA163" s="169">
        <f>S163</f>
        <v>27720</v>
      </c>
      <c r="AE163" s="286"/>
    </row>
    <row r="164" spans="1:31" x14ac:dyDescent="0.3">
      <c r="A164" s="157" t="s">
        <v>1036</v>
      </c>
      <c r="B164" s="157" t="s">
        <v>216</v>
      </c>
      <c r="C164" s="157" t="s">
        <v>1037</v>
      </c>
      <c r="D164" s="157" t="s">
        <v>102</v>
      </c>
      <c r="E164" s="157" t="s">
        <v>518</v>
      </c>
      <c r="F164" s="158" t="s">
        <v>588</v>
      </c>
      <c r="G164" s="157">
        <v>2</v>
      </c>
      <c r="H164" s="157" t="s">
        <v>63</v>
      </c>
      <c r="I164" s="182">
        <v>2</v>
      </c>
      <c r="J164" s="183"/>
      <c r="K164" s="183"/>
      <c r="L164" s="2239"/>
      <c r="M164" s="163">
        <v>1</v>
      </c>
      <c r="N164" s="166">
        <v>47500</v>
      </c>
      <c r="O164" s="173">
        <v>0.92</v>
      </c>
      <c r="P164" s="166">
        <f t="shared" ref="P164:P166" si="48">N164*(1-O164)</f>
        <v>3799.9999999999982</v>
      </c>
      <c r="Q164" s="166">
        <f t="shared" si="45"/>
        <v>7599.9999999999964</v>
      </c>
      <c r="R164" s="167">
        <f>Q164/$Q$171</f>
        <v>0.15106340687736031</v>
      </c>
      <c r="S164" s="503">
        <f t="shared" si="47"/>
        <v>22799.999999999989</v>
      </c>
      <c r="T164" s="394">
        <f t="shared" si="46"/>
        <v>22799.999999999989</v>
      </c>
      <c r="X164" s="286"/>
      <c r="Y164" s="394"/>
      <c r="Z164" s="395">
        <f>S164</f>
        <v>22799.999999999989</v>
      </c>
      <c r="AB164" s="169">
        <f>S164</f>
        <v>22799.999999999989</v>
      </c>
      <c r="AE164" s="286"/>
    </row>
    <row r="165" spans="1:31" x14ac:dyDescent="0.3">
      <c r="A165" s="157" t="s">
        <v>1036</v>
      </c>
      <c r="B165" s="157" t="s">
        <v>216</v>
      </c>
      <c r="C165" s="157" t="s">
        <v>1037</v>
      </c>
      <c r="D165" s="157" t="s">
        <v>225</v>
      </c>
      <c r="E165" s="157" t="s">
        <v>520</v>
      </c>
      <c r="F165" s="158" t="s">
        <v>640</v>
      </c>
      <c r="G165" s="157">
        <v>5</v>
      </c>
      <c r="H165" s="157" t="s">
        <v>63</v>
      </c>
      <c r="I165" s="175">
        <v>5</v>
      </c>
      <c r="J165" s="688"/>
      <c r="L165" s="286"/>
      <c r="M165" s="163">
        <v>1</v>
      </c>
      <c r="N165" s="166">
        <v>6400</v>
      </c>
      <c r="O165" s="173">
        <v>0.87</v>
      </c>
      <c r="P165" s="166">
        <f t="shared" si="48"/>
        <v>832</v>
      </c>
      <c r="Q165" s="166">
        <f t="shared" si="45"/>
        <v>4160</v>
      </c>
      <c r="R165" s="184">
        <f>Q165/$Q$171</f>
        <v>8.2687338501291993E-2</v>
      </c>
      <c r="S165" s="503">
        <f t="shared" si="47"/>
        <v>12480</v>
      </c>
      <c r="T165" s="394">
        <f t="shared" si="46"/>
        <v>12480</v>
      </c>
      <c r="X165" s="286"/>
      <c r="Y165" s="394">
        <f>S165</f>
        <v>12480</v>
      </c>
      <c r="Z165" s="395"/>
      <c r="AB165" s="169">
        <f>S165</f>
        <v>12480</v>
      </c>
      <c r="AE165" s="286"/>
    </row>
    <row r="166" spans="1:31" x14ac:dyDescent="0.3">
      <c r="A166" s="157" t="s">
        <v>1036</v>
      </c>
      <c r="B166" s="157" t="s">
        <v>216</v>
      </c>
      <c r="C166" s="157" t="s">
        <v>1037</v>
      </c>
      <c r="D166" s="157" t="s">
        <v>26</v>
      </c>
      <c r="E166" s="157" t="s">
        <v>520</v>
      </c>
      <c r="F166" s="158" t="s">
        <v>589</v>
      </c>
      <c r="G166" s="157">
        <v>2</v>
      </c>
      <c r="H166" s="157" t="s">
        <v>24</v>
      </c>
      <c r="I166" s="182">
        <v>2</v>
      </c>
      <c r="J166" s="183"/>
      <c r="K166" s="183"/>
      <c r="L166" s="2239"/>
      <c r="M166" s="163">
        <v>1</v>
      </c>
      <c r="N166" s="166">
        <v>32000</v>
      </c>
      <c r="O166" s="173">
        <v>0.83</v>
      </c>
      <c r="P166" s="166">
        <f t="shared" si="48"/>
        <v>5440.0000000000009</v>
      </c>
      <c r="Q166" s="166">
        <f t="shared" si="45"/>
        <v>10880.000000000002</v>
      </c>
      <c r="R166" s="184">
        <f>Q166/$Q$171</f>
        <v>0.21625919300337909</v>
      </c>
      <c r="S166" s="503">
        <f t="shared" si="47"/>
        <v>32640.000000000007</v>
      </c>
      <c r="T166" s="394">
        <f>S166</f>
        <v>32640.000000000007</v>
      </c>
      <c r="U166" s="169"/>
      <c r="X166" s="286"/>
      <c r="Y166" s="394">
        <f>S166</f>
        <v>32640.000000000007</v>
      </c>
      <c r="Z166" s="286"/>
      <c r="AB166" s="169">
        <f>S166</f>
        <v>32640.000000000007</v>
      </c>
      <c r="AE166" s="286"/>
    </row>
    <row r="167" spans="1:31" x14ac:dyDescent="0.3">
      <c r="A167" s="172"/>
      <c r="B167" s="157"/>
      <c r="C167" s="190"/>
      <c r="D167" s="190"/>
      <c r="E167" s="190"/>
      <c r="F167" s="191"/>
      <c r="G167" s="190"/>
      <c r="H167" s="190"/>
      <c r="I167" s="245"/>
      <c r="J167" s="245"/>
      <c r="K167" s="245"/>
      <c r="L167" s="287"/>
      <c r="M167" s="190"/>
      <c r="N167" s="194"/>
      <c r="O167" s="195"/>
      <c r="P167" s="194"/>
      <c r="Q167" s="194"/>
      <c r="R167" s="195"/>
      <c r="S167" s="503"/>
      <c r="T167" s="188"/>
      <c r="X167" s="286"/>
      <c r="Y167" s="188"/>
      <c r="Z167" s="286"/>
      <c r="AE167" s="286"/>
    </row>
    <row r="168" spans="1:31" x14ac:dyDescent="0.3">
      <c r="A168" s="108" t="s">
        <v>1036</v>
      </c>
      <c r="B168" s="108" t="s">
        <v>528</v>
      </c>
      <c r="C168" s="289"/>
      <c r="D168" s="252"/>
      <c r="E168" s="252"/>
      <c r="F168" s="253"/>
      <c r="G168" s="252"/>
      <c r="H168" s="252"/>
      <c r="I168" s="254"/>
      <c r="J168" s="254"/>
      <c r="K168" s="254"/>
      <c r="L168" s="254"/>
      <c r="M168" s="252"/>
      <c r="N168" s="255"/>
      <c r="O168" s="256"/>
      <c r="P168" s="290"/>
      <c r="Q168" s="257"/>
      <c r="R168" s="291"/>
      <c r="S168" s="503"/>
      <c r="T168" s="188"/>
      <c r="W168" s="169">
        <f>S168</f>
        <v>0</v>
      </c>
      <c r="X168" s="286"/>
      <c r="Y168" s="188"/>
      <c r="Z168" s="286"/>
      <c r="AE168" s="286"/>
    </row>
    <row r="169" spans="1:31" x14ac:dyDescent="0.3">
      <c r="A169" s="108" t="s">
        <v>1036</v>
      </c>
      <c r="B169" s="108" t="s">
        <v>529</v>
      </c>
      <c r="C169" s="289"/>
      <c r="D169" s="252"/>
      <c r="E169" s="252"/>
      <c r="F169" s="253"/>
      <c r="G169" s="252"/>
      <c r="H169" s="252"/>
      <c r="I169" s="254"/>
      <c r="J169" s="254"/>
      <c r="K169" s="254"/>
      <c r="L169" s="254"/>
      <c r="M169" s="252"/>
      <c r="N169" s="255"/>
      <c r="O169" s="256"/>
      <c r="P169" s="290"/>
      <c r="Q169" s="257">
        <v>15000</v>
      </c>
      <c r="R169" s="291">
        <f>Q169/Q171</f>
        <v>0.29815146094215861</v>
      </c>
      <c r="S169" s="503">
        <f>Q169*3</f>
        <v>45000</v>
      </c>
      <c r="T169" s="188"/>
      <c r="X169" s="395">
        <f>S169</f>
        <v>45000</v>
      </c>
      <c r="Y169" s="188"/>
      <c r="Z169" s="286"/>
      <c r="AE169" s="286"/>
    </row>
    <row r="170" spans="1:31" x14ac:dyDescent="0.3">
      <c r="I170" s="115">
        <f>I171/M171</f>
        <v>0.83333333333333337</v>
      </c>
      <c r="J170" s="115"/>
      <c r="K170" s="115">
        <f>K171/M171</f>
        <v>0.16666666666666666</v>
      </c>
      <c r="S170" s="166"/>
      <c r="T170" s="188"/>
      <c r="X170" s="286"/>
      <c r="Y170" s="188"/>
      <c r="Z170" s="286"/>
      <c r="AE170" s="287"/>
    </row>
    <row r="171" spans="1:31" x14ac:dyDescent="0.3">
      <c r="A171" s="1404" t="s">
        <v>531</v>
      </c>
      <c r="B171" s="1405"/>
      <c r="C171" s="1405"/>
      <c r="D171" s="1405"/>
      <c r="E171" s="1405"/>
      <c r="F171" s="1614"/>
      <c r="G171" s="1405"/>
      <c r="H171" s="1405"/>
      <c r="I171" s="1615">
        <f>I166+I165+I164+I163</f>
        <v>10</v>
      </c>
      <c r="J171" s="1615"/>
      <c r="K171" s="1615">
        <f>K162</f>
        <v>2</v>
      </c>
      <c r="L171" s="1615"/>
      <c r="M171" s="1405">
        <f>SUM(I171:L171)</f>
        <v>12</v>
      </c>
      <c r="N171" s="1616"/>
      <c r="O171" s="1617"/>
      <c r="P171" s="1616"/>
      <c r="Q171" s="1618">
        <f>SUM(Q161:Q170)</f>
        <v>50310</v>
      </c>
      <c r="R171" s="1617">
        <f>SUM(R161:R169)</f>
        <v>1</v>
      </c>
      <c r="S171" s="1619">
        <f>SUM(S162:S170)</f>
        <v>150930</v>
      </c>
      <c r="T171" s="1620">
        <f>SUM(T162:T170)</f>
        <v>105930</v>
      </c>
      <c r="U171" s="798">
        <f>SUM(U159:U170)</f>
        <v>0</v>
      </c>
      <c r="V171" s="798">
        <f>SUM(V159:V170)</f>
        <v>0</v>
      </c>
      <c r="W171" s="798">
        <f>SUM(W159:W170)</f>
        <v>0</v>
      </c>
      <c r="X171" s="798">
        <f>SUM(X162:X170)</f>
        <v>45000</v>
      </c>
      <c r="Y171" s="1621">
        <f>SUM(Y161:Y170)</f>
        <v>55410.000000000007</v>
      </c>
      <c r="Z171" s="1622">
        <f>SUM(Z161:Z170)</f>
        <v>50519.999999999985</v>
      </c>
      <c r="AA171" s="1623">
        <f>SUM(AA158:AA170)</f>
        <v>38010</v>
      </c>
      <c r="AB171" s="1624">
        <f>SUM(AB158:AB170)</f>
        <v>67920</v>
      </c>
      <c r="AC171" s="1624">
        <f>SUM(AC158:AC170)</f>
        <v>0</v>
      </c>
      <c r="AD171" s="1624">
        <f>SUM(AD158:AD170)</f>
        <v>0</v>
      </c>
      <c r="AE171" s="1625">
        <f>SUM(AE158:AE170)</f>
        <v>0</v>
      </c>
    </row>
    <row r="172" spans="1:31" x14ac:dyDescent="0.3">
      <c r="A172" s="1404" t="s">
        <v>532</v>
      </c>
      <c r="B172" s="1405"/>
      <c r="C172" s="1405"/>
      <c r="D172" s="1405"/>
      <c r="E172" s="1405"/>
      <c r="F172" s="1614"/>
      <c r="G172" s="1405"/>
      <c r="H172" s="1405"/>
      <c r="I172" s="1615">
        <f>I166+I165+I164+I163</f>
        <v>10</v>
      </c>
      <c r="J172" s="1615">
        <f>I166+I165+I164+I163</f>
        <v>10</v>
      </c>
      <c r="K172" s="1615">
        <f>I166+I164+I163+K162</f>
        <v>7</v>
      </c>
      <c r="L172" s="1615"/>
      <c r="M172" s="1405">
        <f>SUM(I172:L172)</f>
        <v>27</v>
      </c>
      <c r="N172" s="1616"/>
      <c r="O172" s="1617"/>
      <c r="P172" s="1616"/>
      <c r="Q172" s="1616"/>
      <c r="R172" s="1617"/>
      <c r="S172" s="1626"/>
      <c r="T172" s="1627">
        <f>T171/S171</f>
        <v>0.70184853905784139</v>
      </c>
      <c r="U172" s="1628">
        <f>U171/S171</f>
        <v>0</v>
      </c>
      <c r="V172" s="1629">
        <f>V171/S171</f>
        <v>0</v>
      </c>
      <c r="W172" s="1628">
        <f>W171/S171</f>
        <v>0</v>
      </c>
      <c r="X172" s="1628">
        <f>X171/S171</f>
        <v>0.29815146094215861</v>
      </c>
      <c r="Y172" s="381">
        <f>Y171/S171</f>
        <v>0.36712383224011136</v>
      </c>
      <c r="Z172" s="1630">
        <f>Z171/S171</f>
        <v>0.33472470681772998</v>
      </c>
      <c r="AA172" s="1631"/>
      <c r="AB172" s="1632"/>
      <c r="AC172" s="1632"/>
      <c r="AD172" s="1632"/>
      <c r="AE172" s="1633"/>
    </row>
    <row r="173" spans="1:31" x14ac:dyDescent="0.3">
      <c r="A173" s="251" t="s">
        <v>533</v>
      </c>
      <c r="B173" s="252"/>
      <c r="C173" s="252"/>
      <c r="D173" s="252"/>
      <c r="E173" s="252"/>
      <c r="F173" s="253"/>
      <c r="G173" s="252"/>
      <c r="H173" s="252"/>
      <c r="I173" s="2188">
        <f>I172/$M$172</f>
        <v>0.37037037037037035</v>
      </c>
      <c r="J173" s="2188">
        <f t="shared" ref="J173:L173" si="49">J172/$M$172</f>
        <v>0.37037037037037035</v>
      </c>
      <c r="K173" s="2188">
        <f t="shared" si="49"/>
        <v>0.25925925925925924</v>
      </c>
      <c r="L173" s="2188">
        <f t="shared" si="49"/>
        <v>0</v>
      </c>
      <c r="M173" s="252"/>
      <c r="N173" s="255"/>
      <c r="O173" s="256"/>
      <c r="P173" s="255"/>
      <c r="Q173" s="257">
        <f>T171/3</f>
        <v>35310</v>
      </c>
      <c r="R173" s="262">
        <f>Q173/Q177</f>
        <v>0.70184853905784139</v>
      </c>
      <c r="X173" s="248"/>
      <c r="Y173" s="357">
        <f>K162+I165+I166</f>
        <v>9</v>
      </c>
      <c r="Z173" s="358">
        <f>I163+I164</f>
        <v>3</v>
      </c>
      <c r="AA173" s="4"/>
    </row>
    <row r="174" spans="1:31" x14ac:dyDescent="0.3">
      <c r="A174" s="251" t="s">
        <v>11</v>
      </c>
      <c r="B174" s="252"/>
      <c r="C174" s="252"/>
      <c r="D174" s="252"/>
      <c r="E174" s="252"/>
      <c r="F174" s="253"/>
      <c r="G174" s="252"/>
      <c r="H174" s="252"/>
      <c r="I174" s="254"/>
      <c r="J174" s="254"/>
      <c r="K174" s="254"/>
      <c r="L174" s="254"/>
      <c r="M174" s="252"/>
      <c r="N174" s="255"/>
      <c r="O174" s="256"/>
      <c r="P174" s="255"/>
      <c r="Q174" s="257">
        <f>U171/2</f>
        <v>0</v>
      </c>
      <c r="R174" s="262">
        <f>Q174/Q177</f>
        <v>0</v>
      </c>
      <c r="S174" s="1077">
        <f>Q171/M171</f>
        <v>4192.5</v>
      </c>
      <c r="T174" s="1078" t="s">
        <v>535</v>
      </c>
      <c r="Y174" s="195">
        <f>Y173/M171</f>
        <v>0.75</v>
      </c>
      <c r="Z174" s="247">
        <f>Z173/M171</f>
        <v>0.25</v>
      </c>
    </row>
    <row r="175" spans="1:31" x14ac:dyDescent="0.3">
      <c r="A175" s="251" t="s">
        <v>536</v>
      </c>
      <c r="B175" s="252"/>
      <c r="C175" s="252"/>
      <c r="D175" s="252"/>
      <c r="E175" s="252"/>
      <c r="F175" s="253"/>
      <c r="G175" s="252"/>
      <c r="H175" s="252"/>
      <c r="I175" s="254"/>
      <c r="J175" s="254"/>
      <c r="K175" s="254"/>
      <c r="L175" s="254"/>
      <c r="M175" s="252"/>
      <c r="N175" s="255"/>
      <c r="O175" s="256"/>
      <c r="P175" s="255"/>
      <c r="Q175" s="257">
        <f>V171/2</f>
        <v>0</v>
      </c>
      <c r="R175" s="262">
        <f>Q175/Q171</f>
        <v>0</v>
      </c>
      <c r="W175" s="99"/>
      <c r="Y175" s="2768" t="s">
        <v>537</v>
      </c>
      <c r="Z175" s="2769"/>
    </row>
    <row r="176" spans="1:31" x14ac:dyDescent="0.3">
      <c r="A176" s="251" t="s">
        <v>529</v>
      </c>
      <c r="B176" s="252"/>
      <c r="C176" s="252"/>
      <c r="D176" s="252"/>
      <c r="E176" s="252"/>
      <c r="F176" s="253"/>
      <c r="G176" s="252"/>
      <c r="H176" s="252"/>
      <c r="I176" s="254"/>
      <c r="J176" s="254"/>
      <c r="K176" s="254"/>
      <c r="L176" s="254"/>
      <c r="M176" s="252"/>
      <c r="N176" s="255"/>
      <c r="O176" s="256"/>
      <c r="P176" s="255"/>
      <c r="Q176" s="257">
        <f>Q169</f>
        <v>15000</v>
      </c>
      <c r="R176" s="262">
        <f>Q176/Q177</f>
        <v>0.29815146094215861</v>
      </c>
    </row>
    <row r="177" spans="1:31" x14ac:dyDescent="0.3">
      <c r="A177" s="243"/>
      <c r="B177" s="193"/>
      <c r="C177" s="193"/>
      <c r="D177" s="193"/>
      <c r="E177" s="193"/>
      <c r="F177" s="244"/>
      <c r="G177" s="193"/>
      <c r="H177" s="193"/>
      <c r="I177" s="245"/>
      <c r="J177" s="245"/>
      <c r="K177" s="245"/>
      <c r="L177" s="245"/>
      <c r="M177" s="193"/>
      <c r="N177" s="246"/>
      <c r="O177" s="196"/>
      <c r="P177" s="246"/>
      <c r="Q177" s="194">
        <f>SUM(Q173:Q176)</f>
        <v>50310</v>
      </c>
      <c r="R177" s="247">
        <f>SUM(R173:R176)</f>
        <v>1</v>
      </c>
      <c r="S177" s="600"/>
    </row>
    <row r="178" spans="1:31" ht="15.6" x14ac:dyDescent="0.3">
      <c r="N178" s="5"/>
      <c r="O178" s="6"/>
      <c r="P178" s="5"/>
      <c r="Q178" s="5"/>
      <c r="R178" s="708"/>
      <c r="S178" s="701"/>
      <c r="Z178" s="303">
        <f>SUM(AA179:AE179)</f>
        <v>1031771.7000000002</v>
      </c>
      <c r="AA178" s="1553" t="s">
        <v>9</v>
      </c>
      <c r="AB178" s="1554" t="s">
        <v>10</v>
      </c>
      <c r="AC178" s="1554" t="s">
        <v>140</v>
      </c>
      <c r="AD178" s="1554" t="s">
        <v>206</v>
      </c>
      <c r="AE178" s="1578" t="s">
        <v>5</v>
      </c>
    </row>
    <row r="179" spans="1:31" ht="18" x14ac:dyDescent="0.35">
      <c r="A179" s="1568" t="s">
        <v>878</v>
      </c>
      <c r="B179" s="1569"/>
      <c r="C179" s="1569"/>
      <c r="D179" s="1569"/>
      <c r="E179" s="1569"/>
      <c r="F179" s="1570"/>
      <c r="G179" s="1569"/>
      <c r="H179" s="1569"/>
      <c r="I179" s="1571"/>
      <c r="J179" s="1571"/>
      <c r="K179" s="1571"/>
      <c r="L179" s="1571"/>
      <c r="M179" s="1569"/>
      <c r="N179" s="1572"/>
      <c r="O179" s="1573"/>
      <c r="P179" s="1572"/>
      <c r="Q179" s="1572"/>
      <c r="R179" s="763"/>
      <c r="S179" s="1035">
        <f>S171+S141+S112+S79+S50</f>
        <v>1248771.7</v>
      </c>
      <c r="Y179" s="137"/>
      <c r="Z179" t="s">
        <v>601</v>
      </c>
      <c r="AA179" s="1035">
        <f>AA171+AA141+AA112+AA79+AA50</f>
        <v>182770</v>
      </c>
      <c r="AB179" s="1035">
        <f t="shared" ref="AB179:AE179" si="50">AB171+AB141+AB112+AB79+AB50</f>
        <v>362526.00000000012</v>
      </c>
      <c r="AC179" s="1035">
        <f t="shared" si="50"/>
        <v>55458.5</v>
      </c>
      <c r="AD179" s="1035">
        <f t="shared" si="50"/>
        <v>215017.2</v>
      </c>
      <c r="AE179" s="1035">
        <f t="shared" si="50"/>
        <v>216000</v>
      </c>
    </row>
    <row r="180" spans="1:31" x14ac:dyDescent="0.3">
      <c r="R180" s="3" t="s">
        <v>571</v>
      </c>
      <c r="S180" s="99">
        <f>D19-S179</f>
        <v>277.80000000004657</v>
      </c>
    </row>
    <row r="181" spans="1:31" x14ac:dyDescent="0.3">
      <c r="R181" s="98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F76"/>
  <sheetViews>
    <sheetView topLeftCell="A31" workbookViewId="0">
      <selection activeCell="H42" sqref="H42:H45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360</v>
      </c>
      <c r="C2" t="s">
        <v>364</v>
      </c>
      <c r="D2" t="s">
        <v>363</v>
      </c>
      <c r="E2" s="1" t="s">
        <v>215</v>
      </c>
      <c r="F2" s="1" t="s">
        <v>166</v>
      </c>
      <c r="G2" s="2186">
        <v>1</v>
      </c>
      <c r="H2" s="2186">
        <f>VLOOKUP(G2,Pesos!A:B,2,0)</f>
        <v>0.9</v>
      </c>
      <c r="I2" s="1" t="s">
        <v>308</v>
      </c>
      <c r="J2" s="1"/>
      <c r="K2" s="1">
        <v>10</v>
      </c>
      <c r="L2" s="1">
        <v>25</v>
      </c>
      <c r="M2" s="1">
        <v>5</v>
      </c>
      <c r="N2" s="1" t="s">
        <v>63</v>
      </c>
      <c r="O2" s="1"/>
      <c r="P2" s="1"/>
      <c r="Q2" s="1">
        <v>5</v>
      </c>
      <c r="R2" s="1"/>
      <c r="S2" s="1">
        <v>1</v>
      </c>
      <c r="T2" s="5">
        <v>4400</v>
      </c>
      <c r="U2" s="24">
        <v>0.3</v>
      </c>
      <c r="V2" s="25">
        <f>T2*(1-U2)</f>
        <v>3080</v>
      </c>
      <c r="W2" s="25">
        <f t="shared" ref="W2:W11" si="0">V2*S2*M2</f>
        <v>15400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360</v>
      </c>
      <c r="C3" t="s">
        <v>364</v>
      </c>
      <c r="D3" t="s">
        <v>363</v>
      </c>
      <c r="E3" s="1" t="s">
        <v>215</v>
      </c>
      <c r="F3" s="1" t="s">
        <v>102</v>
      </c>
      <c r="G3" s="2186">
        <v>2</v>
      </c>
      <c r="H3" s="2186">
        <f>VLOOKUP(G3,Pesos!A:B,2,0)</f>
        <v>0.8</v>
      </c>
      <c r="J3" s="1" t="s">
        <v>308</v>
      </c>
      <c r="K3" s="1">
        <v>4</v>
      </c>
      <c r="L3" s="1">
        <v>10</v>
      </c>
      <c r="M3" s="1">
        <v>1</v>
      </c>
      <c r="N3" s="1" t="s">
        <v>24</v>
      </c>
      <c r="O3" s="1">
        <v>1</v>
      </c>
      <c r="S3" s="1">
        <v>1</v>
      </c>
      <c r="T3" s="5">
        <v>13200</v>
      </c>
      <c r="U3" s="24">
        <v>0.3</v>
      </c>
      <c r="V3" s="26">
        <f>T3*(1-U3)</f>
        <v>9240</v>
      </c>
      <c r="W3" s="26">
        <f t="shared" si="0"/>
        <v>9240</v>
      </c>
      <c r="X3" s="6"/>
      <c r="Y3" s="22"/>
      <c r="Z3" s="1"/>
    </row>
    <row r="4" spans="1:32" x14ac:dyDescent="0.3">
      <c r="A4" t="s">
        <v>327</v>
      </c>
      <c r="B4" t="s">
        <v>360</v>
      </c>
      <c r="C4" t="s">
        <v>364</v>
      </c>
      <c r="D4" t="s">
        <v>363</v>
      </c>
      <c r="E4" s="1" t="s">
        <v>216</v>
      </c>
      <c r="F4" s="1" t="s">
        <v>102</v>
      </c>
      <c r="G4" s="2186">
        <v>2</v>
      </c>
      <c r="H4" s="2186">
        <f>VLOOKUP(G4,Pesos!A:B,2,0)</f>
        <v>0.8</v>
      </c>
      <c r="J4" s="1" t="s">
        <v>308</v>
      </c>
      <c r="K4" s="1">
        <v>4</v>
      </c>
      <c r="L4" s="1">
        <v>10</v>
      </c>
      <c r="M4" s="1">
        <v>3</v>
      </c>
      <c r="N4" s="1" t="s">
        <v>63</v>
      </c>
      <c r="O4" s="1">
        <v>3</v>
      </c>
      <c r="S4" s="1">
        <v>1</v>
      </c>
      <c r="T4" s="5">
        <v>47500</v>
      </c>
      <c r="U4" s="24">
        <v>0.92</v>
      </c>
      <c r="V4" s="26">
        <f t="shared" ref="V4" si="1">T4*(1-U4)</f>
        <v>3799.9999999999982</v>
      </c>
      <c r="W4" s="26">
        <f t="shared" si="0"/>
        <v>11399.999999999995</v>
      </c>
      <c r="X4" s="6"/>
      <c r="Y4" s="22"/>
      <c r="Z4" s="1"/>
    </row>
    <row r="5" spans="1:32" x14ac:dyDescent="0.3">
      <c r="A5" t="s">
        <v>327</v>
      </c>
      <c r="B5" t="s">
        <v>360</v>
      </c>
      <c r="C5" t="s">
        <v>364</v>
      </c>
      <c r="D5" t="s">
        <v>363</v>
      </c>
      <c r="E5" s="1" t="s">
        <v>216</v>
      </c>
      <c r="F5" s="1" t="s">
        <v>166</v>
      </c>
      <c r="G5" s="2186">
        <v>1</v>
      </c>
      <c r="H5" s="2186">
        <f>VLOOKUP(G5,Pesos!A:B,2,0)</f>
        <v>0.9</v>
      </c>
      <c r="I5" s="1" t="s">
        <v>308</v>
      </c>
      <c r="K5" s="1">
        <v>10</v>
      </c>
      <c r="L5" s="2" t="s">
        <v>83</v>
      </c>
      <c r="M5" s="1">
        <v>15</v>
      </c>
      <c r="N5" s="1" t="s">
        <v>63</v>
      </c>
      <c r="O5" s="1">
        <v>15</v>
      </c>
      <c r="S5" s="1">
        <v>1</v>
      </c>
      <c r="T5" s="5">
        <v>22000</v>
      </c>
      <c r="U5" s="24">
        <v>0.96</v>
      </c>
      <c r="V5" s="26">
        <f t="shared" ref="V5:V11" si="2">T5*(1-U5)</f>
        <v>880.0000000000008</v>
      </c>
      <c r="W5" s="26">
        <f t="shared" si="0"/>
        <v>13200.000000000013</v>
      </c>
      <c r="X5" s="18"/>
      <c r="Y5" s="22"/>
      <c r="Z5" s="1"/>
    </row>
    <row r="6" spans="1:32" x14ac:dyDescent="0.3">
      <c r="A6" t="s">
        <v>327</v>
      </c>
      <c r="B6" t="s">
        <v>360</v>
      </c>
      <c r="C6" t="s">
        <v>364</v>
      </c>
      <c r="D6" t="s">
        <v>363</v>
      </c>
      <c r="E6" s="1" t="s">
        <v>216</v>
      </c>
      <c r="F6" s="1" t="s">
        <v>26</v>
      </c>
      <c r="G6" s="2186">
        <v>4</v>
      </c>
      <c r="H6" s="2186">
        <f>VLOOKUP(G6,Pesos!A:B,2,0)</f>
        <v>0.6</v>
      </c>
      <c r="I6" s="1" t="s">
        <v>308</v>
      </c>
      <c r="K6" s="1">
        <v>2</v>
      </c>
      <c r="L6" s="2" t="s">
        <v>354</v>
      </c>
      <c r="M6" s="1">
        <v>3</v>
      </c>
      <c r="N6" s="1" t="s">
        <v>24</v>
      </c>
      <c r="O6" s="1">
        <v>3</v>
      </c>
      <c r="S6" s="1">
        <v>1</v>
      </c>
      <c r="T6" s="5">
        <v>32000</v>
      </c>
      <c r="U6" s="24">
        <v>0.83</v>
      </c>
      <c r="V6" s="26">
        <f t="shared" si="2"/>
        <v>5440.0000000000009</v>
      </c>
      <c r="W6" s="26">
        <f t="shared" si="0"/>
        <v>16320.000000000004</v>
      </c>
      <c r="X6" s="6"/>
      <c r="Y6" s="22"/>
      <c r="Z6" s="1"/>
    </row>
    <row r="7" spans="1:32" x14ac:dyDescent="0.3">
      <c r="A7" t="s">
        <v>327</v>
      </c>
      <c r="B7" t="s">
        <v>360</v>
      </c>
      <c r="C7" t="s">
        <v>364</v>
      </c>
      <c r="D7" t="s">
        <v>363</v>
      </c>
      <c r="E7" s="1" t="s">
        <v>216</v>
      </c>
      <c r="F7" s="1" t="s">
        <v>217</v>
      </c>
      <c r="G7" s="2186">
        <v>5</v>
      </c>
      <c r="H7" s="2186">
        <f>VLOOKUP(G7,Pesos!A:B,2,0)</f>
        <v>0.5</v>
      </c>
      <c r="I7" s="1" t="s">
        <v>308</v>
      </c>
      <c r="K7" s="1">
        <v>1</v>
      </c>
      <c r="L7" s="2" t="s">
        <v>333</v>
      </c>
      <c r="M7" s="1">
        <v>1</v>
      </c>
      <c r="N7" s="1" t="s">
        <v>24</v>
      </c>
      <c r="O7" s="1">
        <v>1</v>
      </c>
      <c r="S7" s="1">
        <v>1</v>
      </c>
      <c r="T7" s="5">
        <v>29200</v>
      </c>
      <c r="U7" s="24">
        <v>0.87</v>
      </c>
      <c r="V7" s="26">
        <f t="shared" si="2"/>
        <v>3796</v>
      </c>
      <c r="W7" s="26">
        <f t="shared" si="0"/>
        <v>3796</v>
      </c>
      <c r="X7" s="6"/>
      <c r="Y7" s="22"/>
      <c r="Z7" s="1"/>
    </row>
    <row r="8" spans="1:32" x14ac:dyDescent="0.3">
      <c r="A8" t="s">
        <v>327</v>
      </c>
      <c r="B8" t="s">
        <v>360</v>
      </c>
      <c r="C8" t="s">
        <v>364</v>
      </c>
      <c r="D8" t="s">
        <v>363</v>
      </c>
      <c r="E8" s="1" t="s">
        <v>218</v>
      </c>
      <c r="F8" s="1" t="s">
        <v>102</v>
      </c>
      <c r="G8" s="2186">
        <v>2</v>
      </c>
      <c r="H8" s="2186">
        <f>VLOOKUP(G8,Pesos!A:B,2,0)</f>
        <v>0.8</v>
      </c>
      <c r="J8" s="1" t="s">
        <v>308</v>
      </c>
      <c r="K8" s="1">
        <v>4</v>
      </c>
      <c r="L8" s="2" t="s">
        <v>203</v>
      </c>
      <c r="M8" s="1">
        <v>2</v>
      </c>
      <c r="N8" s="1" t="s">
        <v>24</v>
      </c>
      <c r="O8" s="1">
        <v>2</v>
      </c>
      <c r="S8" s="1">
        <v>1</v>
      </c>
      <c r="T8" s="5">
        <v>5000</v>
      </c>
      <c r="U8" s="24">
        <v>0.2</v>
      </c>
      <c r="V8" s="26">
        <f t="shared" si="2"/>
        <v>4000</v>
      </c>
      <c r="W8" s="26">
        <f t="shared" si="0"/>
        <v>8000</v>
      </c>
      <c r="X8" s="6"/>
      <c r="Y8" s="22"/>
      <c r="Z8" s="1"/>
    </row>
    <row r="9" spans="1:32" x14ac:dyDescent="0.3">
      <c r="A9" t="s">
        <v>327</v>
      </c>
      <c r="B9" t="s">
        <v>360</v>
      </c>
      <c r="C9" t="s">
        <v>364</v>
      </c>
      <c r="D9" t="s">
        <v>363</v>
      </c>
      <c r="E9" s="1" t="s">
        <v>210</v>
      </c>
      <c r="F9" s="1" t="s">
        <v>219</v>
      </c>
      <c r="G9" s="2186">
        <v>5</v>
      </c>
      <c r="H9" s="2186">
        <f>VLOOKUP(G9,Pesos!A:B,2,0)</f>
        <v>0.5</v>
      </c>
      <c r="I9" s="1" t="s">
        <v>308</v>
      </c>
      <c r="K9" s="1">
        <v>5</v>
      </c>
      <c r="L9" s="2" t="s">
        <v>330</v>
      </c>
      <c r="M9" s="1">
        <v>5</v>
      </c>
      <c r="N9" s="1" t="s">
        <v>147</v>
      </c>
      <c r="O9" s="1">
        <v>5</v>
      </c>
      <c r="S9" s="1">
        <v>1</v>
      </c>
      <c r="T9" s="5">
        <v>5463</v>
      </c>
      <c r="U9" s="24">
        <v>0.6</v>
      </c>
      <c r="V9" s="26">
        <f t="shared" si="2"/>
        <v>2185.2000000000003</v>
      </c>
      <c r="W9" s="26">
        <f t="shared" si="0"/>
        <v>10926.000000000002</v>
      </c>
      <c r="X9" s="6"/>
      <c r="Y9" s="22"/>
      <c r="Z9" s="1"/>
    </row>
    <row r="10" spans="1:32" x14ac:dyDescent="0.3">
      <c r="A10" t="s">
        <v>327</v>
      </c>
      <c r="B10" t="s">
        <v>360</v>
      </c>
      <c r="C10" t="s">
        <v>364</v>
      </c>
      <c r="D10" t="s">
        <v>363</v>
      </c>
      <c r="E10" s="1" t="s">
        <v>220</v>
      </c>
      <c r="F10" s="1" t="s">
        <v>221</v>
      </c>
      <c r="G10" s="2186">
        <v>3</v>
      </c>
      <c r="H10" s="2186">
        <f>VLOOKUP(G10,Pesos!A:B,2,0)</f>
        <v>0.7</v>
      </c>
      <c r="I10" s="1" t="s">
        <v>308</v>
      </c>
      <c r="K10" s="1">
        <v>1</v>
      </c>
      <c r="L10" s="2" t="s">
        <v>333</v>
      </c>
      <c r="M10" s="1">
        <v>1</v>
      </c>
      <c r="N10" s="1" t="s">
        <v>24</v>
      </c>
      <c r="O10" s="1">
        <v>1</v>
      </c>
      <c r="S10" s="1">
        <v>1</v>
      </c>
      <c r="T10" s="5">
        <v>45000</v>
      </c>
      <c r="U10" s="24">
        <v>0.2</v>
      </c>
      <c r="V10" s="26">
        <f t="shared" si="2"/>
        <v>36000</v>
      </c>
      <c r="W10" s="26">
        <f t="shared" si="0"/>
        <v>36000</v>
      </c>
      <c r="X10" s="6"/>
      <c r="Y10" s="22"/>
      <c r="Z10" s="1"/>
    </row>
    <row r="11" spans="1:32" x14ac:dyDescent="0.3">
      <c r="A11" t="s">
        <v>327</v>
      </c>
      <c r="B11" t="s">
        <v>360</v>
      </c>
      <c r="C11" t="s">
        <v>364</v>
      </c>
      <c r="D11" t="s">
        <v>363</v>
      </c>
      <c r="E11" s="1" t="s">
        <v>210</v>
      </c>
      <c r="F11" s="1" t="s">
        <v>222</v>
      </c>
      <c r="G11" s="2186">
        <v>5</v>
      </c>
      <c r="H11" s="2186">
        <f>VLOOKUP(G11,Pesos!A:B,2,0)</f>
        <v>0.5</v>
      </c>
      <c r="I11" s="1" t="s">
        <v>308</v>
      </c>
      <c r="K11" s="1">
        <v>10</v>
      </c>
      <c r="L11" s="2" t="s">
        <v>51</v>
      </c>
      <c r="M11" s="1">
        <v>15</v>
      </c>
      <c r="N11" s="1" t="s">
        <v>147</v>
      </c>
      <c r="O11" s="1">
        <v>15</v>
      </c>
      <c r="S11" s="1">
        <v>1</v>
      </c>
      <c r="T11" s="5">
        <v>6009</v>
      </c>
      <c r="U11" s="24">
        <v>0.6</v>
      </c>
      <c r="V11" s="26">
        <f t="shared" si="2"/>
        <v>2403.6</v>
      </c>
      <c r="W11" s="26">
        <f t="shared" si="0"/>
        <v>36054</v>
      </c>
      <c r="X11" s="6"/>
      <c r="Y11" s="22"/>
      <c r="Z11" s="1"/>
    </row>
    <row r="12" spans="1:32" x14ac:dyDescent="0.3">
      <c r="G12" s="2186"/>
      <c r="H12" s="2186"/>
      <c r="L12" s="2"/>
      <c r="M12" s="1"/>
      <c r="T12" s="26"/>
      <c r="U12" s="24"/>
      <c r="V12" s="26"/>
      <c r="W12" s="26"/>
      <c r="X12" s="6"/>
      <c r="Y12" s="22"/>
      <c r="Z12" s="1"/>
    </row>
    <row r="13" spans="1:32" x14ac:dyDescent="0.3">
      <c r="A13" t="s">
        <v>340</v>
      </c>
      <c r="B13" t="s">
        <v>360</v>
      </c>
      <c r="C13" t="s">
        <v>364</v>
      </c>
      <c r="D13" t="s">
        <v>363</v>
      </c>
      <c r="E13" s="1" t="s">
        <v>215</v>
      </c>
      <c r="F13" s="1" t="s">
        <v>166</v>
      </c>
      <c r="G13" s="2186">
        <v>2</v>
      </c>
      <c r="H13" s="2186">
        <f>VLOOKUP(G13,Pesos!A:B,2,0)</f>
        <v>0.8</v>
      </c>
      <c r="I13" s="1" t="s">
        <v>308</v>
      </c>
      <c r="K13" s="1">
        <v>10</v>
      </c>
      <c r="L13" s="2" t="s">
        <v>83</v>
      </c>
      <c r="M13" s="1">
        <v>8</v>
      </c>
      <c r="N13" s="1" t="s">
        <v>63</v>
      </c>
      <c r="Q13" s="1">
        <v>8</v>
      </c>
      <c r="S13" s="1">
        <v>1</v>
      </c>
      <c r="T13" s="5">
        <v>4400</v>
      </c>
      <c r="U13" s="24">
        <v>0.3</v>
      </c>
      <c r="V13" s="26">
        <f>T13*(1-U13)</f>
        <v>3080</v>
      </c>
      <c r="W13" s="26">
        <f>V13*S13*M13</f>
        <v>24640</v>
      </c>
      <c r="X13" s="6"/>
      <c r="Y13" s="22"/>
      <c r="Z13" s="1"/>
    </row>
    <row r="14" spans="1:32" x14ac:dyDescent="0.3">
      <c r="A14" t="s">
        <v>340</v>
      </c>
      <c r="B14" t="s">
        <v>360</v>
      </c>
      <c r="C14" t="s">
        <v>364</v>
      </c>
      <c r="D14" t="s">
        <v>363</v>
      </c>
      <c r="E14" s="1" t="s">
        <v>215</v>
      </c>
      <c r="F14" s="1" t="s">
        <v>102</v>
      </c>
      <c r="G14" s="2186">
        <v>1</v>
      </c>
      <c r="H14" s="2186">
        <f>VLOOKUP(G14,Pesos!A:B,2,0)</f>
        <v>0.9</v>
      </c>
      <c r="J14" s="1" t="s">
        <v>308</v>
      </c>
      <c r="K14" s="1">
        <v>4</v>
      </c>
      <c r="L14" s="2" t="s">
        <v>203</v>
      </c>
      <c r="M14" s="1">
        <v>1</v>
      </c>
      <c r="N14" s="1" t="s">
        <v>24</v>
      </c>
      <c r="O14" s="1">
        <v>1</v>
      </c>
      <c r="S14" s="1">
        <v>1</v>
      </c>
      <c r="T14" s="5">
        <v>13200</v>
      </c>
      <c r="U14" s="24">
        <v>0.3</v>
      </c>
      <c r="V14" s="26">
        <f>T14*(1-U14)</f>
        <v>9240</v>
      </c>
      <c r="W14" s="26">
        <f>V14*S14*M14</f>
        <v>9240</v>
      </c>
      <c r="X14" s="6"/>
      <c r="Y14" s="22"/>
      <c r="Z14" s="1"/>
    </row>
    <row r="15" spans="1:32" x14ac:dyDescent="0.3">
      <c r="A15" t="s">
        <v>340</v>
      </c>
      <c r="B15" t="s">
        <v>360</v>
      </c>
      <c r="C15" t="s">
        <v>364</v>
      </c>
      <c r="D15" t="s">
        <v>363</v>
      </c>
      <c r="E15" s="1" t="s">
        <v>216</v>
      </c>
      <c r="F15" s="1" t="s">
        <v>102</v>
      </c>
      <c r="G15" s="2186">
        <v>1</v>
      </c>
      <c r="H15" s="2186">
        <f>VLOOKUP(G15,Pesos!A:B,2,0)</f>
        <v>0.9</v>
      </c>
      <c r="J15" s="1" t="s">
        <v>308</v>
      </c>
      <c r="K15" s="1">
        <v>4</v>
      </c>
      <c r="L15" s="2" t="s">
        <v>203</v>
      </c>
      <c r="M15" s="1">
        <v>3</v>
      </c>
      <c r="N15" s="1" t="s">
        <v>63</v>
      </c>
      <c r="O15" s="1">
        <v>3</v>
      </c>
      <c r="S15" s="1">
        <v>1</v>
      </c>
      <c r="T15" s="5">
        <v>47500</v>
      </c>
      <c r="U15" s="24">
        <v>0.92</v>
      </c>
      <c r="V15" s="26">
        <f t="shared" ref="V15:V17" si="3">T15*(1-U15)</f>
        <v>3799.9999999999982</v>
      </c>
      <c r="W15" s="26">
        <f t="shared" ref="W15:W17" si="4">V15*S15*M15</f>
        <v>11399.999999999995</v>
      </c>
      <c r="X15" s="6"/>
      <c r="Y15" s="22"/>
      <c r="Z15" s="1"/>
    </row>
    <row r="16" spans="1:32" x14ac:dyDescent="0.3">
      <c r="A16" t="s">
        <v>340</v>
      </c>
      <c r="B16" t="s">
        <v>360</v>
      </c>
      <c r="C16" t="s">
        <v>364</v>
      </c>
      <c r="D16" t="s">
        <v>363</v>
      </c>
      <c r="E16" s="1" t="s">
        <v>216</v>
      </c>
      <c r="F16" s="1" t="s">
        <v>166</v>
      </c>
      <c r="G16" s="2186">
        <v>2</v>
      </c>
      <c r="H16" s="2186">
        <f>VLOOKUP(G16,Pesos!A:B,2,0)</f>
        <v>0.8</v>
      </c>
      <c r="I16" s="1" t="s">
        <v>308</v>
      </c>
      <c r="K16" s="1">
        <v>10</v>
      </c>
      <c r="L16" s="2" t="s">
        <v>83</v>
      </c>
      <c r="M16" s="1">
        <v>14</v>
      </c>
      <c r="N16" s="1" t="s">
        <v>63</v>
      </c>
      <c r="O16" s="1">
        <v>14</v>
      </c>
      <c r="S16" s="1">
        <v>1</v>
      </c>
      <c r="T16" s="5">
        <v>22000</v>
      </c>
      <c r="U16" s="24">
        <v>0.96</v>
      </c>
      <c r="V16" s="26">
        <f t="shared" si="3"/>
        <v>880.0000000000008</v>
      </c>
      <c r="W16" s="26">
        <f t="shared" si="4"/>
        <v>12320.000000000011</v>
      </c>
      <c r="X16" s="6"/>
      <c r="Y16" s="22"/>
      <c r="Z16" s="1"/>
    </row>
    <row r="17" spans="1:26" x14ac:dyDescent="0.3">
      <c r="A17" t="s">
        <v>340</v>
      </c>
      <c r="B17" t="s">
        <v>360</v>
      </c>
      <c r="C17" t="s">
        <v>364</v>
      </c>
      <c r="D17" t="s">
        <v>363</v>
      </c>
      <c r="E17" s="1" t="s">
        <v>216</v>
      </c>
      <c r="F17" s="1" t="s">
        <v>26</v>
      </c>
      <c r="G17" s="2186">
        <v>6</v>
      </c>
      <c r="H17" s="2186">
        <f>VLOOKUP(G17,Pesos!A:B,2,0)</f>
        <v>0.4</v>
      </c>
      <c r="I17" s="1" t="s">
        <v>308</v>
      </c>
      <c r="K17" s="1">
        <v>2</v>
      </c>
      <c r="L17" s="2" t="s">
        <v>354</v>
      </c>
      <c r="M17" s="1">
        <v>3</v>
      </c>
      <c r="N17" s="1" t="s">
        <v>24</v>
      </c>
      <c r="O17" s="1">
        <v>3</v>
      </c>
      <c r="S17" s="1">
        <v>1</v>
      </c>
      <c r="T17" s="5">
        <v>32000</v>
      </c>
      <c r="U17" s="24">
        <v>0.83</v>
      </c>
      <c r="V17" s="26">
        <f t="shared" si="3"/>
        <v>5440.0000000000009</v>
      </c>
      <c r="W17" s="26">
        <f t="shared" si="4"/>
        <v>16320.000000000004</v>
      </c>
      <c r="X17" s="6"/>
      <c r="Y17" s="22"/>
      <c r="Z17" s="1"/>
    </row>
    <row r="18" spans="1:26" x14ac:dyDescent="0.3">
      <c r="A18" t="s">
        <v>340</v>
      </c>
      <c r="B18" t="s">
        <v>360</v>
      </c>
      <c r="C18" t="s">
        <v>364</v>
      </c>
      <c r="D18" t="s">
        <v>363</v>
      </c>
      <c r="E18" s="1" t="s">
        <v>210</v>
      </c>
      <c r="F18" s="1" t="s">
        <v>219</v>
      </c>
      <c r="G18" s="2186">
        <v>4</v>
      </c>
      <c r="H18" s="2186">
        <f>VLOOKUP(G18,Pesos!A:B,2,0)</f>
        <v>0.6</v>
      </c>
      <c r="I18" s="1" t="s">
        <v>308</v>
      </c>
      <c r="K18" s="1">
        <v>5</v>
      </c>
      <c r="L18" s="2" t="s">
        <v>330</v>
      </c>
      <c r="M18" s="1">
        <v>5</v>
      </c>
      <c r="N18" s="1" t="s">
        <v>22</v>
      </c>
      <c r="O18" s="1">
        <v>5</v>
      </c>
      <c r="S18" s="1">
        <v>1</v>
      </c>
      <c r="T18" s="5">
        <v>5463</v>
      </c>
      <c r="U18" s="24">
        <v>0.6</v>
      </c>
      <c r="V18" s="26">
        <f t="shared" ref="V18" si="5">T18*(1-U18)</f>
        <v>2185.2000000000003</v>
      </c>
      <c r="W18" s="26">
        <f t="shared" ref="W18" si="6">V18*S18*M18</f>
        <v>10926.000000000002</v>
      </c>
      <c r="X18" s="6"/>
      <c r="Y18" s="22"/>
      <c r="Z18" s="1"/>
    </row>
    <row r="19" spans="1:26" x14ac:dyDescent="0.3">
      <c r="A19" t="s">
        <v>340</v>
      </c>
      <c r="B19" t="s">
        <v>360</v>
      </c>
      <c r="C19" t="s">
        <v>364</v>
      </c>
      <c r="D19" t="s">
        <v>363</v>
      </c>
      <c r="E19" s="1" t="s">
        <v>216</v>
      </c>
      <c r="F19" s="1" t="s">
        <v>68</v>
      </c>
      <c r="G19" s="2186">
        <v>3</v>
      </c>
      <c r="H19" s="2186">
        <f>VLOOKUP(G19,Pesos!A:B,2,0)</f>
        <v>0.7</v>
      </c>
      <c r="I19" s="1" t="s">
        <v>308</v>
      </c>
      <c r="K19" s="1">
        <v>8</v>
      </c>
      <c r="L19" s="1">
        <v>15</v>
      </c>
      <c r="M19" s="1">
        <v>9</v>
      </c>
      <c r="N19" s="1" t="s">
        <v>24</v>
      </c>
      <c r="O19" s="1">
        <v>9</v>
      </c>
      <c r="S19" s="1">
        <v>1</v>
      </c>
      <c r="T19" s="5">
        <v>2300</v>
      </c>
      <c r="U19" s="24">
        <v>0.1</v>
      </c>
      <c r="V19" s="25">
        <f>T19*(1-U19)</f>
        <v>2070</v>
      </c>
      <c r="W19" s="25">
        <f>V19*S19*M19</f>
        <v>18630</v>
      </c>
      <c r="X19" s="18"/>
    </row>
    <row r="20" spans="1:26" x14ac:dyDescent="0.3">
      <c r="A20" t="s">
        <v>340</v>
      </c>
      <c r="B20" t="s">
        <v>360</v>
      </c>
      <c r="C20" t="s">
        <v>364</v>
      </c>
      <c r="D20" t="s">
        <v>363</v>
      </c>
      <c r="E20" s="1" t="s">
        <v>130</v>
      </c>
      <c r="F20" s="1" t="s">
        <v>223</v>
      </c>
      <c r="G20" s="2186">
        <v>5</v>
      </c>
      <c r="H20" s="2186">
        <f>VLOOKUP(G20,Pesos!A:B,2,0)</f>
        <v>0.5</v>
      </c>
      <c r="I20" s="1" t="s">
        <v>308</v>
      </c>
      <c r="K20" s="1">
        <v>8</v>
      </c>
      <c r="L20" s="1">
        <v>15</v>
      </c>
      <c r="M20" s="1">
        <v>9</v>
      </c>
      <c r="N20" s="1" t="s">
        <v>24</v>
      </c>
      <c r="O20" s="1">
        <v>9</v>
      </c>
      <c r="S20" s="1">
        <v>1</v>
      </c>
      <c r="T20" s="5">
        <v>2005</v>
      </c>
      <c r="U20" s="24">
        <v>0.1</v>
      </c>
      <c r="V20" s="26">
        <f>T20*(1-U20)</f>
        <v>1804.5</v>
      </c>
      <c r="W20" s="26">
        <f>V20*S20*M20</f>
        <v>16240.5</v>
      </c>
      <c r="X20" s="6"/>
    </row>
    <row r="21" spans="1:26" x14ac:dyDescent="0.3">
      <c r="A21" t="s">
        <v>340</v>
      </c>
      <c r="B21" t="s">
        <v>360</v>
      </c>
      <c r="C21" t="s">
        <v>364</v>
      </c>
      <c r="D21" t="s">
        <v>363</v>
      </c>
      <c r="E21" s="1" t="s">
        <v>210</v>
      </c>
      <c r="F21" s="1" t="s">
        <v>222</v>
      </c>
      <c r="G21" s="2186">
        <v>4</v>
      </c>
      <c r="H21" s="2186">
        <f>VLOOKUP(G21,Pesos!A:B,2,0)</f>
        <v>0.6</v>
      </c>
      <c r="I21" s="1" t="s">
        <v>308</v>
      </c>
      <c r="K21" s="1">
        <v>10</v>
      </c>
      <c r="L21" s="2" t="s">
        <v>51</v>
      </c>
      <c r="M21" s="1">
        <v>17</v>
      </c>
      <c r="N21" s="1" t="s">
        <v>147</v>
      </c>
      <c r="O21" s="1">
        <v>17</v>
      </c>
      <c r="S21" s="1">
        <v>1</v>
      </c>
      <c r="T21" s="5">
        <v>6009</v>
      </c>
      <c r="U21" s="24">
        <v>0.6</v>
      </c>
      <c r="V21" s="26">
        <f t="shared" ref="V21" si="7">T21*(1-U21)</f>
        <v>2403.6</v>
      </c>
      <c r="W21" s="26">
        <f t="shared" ref="W21:W24" si="8">V21*S21*M21</f>
        <v>40861.199999999997</v>
      </c>
      <c r="X21" s="6"/>
    </row>
    <row r="22" spans="1:26" x14ac:dyDescent="0.3">
      <c r="G22" s="2186"/>
      <c r="H22" s="2186"/>
      <c r="L22" s="2"/>
      <c r="M22" s="1"/>
      <c r="T22" s="26"/>
      <c r="U22" s="24"/>
      <c r="V22" s="26"/>
      <c r="W22" s="26"/>
      <c r="X22" s="6"/>
    </row>
    <row r="23" spans="1:26" x14ac:dyDescent="0.3">
      <c r="A23" t="s">
        <v>342</v>
      </c>
      <c r="B23" t="s">
        <v>360</v>
      </c>
      <c r="C23" t="s">
        <v>364</v>
      </c>
      <c r="D23" t="s">
        <v>363</v>
      </c>
      <c r="E23" s="1" t="s">
        <v>215</v>
      </c>
      <c r="F23" s="1" t="s">
        <v>102</v>
      </c>
      <c r="G23" s="2186">
        <v>2</v>
      </c>
      <c r="H23" s="2186">
        <f>VLOOKUP(G23,Pesos!A:B,2,0)</f>
        <v>0.8</v>
      </c>
      <c r="J23" s="1" t="s">
        <v>308</v>
      </c>
      <c r="K23" s="1">
        <v>3</v>
      </c>
      <c r="L23" s="2" t="s">
        <v>354</v>
      </c>
      <c r="M23" s="1">
        <v>1</v>
      </c>
      <c r="N23" s="1" t="s">
        <v>24</v>
      </c>
      <c r="O23" s="1">
        <v>1</v>
      </c>
      <c r="S23" s="1">
        <v>1</v>
      </c>
      <c r="T23" s="5">
        <v>13200</v>
      </c>
      <c r="U23" s="24">
        <v>0.3</v>
      </c>
      <c r="V23" s="26">
        <f>T23*(1-U23)</f>
        <v>9240</v>
      </c>
      <c r="W23" s="26">
        <f t="shared" si="8"/>
        <v>9240</v>
      </c>
      <c r="X23" s="6"/>
    </row>
    <row r="24" spans="1:26" x14ac:dyDescent="0.3">
      <c r="A24" t="s">
        <v>342</v>
      </c>
      <c r="B24" t="s">
        <v>360</v>
      </c>
      <c r="C24" t="s">
        <v>364</v>
      </c>
      <c r="D24" t="s">
        <v>363</v>
      </c>
      <c r="E24" s="1" t="s">
        <v>216</v>
      </c>
      <c r="F24" s="1" t="s">
        <v>102</v>
      </c>
      <c r="G24" s="2186">
        <v>2</v>
      </c>
      <c r="H24" s="2186">
        <f>VLOOKUP(G24,Pesos!A:B,2,0)</f>
        <v>0.8</v>
      </c>
      <c r="J24" s="1" t="s">
        <v>308</v>
      </c>
      <c r="K24" s="1">
        <v>3</v>
      </c>
      <c r="L24" s="2" t="s">
        <v>354</v>
      </c>
      <c r="M24" s="1">
        <v>2</v>
      </c>
      <c r="N24" s="1" t="s">
        <v>63</v>
      </c>
      <c r="O24" s="1">
        <v>2</v>
      </c>
      <c r="S24" s="1">
        <v>1</v>
      </c>
      <c r="T24" s="5">
        <v>47500</v>
      </c>
      <c r="U24" s="24">
        <v>0.92</v>
      </c>
      <c r="V24" s="26">
        <f>T24*(1-U24)</f>
        <v>3799.9999999999982</v>
      </c>
      <c r="W24" s="26">
        <f t="shared" si="8"/>
        <v>7599.9999999999964</v>
      </c>
      <c r="X24" s="6"/>
    </row>
    <row r="25" spans="1:26" x14ac:dyDescent="0.3">
      <c r="A25" t="s">
        <v>342</v>
      </c>
      <c r="B25" t="s">
        <v>360</v>
      </c>
      <c r="C25" t="s">
        <v>364</v>
      </c>
      <c r="D25" t="s">
        <v>363</v>
      </c>
      <c r="E25" s="1" t="s">
        <v>216</v>
      </c>
      <c r="F25" s="1" t="s">
        <v>166</v>
      </c>
      <c r="G25" s="2186">
        <v>1</v>
      </c>
      <c r="H25" s="2186">
        <f>VLOOKUP(G25,Pesos!A:B,2,0)</f>
        <v>0.9</v>
      </c>
      <c r="I25" s="1" t="s">
        <v>308</v>
      </c>
      <c r="K25" s="1">
        <v>6</v>
      </c>
      <c r="L25" s="1">
        <v>20</v>
      </c>
      <c r="M25" s="1">
        <v>8</v>
      </c>
      <c r="N25" s="1" t="s">
        <v>63</v>
      </c>
      <c r="O25" s="1">
        <v>8</v>
      </c>
      <c r="S25" s="1">
        <v>1</v>
      </c>
      <c r="T25" s="5">
        <v>22000</v>
      </c>
      <c r="U25" s="24">
        <v>0.96</v>
      </c>
      <c r="V25" s="26">
        <f>T25*(1-U25)</f>
        <v>880.0000000000008</v>
      </c>
      <c r="W25" s="26">
        <f t="shared" ref="W25" si="9">V25*S25*M25</f>
        <v>7040.0000000000064</v>
      </c>
      <c r="X25" s="6"/>
    </row>
    <row r="26" spans="1:26" x14ac:dyDescent="0.3">
      <c r="A26" t="s">
        <v>342</v>
      </c>
      <c r="B26" t="s">
        <v>360</v>
      </c>
      <c r="C26" t="s">
        <v>364</v>
      </c>
      <c r="D26" t="s">
        <v>363</v>
      </c>
      <c r="E26" s="1" t="s">
        <v>216</v>
      </c>
      <c r="F26" s="1" t="s">
        <v>26</v>
      </c>
      <c r="G26" s="2186">
        <v>4</v>
      </c>
      <c r="H26" s="2186">
        <f>VLOOKUP(G26,Pesos!A:B,2,0)</f>
        <v>0.6</v>
      </c>
      <c r="I26" s="1" t="s">
        <v>308</v>
      </c>
      <c r="K26" s="1">
        <v>1</v>
      </c>
      <c r="L26" s="1">
        <v>4</v>
      </c>
      <c r="M26" s="1">
        <v>2</v>
      </c>
      <c r="N26" s="1" t="s">
        <v>24</v>
      </c>
      <c r="O26" s="1">
        <v>2</v>
      </c>
      <c r="S26" s="1">
        <v>1</v>
      </c>
      <c r="T26" s="5">
        <v>32000</v>
      </c>
      <c r="U26" s="24">
        <v>0.83</v>
      </c>
      <c r="V26" s="26">
        <f t="shared" ref="V26:V30" si="10">T26*(1-U26)</f>
        <v>5440.0000000000009</v>
      </c>
      <c r="W26" s="26">
        <f t="shared" ref="W26:W30" si="11">V26*S26*M26</f>
        <v>10880.000000000002</v>
      </c>
      <c r="X26" s="6"/>
    </row>
    <row r="27" spans="1:26" x14ac:dyDescent="0.3">
      <c r="A27" t="s">
        <v>342</v>
      </c>
      <c r="B27" t="s">
        <v>360</v>
      </c>
      <c r="C27" t="s">
        <v>364</v>
      </c>
      <c r="D27" t="s">
        <v>363</v>
      </c>
      <c r="E27" s="1" t="s">
        <v>216</v>
      </c>
      <c r="F27" s="1" t="s">
        <v>217</v>
      </c>
      <c r="G27" s="2186">
        <v>6</v>
      </c>
      <c r="H27" s="2186">
        <f>VLOOKUP(G27,Pesos!A:B,2,0)</f>
        <v>0.4</v>
      </c>
      <c r="I27" s="1" t="s">
        <v>308</v>
      </c>
      <c r="K27" s="1">
        <v>1</v>
      </c>
      <c r="L27" s="1">
        <v>2</v>
      </c>
      <c r="M27" s="1">
        <v>1</v>
      </c>
      <c r="N27" s="1" t="s">
        <v>24</v>
      </c>
      <c r="O27" s="1">
        <v>1</v>
      </c>
      <c r="R27" s="18"/>
      <c r="S27" s="1">
        <v>1</v>
      </c>
      <c r="T27" s="5">
        <v>29200</v>
      </c>
      <c r="U27" s="24">
        <v>0.87</v>
      </c>
      <c r="V27" s="26">
        <f t="shared" si="10"/>
        <v>3796</v>
      </c>
      <c r="W27" s="26">
        <f t="shared" si="11"/>
        <v>3796</v>
      </c>
      <c r="X27" s="6"/>
    </row>
    <row r="28" spans="1:26" x14ac:dyDescent="0.3">
      <c r="A28" t="s">
        <v>342</v>
      </c>
      <c r="B28" t="s">
        <v>360</v>
      </c>
      <c r="C28" t="s">
        <v>364</v>
      </c>
      <c r="D28" t="s">
        <v>363</v>
      </c>
      <c r="E28" s="1" t="s">
        <v>218</v>
      </c>
      <c r="F28" s="1" t="s">
        <v>102</v>
      </c>
      <c r="G28" s="2186">
        <v>2</v>
      </c>
      <c r="H28" s="2186">
        <f>VLOOKUP(G28,Pesos!A:B,2,0)</f>
        <v>0.8</v>
      </c>
      <c r="J28" s="1" t="s">
        <v>308</v>
      </c>
      <c r="K28" s="1">
        <v>3</v>
      </c>
      <c r="L28" s="1">
        <v>6</v>
      </c>
      <c r="M28" s="1">
        <v>1</v>
      </c>
      <c r="N28" s="1" t="s">
        <v>24</v>
      </c>
      <c r="O28" s="1">
        <v>1</v>
      </c>
      <c r="R28" s="6"/>
      <c r="S28" s="1">
        <v>1</v>
      </c>
      <c r="T28" s="5">
        <v>5000</v>
      </c>
      <c r="U28" s="24">
        <v>0.2</v>
      </c>
      <c r="V28" s="26">
        <f t="shared" si="10"/>
        <v>4000</v>
      </c>
      <c r="W28" s="26">
        <f t="shared" si="11"/>
        <v>4000</v>
      </c>
      <c r="X28" s="6"/>
    </row>
    <row r="29" spans="1:26" x14ac:dyDescent="0.3">
      <c r="A29" t="s">
        <v>342</v>
      </c>
      <c r="B29" t="s">
        <v>360</v>
      </c>
      <c r="C29" t="s">
        <v>364</v>
      </c>
      <c r="D29" t="s">
        <v>363</v>
      </c>
      <c r="E29" s="1" t="s">
        <v>210</v>
      </c>
      <c r="F29" s="1" t="s">
        <v>224</v>
      </c>
      <c r="G29" s="2186">
        <v>5</v>
      </c>
      <c r="H29" s="2186">
        <f>VLOOKUP(G29,Pesos!A:B,2,0)</f>
        <v>0.5</v>
      </c>
      <c r="I29" s="1" t="s">
        <v>308</v>
      </c>
      <c r="K29" s="1">
        <v>7</v>
      </c>
      <c r="L29" s="1">
        <v>15</v>
      </c>
      <c r="M29" s="1">
        <v>5</v>
      </c>
      <c r="N29" s="1" t="s">
        <v>22</v>
      </c>
      <c r="O29" s="1">
        <v>5</v>
      </c>
      <c r="R29" s="6"/>
      <c r="S29" s="1">
        <v>1</v>
      </c>
      <c r="T29" s="5">
        <v>5463</v>
      </c>
      <c r="U29" s="24">
        <v>0.6</v>
      </c>
      <c r="V29" s="26">
        <f t="shared" si="10"/>
        <v>2185.2000000000003</v>
      </c>
      <c r="W29" s="26">
        <f t="shared" si="11"/>
        <v>10926.000000000002</v>
      </c>
      <c r="X29" s="6"/>
    </row>
    <row r="30" spans="1:26" x14ac:dyDescent="0.3">
      <c r="A30" t="s">
        <v>342</v>
      </c>
      <c r="B30" t="s">
        <v>360</v>
      </c>
      <c r="C30" t="s">
        <v>364</v>
      </c>
      <c r="D30" t="s">
        <v>363</v>
      </c>
      <c r="E30" s="1" t="s">
        <v>220</v>
      </c>
      <c r="F30" s="1" t="s">
        <v>221</v>
      </c>
      <c r="G30" s="2186">
        <v>3</v>
      </c>
      <c r="H30" s="2186">
        <f>VLOOKUP(G30,Pesos!A:B,2,0)</f>
        <v>0.7</v>
      </c>
      <c r="I30" s="1" t="s">
        <v>308</v>
      </c>
      <c r="K30" s="1">
        <v>1</v>
      </c>
      <c r="L30" s="1">
        <v>2</v>
      </c>
      <c r="M30" s="1">
        <v>1</v>
      </c>
      <c r="N30" s="1" t="s">
        <v>24</v>
      </c>
      <c r="O30" s="1">
        <v>1</v>
      </c>
      <c r="R30" s="18"/>
      <c r="S30" s="1">
        <v>1</v>
      </c>
      <c r="T30" s="5">
        <v>45000</v>
      </c>
      <c r="U30" s="24">
        <v>0.2</v>
      </c>
      <c r="V30" s="26">
        <f t="shared" si="10"/>
        <v>36000</v>
      </c>
      <c r="W30" s="26">
        <f t="shared" si="11"/>
        <v>36000</v>
      </c>
      <c r="X30" s="6"/>
    </row>
    <row r="31" spans="1:26" x14ac:dyDescent="0.3">
      <c r="G31" s="2186"/>
      <c r="H31" s="2186"/>
      <c r="M31" s="1"/>
      <c r="R31" s="18"/>
      <c r="T31" s="26"/>
      <c r="U31" s="24"/>
      <c r="V31" s="26"/>
      <c r="W31" s="26"/>
      <c r="X31" s="6"/>
    </row>
    <row r="32" spans="1:26" x14ac:dyDescent="0.3">
      <c r="A32" t="s">
        <v>343</v>
      </c>
      <c r="B32" t="s">
        <v>360</v>
      </c>
      <c r="C32" t="s">
        <v>364</v>
      </c>
      <c r="D32" t="s">
        <v>363</v>
      </c>
      <c r="E32" s="1" t="s">
        <v>215</v>
      </c>
      <c r="F32" s="1" t="s">
        <v>166</v>
      </c>
      <c r="G32" s="2186">
        <v>3</v>
      </c>
      <c r="H32" s="2186">
        <f>VLOOKUP(G32,Pesos!A:B,2,0)</f>
        <v>0.7</v>
      </c>
      <c r="I32" s="1" t="s">
        <v>308</v>
      </c>
      <c r="K32" s="1">
        <v>6</v>
      </c>
      <c r="L32" s="1">
        <v>20</v>
      </c>
      <c r="M32" s="1">
        <v>5</v>
      </c>
      <c r="N32" s="1" t="s">
        <v>63</v>
      </c>
      <c r="Q32" s="1">
        <v>5</v>
      </c>
      <c r="R32" s="18"/>
      <c r="S32" s="1">
        <v>1</v>
      </c>
      <c r="T32" s="5">
        <v>4400</v>
      </c>
      <c r="U32" s="24">
        <v>0.3</v>
      </c>
      <c r="V32" s="26">
        <f t="shared" ref="V32" si="12">T32*(1-U32)</f>
        <v>3080</v>
      </c>
      <c r="W32" s="26">
        <f t="shared" ref="W32" si="13">V32*S32*M32</f>
        <v>15400</v>
      </c>
      <c r="X32" s="6"/>
    </row>
    <row r="33" spans="1:23" x14ac:dyDescent="0.3">
      <c r="A33" t="s">
        <v>343</v>
      </c>
      <c r="B33" t="s">
        <v>360</v>
      </c>
      <c r="C33" t="s">
        <v>364</v>
      </c>
      <c r="D33" t="s">
        <v>363</v>
      </c>
      <c r="E33" s="1" t="s">
        <v>215</v>
      </c>
      <c r="F33" s="1" t="s">
        <v>102</v>
      </c>
      <c r="G33" s="2186">
        <v>1</v>
      </c>
      <c r="H33" s="2186">
        <f>VLOOKUP(G33,Pesos!A:B,2,0)</f>
        <v>0.9</v>
      </c>
      <c r="J33" s="1" t="s">
        <v>308</v>
      </c>
      <c r="K33" s="2" t="s">
        <v>333</v>
      </c>
      <c r="L33" s="1">
        <v>6</v>
      </c>
      <c r="M33" s="1">
        <v>1</v>
      </c>
      <c r="N33" s="1" t="s">
        <v>24</v>
      </c>
      <c r="O33" s="1">
        <v>1</v>
      </c>
      <c r="S33" s="1">
        <v>1</v>
      </c>
      <c r="T33" s="5">
        <v>13200</v>
      </c>
      <c r="U33" s="24">
        <v>0.3</v>
      </c>
      <c r="V33" s="26">
        <f t="shared" ref="V33:V40" si="14">T33*(1-U33)</f>
        <v>9240</v>
      </c>
      <c r="W33" s="26">
        <f t="shared" ref="W33:W40" si="15">V33*S33*M33</f>
        <v>9240</v>
      </c>
    </row>
    <row r="34" spans="1:23" x14ac:dyDescent="0.3">
      <c r="A34" t="s">
        <v>343</v>
      </c>
      <c r="B34" t="s">
        <v>360</v>
      </c>
      <c r="C34" t="s">
        <v>364</v>
      </c>
      <c r="D34" t="s">
        <v>363</v>
      </c>
      <c r="E34" s="1" t="s">
        <v>216</v>
      </c>
      <c r="F34" s="1" t="s">
        <v>102</v>
      </c>
      <c r="G34" s="2186">
        <v>1</v>
      </c>
      <c r="H34" s="2186">
        <f>VLOOKUP(G34,Pesos!A:B,2,0)</f>
        <v>0.9</v>
      </c>
      <c r="J34" s="1" t="s">
        <v>308</v>
      </c>
      <c r="K34" s="2" t="s">
        <v>333</v>
      </c>
      <c r="L34" s="1">
        <v>6</v>
      </c>
      <c r="M34" s="1">
        <v>2</v>
      </c>
      <c r="N34" s="1" t="s">
        <v>63</v>
      </c>
      <c r="O34" s="1">
        <v>2</v>
      </c>
      <c r="S34" s="1">
        <v>1</v>
      </c>
      <c r="T34" s="5">
        <v>47500</v>
      </c>
      <c r="U34" s="24">
        <v>0.92</v>
      </c>
      <c r="V34" s="26">
        <f t="shared" si="14"/>
        <v>3799.9999999999982</v>
      </c>
      <c r="W34" s="26">
        <f t="shared" si="15"/>
        <v>7599.9999999999964</v>
      </c>
    </row>
    <row r="35" spans="1:23" x14ac:dyDescent="0.3">
      <c r="A35" t="s">
        <v>343</v>
      </c>
      <c r="B35" t="s">
        <v>360</v>
      </c>
      <c r="C35" t="s">
        <v>364</v>
      </c>
      <c r="D35" t="s">
        <v>363</v>
      </c>
      <c r="E35" s="1" t="s">
        <v>216</v>
      </c>
      <c r="F35" s="1" t="s">
        <v>166</v>
      </c>
      <c r="G35" s="2186">
        <v>3</v>
      </c>
      <c r="H35" s="2186">
        <f>VLOOKUP(G35,Pesos!A:B,2,0)</f>
        <v>0.7</v>
      </c>
      <c r="I35" s="1" t="s">
        <v>308</v>
      </c>
      <c r="K35" s="2" t="s">
        <v>354</v>
      </c>
      <c r="L35" s="1">
        <v>20</v>
      </c>
      <c r="M35" s="1">
        <v>9</v>
      </c>
      <c r="N35" s="1" t="s">
        <v>63</v>
      </c>
      <c r="O35" s="1">
        <v>9</v>
      </c>
      <c r="S35" s="1">
        <v>1</v>
      </c>
      <c r="T35" s="5">
        <v>22000</v>
      </c>
      <c r="U35" s="24">
        <v>0.96</v>
      </c>
      <c r="V35" s="26">
        <f t="shared" si="14"/>
        <v>880.0000000000008</v>
      </c>
      <c r="W35" s="26">
        <f t="shared" si="15"/>
        <v>7920.0000000000073</v>
      </c>
    </row>
    <row r="36" spans="1:23" x14ac:dyDescent="0.3">
      <c r="A36" t="s">
        <v>343</v>
      </c>
      <c r="B36" t="s">
        <v>360</v>
      </c>
      <c r="C36" t="s">
        <v>364</v>
      </c>
      <c r="D36" t="s">
        <v>363</v>
      </c>
      <c r="E36" s="1" t="s">
        <v>216</v>
      </c>
      <c r="F36" s="1" t="s">
        <v>26</v>
      </c>
      <c r="G36" s="2186">
        <v>5</v>
      </c>
      <c r="H36" s="2186">
        <f>VLOOKUP(G36,Pesos!A:B,2,0)</f>
        <v>0.5</v>
      </c>
      <c r="I36" s="1" t="s">
        <v>308</v>
      </c>
      <c r="K36" s="2" t="s">
        <v>38</v>
      </c>
      <c r="L36" s="1">
        <v>4</v>
      </c>
      <c r="M36" s="1">
        <v>1</v>
      </c>
      <c r="N36" s="1" t="s">
        <v>24</v>
      </c>
      <c r="O36" s="1">
        <v>1</v>
      </c>
      <c r="S36" s="1">
        <v>1</v>
      </c>
      <c r="T36" s="5">
        <v>32000</v>
      </c>
      <c r="U36" s="24">
        <v>0.83</v>
      </c>
      <c r="V36" s="26">
        <f t="shared" si="14"/>
        <v>5440.0000000000009</v>
      </c>
      <c r="W36" s="26">
        <f t="shared" si="15"/>
        <v>5440.0000000000009</v>
      </c>
    </row>
    <row r="37" spans="1:23" x14ac:dyDescent="0.3">
      <c r="A37" t="s">
        <v>343</v>
      </c>
      <c r="B37" t="s">
        <v>360</v>
      </c>
      <c r="C37" t="s">
        <v>364</v>
      </c>
      <c r="D37" t="s">
        <v>363</v>
      </c>
      <c r="E37" s="1" t="s">
        <v>210</v>
      </c>
      <c r="F37" s="1" t="s">
        <v>219</v>
      </c>
      <c r="G37" s="2186">
        <v>4</v>
      </c>
      <c r="H37" s="2186">
        <f>VLOOKUP(G37,Pesos!A:B,2,0)</f>
        <v>0.6</v>
      </c>
      <c r="I37" s="1" t="s">
        <v>308</v>
      </c>
      <c r="K37" s="1">
        <v>7</v>
      </c>
      <c r="L37" s="1">
        <v>15</v>
      </c>
      <c r="M37" s="1">
        <v>4</v>
      </c>
      <c r="N37" s="1" t="s">
        <v>22</v>
      </c>
      <c r="O37" s="1">
        <v>4</v>
      </c>
      <c r="S37" s="1">
        <v>1</v>
      </c>
      <c r="T37" s="5">
        <v>5463</v>
      </c>
      <c r="U37" s="24">
        <v>0.6</v>
      </c>
      <c r="V37" s="26">
        <f t="shared" si="14"/>
        <v>2185.2000000000003</v>
      </c>
      <c r="W37" s="26">
        <f t="shared" si="15"/>
        <v>8740.8000000000011</v>
      </c>
    </row>
    <row r="38" spans="1:23" x14ac:dyDescent="0.3">
      <c r="A38" t="s">
        <v>343</v>
      </c>
      <c r="B38" t="s">
        <v>360</v>
      </c>
      <c r="C38" t="s">
        <v>364</v>
      </c>
      <c r="D38" t="s">
        <v>363</v>
      </c>
      <c r="E38" s="1" t="s">
        <v>216</v>
      </c>
      <c r="F38" s="1" t="s">
        <v>68</v>
      </c>
      <c r="G38" s="2186">
        <v>2</v>
      </c>
      <c r="H38" s="2186">
        <f>VLOOKUP(G38,Pesos!A:B,2,0)</f>
        <v>0.8</v>
      </c>
      <c r="I38" s="1" t="s">
        <v>308</v>
      </c>
      <c r="K38" s="1">
        <v>4</v>
      </c>
      <c r="L38" s="1">
        <v>8</v>
      </c>
      <c r="M38" s="1">
        <v>4</v>
      </c>
      <c r="N38" s="1" t="s">
        <v>24</v>
      </c>
      <c r="O38" s="1">
        <v>4</v>
      </c>
      <c r="S38" s="1">
        <v>1</v>
      </c>
      <c r="T38" s="5">
        <v>2300</v>
      </c>
      <c r="U38" s="24">
        <v>0.1</v>
      </c>
      <c r="V38" s="26">
        <f t="shared" si="14"/>
        <v>2070</v>
      </c>
      <c r="W38" s="26">
        <f t="shared" si="15"/>
        <v>8280</v>
      </c>
    </row>
    <row r="39" spans="1:23" x14ac:dyDescent="0.3">
      <c r="A39" t="s">
        <v>343</v>
      </c>
      <c r="B39" t="s">
        <v>360</v>
      </c>
      <c r="C39" t="s">
        <v>364</v>
      </c>
      <c r="D39" t="s">
        <v>363</v>
      </c>
      <c r="E39" s="1" t="s">
        <v>130</v>
      </c>
      <c r="F39" s="1" t="s">
        <v>223</v>
      </c>
      <c r="G39" s="2186">
        <v>6</v>
      </c>
      <c r="H39" s="2186">
        <f>VLOOKUP(G39,Pesos!A:B,2,0)</f>
        <v>0.4</v>
      </c>
      <c r="I39" s="1" t="s">
        <v>308</v>
      </c>
      <c r="K39" s="1">
        <v>4</v>
      </c>
      <c r="L39" s="1">
        <v>8</v>
      </c>
      <c r="M39" s="1">
        <v>4</v>
      </c>
      <c r="N39" s="1" t="s">
        <v>24</v>
      </c>
      <c r="O39" s="1">
        <v>4</v>
      </c>
      <c r="S39" s="1">
        <v>1</v>
      </c>
      <c r="T39" s="5">
        <v>2005</v>
      </c>
      <c r="U39" s="24">
        <v>0.1</v>
      </c>
      <c r="V39" s="26">
        <f t="shared" si="14"/>
        <v>1804.5</v>
      </c>
      <c r="W39" s="26">
        <f t="shared" si="15"/>
        <v>7218</v>
      </c>
    </row>
    <row r="40" spans="1:23" x14ac:dyDescent="0.3">
      <c r="A40" t="s">
        <v>343</v>
      </c>
      <c r="B40" t="s">
        <v>360</v>
      </c>
      <c r="C40" t="s">
        <v>364</v>
      </c>
      <c r="D40" t="s">
        <v>363</v>
      </c>
      <c r="E40" s="1" t="s">
        <v>210</v>
      </c>
      <c r="F40" s="1" t="s">
        <v>222</v>
      </c>
      <c r="G40" s="2186">
        <v>4</v>
      </c>
      <c r="H40" s="2186">
        <f>VLOOKUP(G40,Pesos!A:B,2,0)</f>
        <v>0.6</v>
      </c>
      <c r="I40" s="1" t="s">
        <v>308</v>
      </c>
      <c r="K40" s="1">
        <v>6</v>
      </c>
      <c r="L40" s="1">
        <v>12</v>
      </c>
      <c r="M40" s="1">
        <v>7</v>
      </c>
      <c r="N40" s="1" t="s">
        <v>147</v>
      </c>
      <c r="O40" s="1">
        <v>7</v>
      </c>
      <c r="S40" s="1">
        <v>1</v>
      </c>
      <c r="T40" s="5">
        <v>6009</v>
      </c>
      <c r="U40" s="24">
        <v>0.6</v>
      </c>
      <c r="V40" s="26">
        <f t="shared" si="14"/>
        <v>2403.6</v>
      </c>
      <c r="W40" s="26">
        <f t="shared" si="15"/>
        <v>16825.2</v>
      </c>
    </row>
    <row r="41" spans="1:23" x14ac:dyDescent="0.3">
      <c r="G41" s="2186"/>
      <c r="H41" s="2186"/>
      <c r="M41" s="1"/>
      <c r="T41" s="26"/>
      <c r="U41" s="24"/>
      <c r="V41" s="26"/>
      <c r="W41" s="26"/>
    </row>
    <row r="42" spans="1:23" x14ac:dyDescent="0.3">
      <c r="A42" t="s">
        <v>326</v>
      </c>
      <c r="B42" t="s">
        <v>360</v>
      </c>
      <c r="C42" t="s">
        <v>364</v>
      </c>
      <c r="D42" t="s">
        <v>363</v>
      </c>
      <c r="E42" s="1" t="s">
        <v>215</v>
      </c>
      <c r="F42" s="1" t="s">
        <v>225</v>
      </c>
      <c r="G42" s="2186">
        <v>2</v>
      </c>
      <c r="H42" s="2186">
        <f>VLOOKUP(G42,Pesos!A:B,2,0)</f>
        <v>0.8</v>
      </c>
      <c r="I42" s="1" t="s">
        <v>308</v>
      </c>
      <c r="K42" s="1">
        <v>2</v>
      </c>
      <c r="L42" s="1">
        <v>6</v>
      </c>
      <c r="M42" s="1">
        <v>2</v>
      </c>
      <c r="N42" s="1" t="s">
        <v>63</v>
      </c>
      <c r="Q42" s="1">
        <v>2</v>
      </c>
      <c r="S42" s="1">
        <v>1</v>
      </c>
      <c r="T42" s="5">
        <v>2450</v>
      </c>
      <c r="U42" s="24">
        <v>0.3</v>
      </c>
      <c r="V42" s="26">
        <f t="shared" ref="V42:V46" si="16">T42*(1-U42)</f>
        <v>1715</v>
      </c>
      <c r="W42" s="26">
        <f t="shared" ref="W42:W46" si="17">V42*S42*M42</f>
        <v>3430</v>
      </c>
    </row>
    <row r="43" spans="1:23" x14ac:dyDescent="0.3">
      <c r="A43" t="s">
        <v>326</v>
      </c>
      <c r="B43" t="s">
        <v>360</v>
      </c>
      <c r="C43" t="s">
        <v>364</v>
      </c>
      <c r="D43" t="s">
        <v>363</v>
      </c>
      <c r="E43" s="1" t="s">
        <v>215</v>
      </c>
      <c r="F43" s="1" t="s">
        <v>102</v>
      </c>
      <c r="G43" s="2186">
        <v>1</v>
      </c>
      <c r="H43" s="2186">
        <f>VLOOKUP(G43,Pesos!A:B,2,0)</f>
        <v>0.9</v>
      </c>
      <c r="J43" s="1" t="s">
        <v>308</v>
      </c>
      <c r="K43" s="1">
        <v>2</v>
      </c>
      <c r="L43" s="1">
        <v>4</v>
      </c>
      <c r="M43" s="1">
        <v>1</v>
      </c>
      <c r="N43" s="1" t="s">
        <v>24</v>
      </c>
      <c r="O43" s="1">
        <v>1</v>
      </c>
      <c r="S43" s="1">
        <v>1</v>
      </c>
      <c r="T43" s="5">
        <v>13200</v>
      </c>
      <c r="U43" s="24">
        <v>0.3</v>
      </c>
      <c r="V43" s="26">
        <f t="shared" si="16"/>
        <v>9240</v>
      </c>
      <c r="W43" s="26">
        <f t="shared" si="17"/>
        <v>9240</v>
      </c>
    </row>
    <row r="44" spans="1:23" x14ac:dyDescent="0.3">
      <c r="A44" t="s">
        <v>326</v>
      </c>
      <c r="B44" t="s">
        <v>360</v>
      </c>
      <c r="C44" t="s">
        <v>364</v>
      </c>
      <c r="D44" t="s">
        <v>363</v>
      </c>
      <c r="E44" s="1" t="s">
        <v>216</v>
      </c>
      <c r="F44" s="1" t="s">
        <v>102</v>
      </c>
      <c r="G44" s="2186">
        <v>1</v>
      </c>
      <c r="H44" s="2186">
        <f>VLOOKUP(G44,Pesos!A:B,2,0)</f>
        <v>0.9</v>
      </c>
      <c r="J44" s="1" t="s">
        <v>308</v>
      </c>
      <c r="K44" s="1">
        <v>2</v>
      </c>
      <c r="L44" s="1">
        <v>4</v>
      </c>
      <c r="M44" s="1">
        <v>2</v>
      </c>
      <c r="N44" s="1" t="s">
        <v>63</v>
      </c>
      <c r="O44" s="1">
        <v>2</v>
      </c>
      <c r="S44" s="1">
        <v>1</v>
      </c>
      <c r="T44" s="5">
        <v>47500</v>
      </c>
      <c r="U44" s="24">
        <v>0.92</v>
      </c>
      <c r="V44" s="26">
        <f t="shared" si="16"/>
        <v>3799.9999999999982</v>
      </c>
      <c r="W44" s="26">
        <f t="shared" si="17"/>
        <v>7599.9999999999964</v>
      </c>
    </row>
    <row r="45" spans="1:23" x14ac:dyDescent="0.3">
      <c r="A45" t="s">
        <v>326</v>
      </c>
      <c r="B45" t="s">
        <v>360</v>
      </c>
      <c r="C45" t="s">
        <v>364</v>
      </c>
      <c r="D45" t="s">
        <v>363</v>
      </c>
      <c r="E45" s="1" t="s">
        <v>216</v>
      </c>
      <c r="F45" s="1" t="s">
        <v>225</v>
      </c>
      <c r="G45" s="2186">
        <v>2</v>
      </c>
      <c r="H45" s="2186">
        <f>VLOOKUP(G45,Pesos!A:B,2,0)</f>
        <v>0.8</v>
      </c>
      <c r="I45" s="1" t="s">
        <v>308</v>
      </c>
      <c r="K45" s="1">
        <v>2</v>
      </c>
      <c r="L45" s="1">
        <v>6</v>
      </c>
      <c r="M45" s="1">
        <v>5</v>
      </c>
      <c r="N45" s="1" t="s">
        <v>63</v>
      </c>
      <c r="O45" s="1">
        <v>5</v>
      </c>
      <c r="S45" s="1">
        <v>1</v>
      </c>
      <c r="T45" s="5">
        <v>6400</v>
      </c>
      <c r="U45" s="24">
        <v>0.87</v>
      </c>
      <c r="V45" s="26">
        <f t="shared" si="16"/>
        <v>832</v>
      </c>
      <c r="W45" s="26">
        <f t="shared" si="17"/>
        <v>4160</v>
      </c>
    </row>
    <row r="46" spans="1:23" x14ac:dyDescent="0.3">
      <c r="A46" t="s">
        <v>326</v>
      </c>
      <c r="B46" t="s">
        <v>360</v>
      </c>
      <c r="C46" t="s">
        <v>364</v>
      </c>
      <c r="D46" t="s">
        <v>363</v>
      </c>
      <c r="E46" s="1" t="s">
        <v>216</v>
      </c>
      <c r="F46" s="1" t="s">
        <v>26</v>
      </c>
      <c r="G46" s="2186"/>
      <c r="H46" s="2186"/>
      <c r="I46" s="1" t="s">
        <v>308</v>
      </c>
      <c r="K46" s="1">
        <v>1</v>
      </c>
      <c r="L46" s="1">
        <v>2</v>
      </c>
      <c r="M46" s="1">
        <v>2</v>
      </c>
      <c r="N46" s="1" t="s">
        <v>24</v>
      </c>
      <c r="O46" s="1">
        <v>2</v>
      </c>
      <c r="S46" s="1">
        <v>1</v>
      </c>
      <c r="T46" s="5">
        <v>32000</v>
      </c>
      <c r="U46" s="24">
        <v>0.83</v>
      </c>
      <c r="V46" s="26">
        <f t="shared" si="16"/>
        <v>5440.0000000000009</v>
      </c>
      <c r="W46" s="26">
        <f t="shared" si="17"/>
        <v>10880.000000000002</v>
      </c>
    </row>
    <row r="47" spans="1:23" x14ac:dyDescent="0.3">
      <c r="M47" s="1"/>
      <c r="T47" s="26"/>
      <c r="U47" s="24"/>
      <c r="V47" s="26"/>
      <c r="W47" s="26"/>
    </row>
    <row r="48" spans="1:23" x14ac:dyDescent="0.3">
      <c r="M48" s="1"/>
      <c r="T48" s="26"/>
      <c r="U48" s="24"/>
      <c r="V48" s="26"/>
      <c r="W48" s="26"/>
    </row>
    <row r="49" spans="1:23" x14ac:dyDescent="0.3">
      <c r="M49" s="1"/>
      <c r="T49" s="28"/>
      <c r="U49" s="29"/>
      <c r="V49" s="26"/>
      <c r="W49" s="26"/>
    </row>
    <row r="50" spans="1:23" x14ac:dyDescent="0.3">
      <c r="M50" s="1"/>
      <c r="T50" s="28"/>
      <c r="U50" s="29"/>
      <c r="V50" s="26"/>
      <c r="W50" s="26"/>
    </row>
    <row r="51" spans="1:23" x14ac:dyDescent="0.3">
      <c r="M51" s="1"/>
      <c r="T51" s="28"/>
      <c r="U51" s="29"/>
      <c r="V51" s="26"/>
      <c r="W51" s="26"/>
    </row>
    <row r="52" spans="1:23" x14ac:dyDescent="0.3">
      <c r="M52" s="1"/>
      <c r="T52" s="28"/>
      <c r="U52" s="29"/>
      <c r="V52" s="26"/>
      <c r="W52" s="26"/>
    </row>
    <row r="53" spans="1:23" x14ac:dyDescent="0.3">
      <c r="A53" s="47"/>
      <c r="D53" s="43" t="s">
        <v>1158</v>
      </c>
      <c r="E53" s="43" t="s">
        <v>1159</v>
      </c>
      <c r="F53" s="43" t="s">
        <v>1160</v>
      </c>
      <c r="G53" s="43"/>
    </row>
    <row r="54" spans="1:23" x14ac:dyDescent="0.3">
      <c r="A54" s="47" t="s">
        <v>1161</v>
      </c>
      <c r="B54" s="2174"/>
      <c r="C54" s="2174"/>
      <c r="D54" s="2181">
        <f>E54*(1-10%)</f>
        <v>3235.3411764705884</v>
      </c>
      <c r="E54" s="427">
        <f>'MACEIO '!S53</f>
        <v>3594.8235294117649</v>
      </c>
      <c r="F54" s="427">
        <f>E54*(1+15%)</f>
        <v>4134.0470588235294</v>
      </c>
      <c r="G54" s="427"/>
    </row>
    <row r="55" spans="1:23" x14ac:dyDescent="0.3">
      <c r="A55" s="47" t="s">
        <v>1162</v>
      </c>
      <c r="B55" s="2174"/>
      <c r="C55" s="2174"/>
      <c r="D55" s="2181">
        <f>E55*(1-25%)</f>
        <v>1995.4097826086957</v>
      </c>
      <c r="E55" s="427">
        <f>'MACEIO '!S82</f>
        <v>2660.5463768115942</v>
      </c>
      <c r="F55" s="427">
        <f>E55*(1+5%)</f>
        <v>2793.5736956521741</v>
      </c>
      <c r="G55" s="427"/>
    </row>
    <row r="56" spans="1:23" x14ac:dyDescent="0.3">
      <c r="A56" s="47" t="s">
        <v>550</v>
      </c>
      <c r="B56" s="2174"/>
      <c r="C56" s="2174"/>
      <c r="D56" s="2181">
        <f>E56*(1-15%)</f>
        <v>4431.4142857142861</v>
      </c>
      <c r="E56" s="427">
        <f>'MACEIO '!S115</f>
        <v>5213.4285714285716</v>
      </c>
      <c r="F56" s="427">
        <f>E56*(1+15%)</f>
        <v>5995.4428571428571</v>
      </c>
      <c r="G56" s="427"/>
    </row>
    <row r="57" spans="1:23" x14ac:dyDescent="0.3">
      <c r="A57" s="47" t="s">
        <v>679</v>
      </c>
      <c r="B57" s="2174"/>
      <c r="C57" s="2174"/>
      <c r="D57" s="2181">
        <f>E57*(1-25%)</f>
        <v>2222.9189189189192</v>
      </c>
      <c r="E57" s="427">
        <f>'MACEIO '!S144</f>
        <v>2963.8918918918921</v>
      </c>
      <c r="F57" s="427">
        <f>E57*(1+5%)</f>
        <v>3112.086486486487</v>
      </c>
      <c r="G57" s="427"/>
    </row>
    <row r="58" spans="1:23" x14ac:dyDescent="0.3">
      <c r="A58" s="47" t="s">
        <v>568</v>
      </c>
      <c r="B58" s="2174"/>
      <c r="C58" s="2174"/>
      <c r="D58" s="2181">
        <f>E58*(1-25%)</f>
        <v>3144.375</v>
      </c>
      <c r="E58" s="427">
        <f>'MACEIO '!S174</f>
        <v>4192.5</v>
      </c>
      <c r="F58" s="427">
        <f>E58*(1+5%)</f>
        <v>4402.125</v>
      </c>
      <c r="G58" s="427"/>
    </row>
    <row r="59" spans="1:23" x14ac:dyDescent="0.3">
      <c r="A59" s="47"/>
      <c r="B59" s="47"/>
      <c r="C59" s="47"/>
      <c r="D59" s="48"/>
    </row>
    <row r="60" spans="1:23" x14ac:dyDescent="0.3">
      <c r="A60" s="47"/>
      <c r="B60" s="46"/>
      <c r="C60" s="46"/>
      <c r="D60" s="2314" t="s">
        <v>1163</v>
      </c>
      <c r="E60" s="2315"/>
      <c r="F60" s="2315"/>
      <c r="G60" s="2316"/>
    </row>
    <row r="61" spans="1:23" x14ac:dyDescent="0.3">
      <c r="A61" s="47" t="s">
        <v>1161</v>
      </c>
      <c r="B61" s="2175"/>
      <c r="C61" s="2175"/>
      <c r="D61" s="3">
        <v>0.90196078431372551</v>
      </c>
      <c r="E61" s="3"/>
      <c r="F61" s="3">
        <v>9.8039215686274508E-2</v>
      </c>
      <c r="G61" s="3"/>
    </row>
    <row r="62" spans="1:23" x14ac:dyDescent="0.3">
      <c r="A62" s="47" t="s">
        <v>1162</v>
      </c>
      <c r="B62" s="2175"/>
      <c r="C62" s="2175"/>
      <c r="D62" s="2175">
        <v>0.88405797101449279</v>
      </c>
      <c r="E62" s="304"/>
      <c r="F62" s="304">
        <v>0.11594202898550725</v>
      </c>
      <c r="G62" s="304"/>
    </row>
    <row r="63" spans="1:23" x14ac:dyDescent="0.3">
      <c r="A63" s="47" t="s">
        <v>550</v>
      </c>
      <c r="B63" s="2175"/>
      <c r="C63" s="2175"/>
      <c r="D63" s="2175">
        <v>1</v>
      </c>
      <c r="E63" s="304"/>
      <c r="F63" s="304"/>
      <c r="G63" s="304"/>
    </row>
    <row r="64" spans="1:23" x14ac:dyDescent="0.3">
      <c r="A64" s="47" t="s">
        <v>679</v>
      </c>
      <c r="B64" s="2175"/>
      <c r="C64" s="2175"/>
      <c r="D64" s="2175">
        <v>0.86486486486486491</v>
      </c>
      <c r="E64" s="304"/>
      <c r="F64" s="304">
        <v>0.13513513513513514</v>
      </c>
      <c r="G64" s="304"/>
    </row>
    <row r="65" spans="1:30" x14ac:dyDescent="0.3">
      <c r="A65" s="47" t="s">
        <v>568</v>
      </c>
      <c r="B65" s="47"/>
      <c r="C65" s="47"/>
      <c r="D65" s="2175">
        <v>0.83333333333333337</v>
      </c>
      <c r="E65" s="3"/>
      <c r="F65" s="304">
        <v>0.16666666666666666</v>
      </c>
    </row>
    <row r="66" spans="1:30" x14ac:dyDescent="0.3">
      <c r="A66" s="47"/>
      <c r="B66" s="47"/>
      <c r="C66" s="47"/>
      <c r="D66" s="48"/>
    </row>
    <row r="67" spans="1:30" x14ac:dyDescent="0.3">
      <c r="A67" s="47"/>
      <c r="B67" s="47"/>
      <c r="C67" s="47"/>
      <c r="D67" s="48"/>
    </row>
    <row r="68" spans="1:30" x14ac:dyDescent="0.3">
      <c r="A68" s="47"/>
      <c r="B68" s="47"/>
      <c r="C68" s="47"/>
      <c r="D68" s="48"/>
    </row>
    <row r="69" spans="1:30" x14ac:dyDescent="0.3">
      <c r="A69" s="47"/>
      <c r="B69" s="46"/>
      <c r="C69" s="46"/>
      <c r="D69" s="2314" t="s">
        <v>1164</v>
      </c>
      <c r="E69" s="2315"/>
      <c r="F69" s="2315"/>
      <c r="G69" s="2316"/>
    </row>
    <row r="70" spans="1:30" x14ac:dyDescent="0.3">
      <c r="A70" s="47" t="s">
        <v>1161</v>
      </c>
      <c r="B70" s="2175"/>
      <c r="C70" s="2175"/>
      <c r="D70" s="2175">
        <v>0.38655462184873951</v>
      </c>
      <c r="E70" s="2175">
        <v>0.34453781512605042</v>
      </c>
      <c r="F70" s="2175">
        <v>0.13445378151260504</v>
      </c>
      <c r="G70" s="2175">
        <v>0.13445378151260504</v>
      </c>
    </row>
    <row r="71" spans="1:30" x14ac:dyDescent="0.3">
      <c r="A71" s="47" t="s">
        <v>1162</v>
      </c>
      <c r="B71" s="6"/>
      <c r="C71" s="6"/>
      <c r="D71" s="6">
        <v>0.33333333333333331</v>
      </c>
      <c r="E71" s="2175">
        <v>0.30601092896174864</v>
      </c>
      <c r="F71" s="2175">
        <v>0.18032786885245902</v>
      </c>
      <c r="G71" s="2175">
        <v>0.18032786885245902</v>
      </c>
    </row>
    <row r="72" spans="1:30" x14ac:dyDescent="0.3">
      <c r="A72" s="47" t="s">
        <v>550</v>
      </c>
      <c r="B72" s="2175"/>
      <c r="C72" s="2175"/>
      <c r="D72" s="2175">
        <v>0.46666666666666667</v>
      </c>
      <c r="E72" s="2175">
        <v>0.35555555555555557</v>
      </c>
      <c r="F72" s="2175">
        <v>0.17777777777777778</v>
      </c>
      <c r="G72" s="2175"/>
    </row>
    <row r="73" spans="1:30" x14ac:dyDescent="0.3">
      <c r="A73" s="47" t="s">
        <v>679</v>
      </c>
      <c r="B73" s="2175"/>
      <c r="C73" s="2175"/>
      <c r="D73" s="6">
        <v>0.41558441558441561</v>
      </c>
      <c r="E73" s="6">
        <v>0.36363636363636365</v>
      </c>
      <c r="F73" s="6">
        <v>0.22077922077922077</v>
      </c>
      <c r="G73" s="2200"/>
    </row>
    <row r="74" spans="1:30" x14ac:dyDescent="0.3">
      <c r="A74" s="47" t="s">
        <v>568</v>
      </c>
      <c r="B74" s="47"/>
      <c r="C74" s="47"/>
      <c r="D74" s="6">
        <v>0.37037037037037035</v>
      </c>
      <c r="E74" s="2175">
        <v>0.37037037037037035</v>
      </c>
      <c r="F74" s="2175">
        <v>0.25925925925925924</v>
      </c>
      <c r="G74" s="2175"/>
    </row>
    <row r="76" spans="1:30" x14ac:dyDescent="0.3">
      <c r="E76" s="48"/>
      <c r="F76" s="48"/>
      <c r="G76" s="48"/>
      <c r="H76" s="48"/>
      <c r="I76" s="48"/>
      <c r="J76" s="48"/>
      <c r="K76" s="48"/>
      <c r="L76" s="48"/>
      <c r="N76" s="48"/>
      <c r="O76" s="48"/>
      <c r="P76" s="48"/>
      <c r="Q76" s="48"/>
      <c r="R76" s="48"/>
      <c r="S76" s="48"/>
      <c r="T76" s="49"/>
      <c r="U76" s="48"/>
      <c r="V76" s="49"/>
      <c r="W76" s="49"/>
      <c r="X76" s="51"/>
      <c r="Y76" s="51"/>
      <c r="AB76" s="48"/>
      <c r="AD76" s="48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E184"/>
  <sheetViews>
    <sheetView workbookViewId="0"/>
  </sheetViews>
  <sheetFormatPr defaultRowHeight="14.4" x14ac:dyDescent="0.3"/>
  <sheetData>
    <row r="1" spans="1:5" ht="21" x14ac:dyDescent="0.4">
      <c r="A1" s="92" t="s">
        <v>1051</v>
      </c>
    </row>
    <row r="2" spans="1:5" x14ac:dyDescent="0.3">
      <c r="A2" t="s">
        <v>452</v>
      </c>
    </row>
    <row r="4" spans="1:5" x14ac:dyDescent="0.3">
      <c r="B4" s="95"/>
    </row>
    <row r="5" spans="1:5" x14ac:dyDescent="0.3">
      <c r="B5" s="96"/>
      <c r="C5" s="603"/>
    </row>
    <row r="6" spans="1:5" x14ac:dyDescent="0.3">
      <c r="A6" s="100" t="s">
        <v>1052</v>
      </c>
      <c r="B6" s="101">
        <v>749608.24</v>
      </c>
      <c r="C6" s="661"/>
    </row>
    <row r="7" spans="1:5" x14ac:dyDescent="0.3">
      <c r="A7" s="100" t="s">
        <v>1053</v>
      </c>
      <c r="B7" s="101">
        <v>899439.24</v>
      </c>
    </row>
    <row r="9" spans="1:5" x14ac:dyDescent="0.3">
      <c r="A9" s="103" t="s">
        <v>1054</v>
      </c>
      <c r="B9" s="104">
        <v>1324803.4624999999</v>
      </c>
      <c r="C9" s="662"/>
    </row>
    <row r="10" spans="1:5" x14ac:dyDescent="0.3">
      <c r="A10" s="100" t="s">
        <v>1055</v>
      </c>
      <c r="B10" s="101">
        <v>1596148.75</v>
      </c>
      <c r="C10" s="3"/>
    </row>
    <row r="13" spans="1:5" x14ac:dyDescent="0.3">
      <c r="A13" s="4" t="s">
        <v>457</v>
      </c>
    </row>
    <row r="14" spans="1:5" x14ac:dyDescent="0.3">
      <c r="A14" s="106" t="s">
        <v>458</v>
      </c>
      <c r="B14" s="106"/>
      <c r="C14" s="106" t="s">
        <v>459</v>
      </c>
      <c r="D14" s="106" t="s">
        <v>460</v>
      </c>
      <c r="E14" s="106" t="s">
        <v>461</v>
      </c>
    </row>
    <row r="15" spans="1:5" x14ac:dyDescent="0.3">
      <c r="A15" s="107" t="s">
        <v>606</v>
      </c>
      <c r="B15" s="108" t="s">
        <v>463</v>
      </c>
      <c r="C15" s="109">
        <v>0.42</v>
      </c>
      <c r="D15" s="110">
        <f>B9*C15</f>
        <v>556417.45424999995</v>
      </c>
      <c r="E15" s="110">
        <f>D15/3</f>
        <v>185472.48474999997</v>
      </c>
    </row>
    <row r="16" spans="1:5" x14ac:dyDescent="0.3">
      <c r="A16" s="107" t="s">
        <v>607</v>
      </c>
      <c r="B16" s="108" t="s">
        <v>465</v>
      </c>
      <c r="C16" s="109">
        <v>0.45</v>
      </c>
      <c r="D16" s="110">
        <f>B9*C16</f>
        <v>596161.55812499998</v>
      </c>
      <c r="E16" s="110">
        <f>D16/5</f>
        <v>119232.311625</v>
      </c>
    </row>
    <row r="17" spans="1:31" x14ac:dyDescent="0.3">
      <c r="A17" s="107" t="s">
        <v>608</v>
      </c>
      <c r="B17" s="108">
        <v>3</v>
      </c>
      <c r="C17" s="109">
        <v>0.13</v>
      </c>
      <c r="D17" s="110">
        <f>B9*C17</f>
        <v>172224.450125</v>
      </c>
      <c r="E17" s="110">
        <f>D17/3</f>
        <v>57408.150041666668</v>
      </c>
    </row>
    <row r="18" spans="1:31" x14ac:dyDescent="0.3">
      <c r="B18" s="1" t="s">
        <v>467</v>
      </c>
      <c r="C18" s="3">
        <f>SUM(C15:C17)</f>
        <v>1</v>
      </c>
      <c r="D18" s="112">
        <f>SUM(D15:D17)</f>
        <v>1324803.4624999999</v>
      </c>
    </row>
    <row r="21" spans="1:31" x14ac:dyDescent="0.3">
      <c r="Q21" s="115"/>
    </row>
    <row r="22" spans="1:31" x14ac:dyDescent="0.3">
      <c r="A22" s="100" t="s">
        <v>769</v>
      </c>
      <c r="B22" s="769">
        <v>751300</v>
      </c>
      <c r="E22" s="1" t="s">
        <v>470</v>
      </c>
      <c r="F22" s="2" t="s">
        <v>988</v>
      </c>
      <c r="H22" s="1" t="s">
        <v>472</v>
      </c>
      <c r="J22" s="304">
        <v>0.82</v>
      </c>
      <c r="K22" s="304"/>
      <c r="L22" s="304"/>
    </row>
    <row r="23" spans="1:31" x14ac:dyDescent="0.3">
      <c r="A23" s="714" t="s">
        <v>579</v>
      </c>
      <c r="B23" s="770">
        <v>357685</v>
      </c>
      <c r="E23" s="1" t="s">
        <v>473</v>
      </c>
      <c r="F23" s="2" t="s">
        <v>1056</v>
      </c>
      <c r="H23" s="1" t="s">
        <v>473</v>
      </c>
      <c r="J23" s="1">
        <v>56</v>
      </c>
      <c r="K23" s="1"/>
      <c r="L23" s="1"/>
    </row>
    <row r="24" spans="1:31" x14ac:dyDescent="0.3">
      <c r="E24" s="1" t="s">
        <v>475</v>
      </c>
      <c r="F24" s="2" t="s">
        <v>1057</v>
      </c>
      <c r="H24" s="1" t="s">
        <v>475</v>
      </c>
      <c r="J24" s="95">
        <v>4759</v>
      </c>
      <c r="K24" s="95"/>
      <c r="L24" s="95"/>
      <c r="P24" s="115"/>
    </row>
    <row r="25" spans="1:31" x14ac:dyDescent="0.3">
      <c r="E25" s="1" t="s">
        <v>477</v>
      </c>
      <c r="F25" s="2" t="s">
        <v>1058</v>
      </c>
      <c r="H25" s="1" t="s">
        <v>477</v>
      </c>
      <c r="J25" s="95">
        <v>7971678</v>
      </c>
      <c r="K25" s="95"/>
      <c r="L25" s="95"/>
      <c r="O25" s="98"/>
      <c r="S25" s="116"/>
    </row>
    <row r="26" spans="1:31" x14ac:dyDescent="0.3">
      <c r="O26" s="98"/>
      <c r="P26" s="117"/>
    </row>
    <row r="27" spans="1:31" ht="18" x14ac:dyDescent="0.35">
      <c r="A27" s="1037" t="s">
        <v>479</v>
      </c>
      <c r="O27" s="119"/>
    </row>
    <row r="29" spans="1:31" x14ac:dyDescent="0.3">
      <c r="A29" s="2587" t="s">
        <v>480</v>
      </c>
      <c r="B29" s="2588"/>
      <c r="C29" s="2588"/>
      <c r="D29" s="2588"/>
      <c r="E29" s="2588"/>
      <c r="F29" s="2588"/>
      <c r="G29" s="2588"/>
      <c r="H29" s="2588"/>
      <c r="I29" s="2588"/>
      <c r="J29" s="2588"/>
      <c r="K29" s="2588"/>
      <c r="L29" s="2588"/>
      <c r="M29" s="2588"/>
      <c r="N29" s="2588"/>
      <c r="O29" s="2588"/>
      <c r="P29" s="2588"/>
      <c r="Q29" s="2588"/>
      <c r="R29" s="2589"/>
      <c r="S29" s="2563" t="s">
        <v>584</v>
      </c>
      <c r="T29" s="2564"/>
      <c r="U29" s="2564"/>
      <c r="V29" s="2564"/>
      <c r="W29" s="2564"/>
      <c r="X29" s="2564"/>
      <c r="Y29" s="2564"/>
      <c r="Z29" s="2564"/>
      <c r="AA29" s="2564"/>
      <c r="AB29" s="2564"/>
      <c r="AC29" s="2564"/>
      <c r="AD29" s="2564"/>
      <c r="AE29" s="2576"/>
    </row>
    <row r="30" spans="1:31" ht="18" x14ac:dyDescent="0.3">
      <c r="A30" s="2722" t="s">
        <v>482</v>
      </c>
      <c r="B30" s="2723" t="s">
        <v>483</v>
      </c>
      <c r="C30" s="2723" t="s">
        <v>484</v>
      </c>
      <c r="D30" s="2723" t="s">
        <v>485</v>
      </c>
      <c r="E30" s="2723" t="s">
        <v>486</v>
      </c>
      <c r="F30" s="2724" t="s">
        <v>487</v>
      </c>
      <c r="G30" s="2723" t="s">
        <v>488</v>
      </c>
      <c r="H30" s="2723" t="s">
        <v>489</v>
      </c>
      <c r="I30" s="1381" t="s">
        <v>490</v>
      </c>
      <c r="J30" s="1381"/>
      <c r="K30" s="1381"/>
      <c r="L30" s="1381"/>
      <c r="M30" s="1382" t="s">
        <v>491</v>
      </c>
      <c r="N30" s="1383" t="s">
        <v>492</v>
      </c>
      <c r="O30" s="1384" t="s">
        <v>493</v>
      </c>
      <c r="P30" s="1383" t="s">
        <v>492</v>
      </c>
      <c r="Q30" s="1383" t="s">
        <v>494</v>
      </c>
      <c r="R30" s="1385" t="s">
        <v>495</v>
      </c>
      <c r="S30" s="1052" t="s">
        <v>496</v>
      </c>
      <c r="T30" s="2608" t="s">
        <v>497</v>
      </c>
      <c r="U30" s="2607"/>
      <c r="V30" s="2607"/>
      <c r="W30" s="2607"/>
      <c r="X30" s="2607"/>
      <c r="Y30" s="2608" t="s">
        <v>498</v>
      </c>
      <c r="Z30" s="2607"/>
      <c r="AA30" s="2608" t="s">
        <v>499</v>
      </c>
      <c r="AB30" s="2607"/>
      <c r="AC30" s="2607"/>
      <c r="AD30" s="2607"/>
      <c r="AE30" s="2609"/>
    </row>
    <row r="31" spans="1:31" ht="18" x14ac:dyDescent="0.3">
      <c r="A31" s="2722"/>
      <c r="B31" s="2723"/>
      <c r="C31" s="2723"/>
      <c r="D31" s="2723"/>
      <c r="E31" s="2723"/>
      <c r="F31" s="2724"/>
      <c r="G31" s="2723"/>
      <c r="H31" s="2723"/>
      <c r="I31" s="1386" t="s">
        <v>500</v>
      </c>
      <c r="J31" s="1386" t="s">
        <v>501</v>
      </c>
      <c r="K31" s="1386" t="s">
        <v>502</v>
      </c>
      <c r="L31" s="1386" t="s">
        <v>503</v>
      </c>
      <c r="M31" s="1382" t="s">
        <v>504</v>
      </c>
      <c r="N31" s="1383" t="s">
        <v>505</v>
      </c>
      <c r="O31" s="1384" t="s">
        <v>506</v>
      </c>
      <c r="P31" s="1383" t="s">
        <v>507</v>
      </c>
      <c r="Q31" s="1383" t="s">
        <v>507</v>
      </c>
      <c r="R31" s="1385"/>
      <c r="S31" s="1052" t="s">
        <v>508</v>
      </c>
      <c r="T31" s="2787"/>
      <c r="U31" s="2788"/>
      <c r="V31" s="2788"/>
      <c r="W31" s="2788"/>
      <c r="X31" s="2788"/>
      <c r="Y31" s="2787"/>
      <c r="Z31" s="2788"/>
      <c r="AA31" s="2787"/>
      <c r="AB31" s="2788"/>
      <c r="AC31" s="2788"/>
      <c r="AD31" s="2788"/>
      <c r="AE31" s="2789"/>
    </row>
    <row r="32" spans="1:31" ht="15.6" x14ac:dyDescent="0.3">
      <c r="A32" s="2796" t="s">
        <v>509</v>
      </c>
      <c r="B32" s="2797"/>
      <c r="C32" s="2797"/>
      <c r="D32" s="2797"/>
      <c r="E32" s="2797"/>
      <c r="F32" s="2797"/>
      <c r="G32" s="2797"/>
      <c r="H32" s="2797"/>
      <c r="I32" s="2797"/>
      <c r="J32" s="2797"/>
      <c r="K32" s="2797"/>
      <c r="L32" s="2797"/>
      <c r="M32" s="2797"/>
      <c r="N32" s="2797"/>
      <c r="O32" s="2797"/>
      <c r="P32" s="2797"/>
      <c r="Q32" s="2797"/>
      <c r="R32" s="2797"/>
      <c r="S32" s="1577"/>
      <c r="T32" s="1553" t="s">
        <v>510</v>
      </c>
      <c r="U32" s="1554" t="s">
        <v>11</v>
      </c>
      <c r="V32" s="1554" t="s">
        <v>511</v>
      </c>
      <c r="W32" s="1554" t="s">
        <v>512</v>
      </c>
      <c r="X32" s="1578" t="s">
        <v>513</v>
      </c>
      <c r="Y32" s="1553" t="s">
        <v>514</v>
      </c>
      <c r="Z32" s="1578" t="s">
        <v>515</v>
      </c>
      <c r="AA32" s="1553" t="s">
        <v>9</v>
      </c>
      <c r="AB32" s="1554" t="s">
        <v>10</v>
      </c>
      <c r="AC32" s="1554" t="s">
        <v>226</v>
      </c>
      <c r="AD32" s="1554" t="s">
        <v>206</v>
      </c>
      <c r="AE32" s="1578" t="s">
        <v>5</v>
      </c>
    </row>
    <row r="33" spans="1:31" x14ac:dyDescent="0.3">
      <c r="A33" s="157"/>
      <c r="B33" s="157"/>
      <c r="C33" s="157"/>
      <c r="D33" s="157"/>
      <c r="E33" s="157"/>
      <c r="F33" s="158"/>
      <c r="G33" s="157"/>
      <c r="H33" s="157"/>
      <c r="I33" s="188"/>
      <c r="L33" s="286"/>
      <c r="M33" s="163"/>
      <c r="N33" s="164"/>
      <c r="O33" s="165"/>
      <c r="P33" s="164"/>
      <c r="Q33" s="164"/>
      <c r="R33" s="1046"/>
      <c r="S33" s="164"/>
      <c r="T33" s="394"/>
      <c r="U33" s="169"/>
      <c r="V33" s="169"/>
      <c r="W33" s="169"/>
      <c r="X33" s="395"/>
      <c r="Y33" s="394"/>
      <c r="Z33" s="395"/>
      <c r="AE33" s="286"/>
    </row>
    <row r="34" spans="1:31" x14ac:dyDescent="0.3">
      <c r="A34" s="157" t="s">
        <v>1059</v>
      </c>
      <c r="B34" s="157" t="s">
        <v>215</v>
      </c>
      <c r="C34" s="157" t="s">
        <v>1037</v>
      </c>
      <c r="D34" s="157" t="s">
        <v>166</v>
      </c>
      <c r="E34" s="157" t="s">
        <v>520</v>
      </c>
      <c r="F34" s="158" t="s">
        <v>552</v>
      </c>
      <c r="G34" s="157">
        <v>12</v>
      </c>
      <c r="H34" s="157" t="s">
        <v>63</v>
      </c>
      <c r="I34" s="188"/>
      <c r="K34" s="176">
        <v>12</v>
      </c>
      <c r="L34" s="177"/>
      <c r="M34" s="163">
        <v>1</v>
      </c>
      <c r="N34" s="166">
        <v>4600</v>
      </c>
      <c r="O34" s="173">
        <v>0.3</v>
      </c>
      <c r="P34" s="166">
        <f t="shared" ref="P34:P42" si="0">N34*(1-O34)</f>
        <v>3220</v>
      </c>
      <c r="Q34" s="166">
        <f t="shared" ref="Q34:Q42" si="1">P34*M34*G34</f>
        <v>38640</v>
      </c>
      <c r="R34" s="184">
        <f t="shared" ref="R34:R42" si="2">Q34/$Q$47</f>
        <v>0.206819878204416</v>
      </c>
      <c r="S34" s="503">
        <f t="shared" ref="S34:S45" si="3">Q34*2</f>
        <v>77280</v>
      </c>
      <c r="T34" s="394">
        <f t="shared" ref="T34:T38" si="4">S34</f>
        <v>77280</v>
      </c>
      <c r="X34" s="286"/>
      <c r="Y34" s="394">
        <f>S34</f>
        <v>77280</v>
      </c>
      <c r="Z34" s="395"/>
      <c r="AA34" s="169">
        <f>S34</f>
        <v>77280</v>
      </c>
      <c r="AE34" s="286"/>
    </row>
    <row r="35" spans="1:31" x14ac:dyDescent="0.3">
      <c r="A35" s="157" t="s">
        <v>1059</v>
      </c>
      <c r="B35" s="157" t="s">
        <v>215</v>
      </c>
      <c r="C35" s="157" t="s">
        <v>1037</v>
      </c>
      <c r="D35" s="157" t="s">
        <v>102</v>
      </c>
      <c r="E35" s="157" t="s">
        <v>518</v>
      </c>
      <c r="F35" s="158" t="s">
        <v>541</v>
      </c>
      <c r="G35" s="157">
        <v>1</v>
      </c>
      <c r="H35" s="157" t="s">
        <v>24</v>
      </c>
      <c r="I35" s="182">
        <v>1</v>
      </c>
      <c r="J35" s="183"/>
      <c r="K35" s="183"/>
      <c r="L35" s="2239"/>
      <c r="M35" s="163">
        <v>1</v>
      </c>
      <c r="N35" s="166">
        <v>13100</v>
      </c>
      <c r="O35" s="173">
        <v>0.3</v>
      </c>
      <c r="P35" s="166">
        <f>N35*(1-O35)</f>
        <v>9170</v>
      </c>
      <c r="Q35" s="166">
        <f t="shared" si="1"/>
        <v>9170</v>
      </c>
      <c r="R35" s="167">
        <f t="shared" si="2"/>
        <v>4.9082253704308874E-2</v>
      </c>
      <c r="S35" s="503">
        <f t="shared" si="3"/>
        <v>18340</v>
      </c>
      <c r="T35" s="394">
        <f t="shared" si="4"/>
        <v>18340</v>
      </c>
      <c r="X35" s="286"/>
      <c r="Y35" s="394"/>
      <c r="Z35" s="395">
        <f>S35</f>
        <v>18340</v>
      </c>
      <c r="AA35" s="169">
        <f t="shared" ref="AA35:AA36" si="5">S35</f>
        <v>18340</v>
      </c>
      <c r="AE35" s="286"/>
    </row>
    <row r="36" spans="1:31" x14ac:dyDescent="0.3">
      <c r="A36" s="157" t="s">
        <v>1059</v>
      </c>
      <c r="B36" s="157" t="s">
        <v>215</v>
      </c>
      <c r="C36" s="157" t="s">
        <v>1037</v>
      </c>
      <c r="D36" s="157" t="s">
        <v>26</v>
      </c>
      <c r="E36" s="157" t="s">
        <v>520</v>
      </c>
      <c r="F36" s="158" t="s">
        <v>551</v>
      </c>
      <c r="G36" s="157">
        <v>3</v>
      </c>
      <c r="H36" s="157" t="s">
        <v>63</v>
      </c>
      <c r="I36" s="182">
        <v>3</v>
      </c>
      <c r="J36" s="183"/>
      <c r="K36" s="183"/>
      <c r="L36" s="2239"/>
      <c r="M36" s="163">
        <v>1</v>
      </c>
      <c r="N36" s="166">
        <v>13400</v>
      </c>
      <c r="O36" s="173">
        <v>0.3</v>
      </c>
      <c r="P36" s="166">
        <f t="shared" ref="P36:P37" si="6">N36*(1-O36)</f>
        <v>9380</v>
      </c>
      <c r="Q36" s="166">
        <f t="shared" si="1"/>
        <v>28140</v>
      </c>
      <c r="R36" s="184">
        <f t="shared" si="2"/>
        <v>0.15061882434452034</v>
      </c>
      <c r="S36" s="503">
        <f t="shared" si="3"/>
        <v>56280</v>
      </c>
      <c r="T36" s="394">
        <f t="shared" si="4"/>
        <v>56280</v>
      </c>
      <c r="X36" s="286"/>
      <c r="Y36" s="394">
        <f>S36</f>
        <v>56280</v>
      </c>
      <c r="Z36" s="395"/>
      <c r="AA36" s="169">
        <f t="shared" si="5"/>
        <v>56280</v>
      </c>
      <c r="AE36" s="286"/>
    </row>
    <row r="37" spans="1:31" x14ac:dyDescent="0.3">
      <c r="A37" s="157" t="s">
        <v>1059</v>
      </c>
      <c r="B37" s="157" t="s">
        <v>216</v>
      </c>
      <c r="C37" s="157" t="s">
        <v>1037</v>
      </c>
      <c r="D37" s="157" t="s">
        <v>102</v>
      </c>
      <c r="E37" s="157" t="s">
        <v>518</v>
      </c>
      <c r="F37" s="158" t="s">
        <v>541</v>
      </c>
      <c r="G37" s="157">
        <v>3</v>
      </c>
      <c r="H37" s="157" t="s">
        <v>63</v>
      </c>
      <c r="I37" s="182">
        <v>3</v>
      </c>
      <c r="J37" s="183"/>
      <c r="K37" s="183"/>
      <c r="L37" s="2239"/>
      <c r="M37" s="163">
        <v>1</v>
      </c>
      <c r="N37" s="166">
        <v>47500</v>
      </c>
      <c r="O37" s="173">
        <v>0.92</v>
      </c>
      <c r="P37" s="166">
        <f t="shared" si="6"/>
        <v>3799.9999999999982</v>
      </c>
      <c r="Q37" s="166">
        <f t="shared" si="1"/>
        <v>11399.999999999995</v>
      </c>
      <c r="R37" s="167">
        <f t="shared" si="2"/>
        <v>6.1018287047886678E-2</v>
      </c>
      <c r="S37" s="503">
        <f t="shared" si="3"/>
        <v>22799.999999999989</v>
      </c>
      <c r="T37" s="394">
        <f t="shared" si="4"/>
        <v>22799.999999999989</v>
      </c>
      <c r="X37" s="286"/>
      <c r="Y37" s="394"/>
      <c r="Z37" s="395">
        <f>S37</f>
        <v>22799.999999999989</v>
      </c>
      <c r="AB37" s="169">
        <f>S37</f>
        <v>22799.999999999989</v>
      </c>
      <c r="AE37" s="286"/>
    </row>
    <row r="38" spans="1:31" x14ac:dyDescent="0.3">
      <c r="A38" s="157" t="s">
        <v>1059</v>
      </c>
      <c r="B38" s="157" t="s">
        <v>216</v>
      </c>
      <c r="C38" s="157" t="s">
        <v>1037</v>
      </c>
      <c r="D38" s="157" t="s">
        <v>166</v>
      </c>
      <c r="E38" s="157" t="s">
        <v>520</v>
      </c>
      <c r="F38" s="158" t="s">
        <v>552</v>
      </c>
      <c r="G38" s="157">
        <v>10</v>
      </c>
      <c r="H38" s="157" t="s">
        <v>63</v>
      </c>
      <c r="I38" s="175">
        <v>10</v>
      </c>
      <c r="J38" s="688"/>
      <c r="L38" s="286"/>
      <c r="M38" s="163">
        <v>1</v>
      </c>
      <c r="N38" s="166">
        <v>7500</v>
      </c>
      <c r="O38" s="173">
        <v>0.8</v>
      </c>
      <c r="P38" s="166">
        <f t="shared" si="0"/>
        <v>1499.9999999999998</v>
      </c>
      <c r="Q38" s="166">
        <f t="shared" si="1"/>
        <v>14999.999999999998</v>
      </c>
      <c r="R38" s="184">
        <f t="shared" si="2"/>
        <v>8.0287219799850928E-2</v>
      </c>
      <c r="S38" s="503">
        <f t="shared" si="3"/>
        <v>29999.999999999996</v>
      </c>
      <c r="T38" s="394">
        <f t="shared" si="4"/>
        <v>29999.999999999996</v>
      </c>
      <c r="X38" s="286"/>
      <c r="Y38" s="394">
        <f>S38</f>
        <v>29999.999999999996</v>
      </c>
      <c r="Z38" s="395"/>
      <c r="AB38" s="169">
        <f t="shared" ref="AB38:AB39" si="7">S38</f>
        <v>29999.999999999996</v>
      </c>
      <c r="AE38" s="286"/>
    </row>
    <row r="39" spans="1:31" x14ac:dyDescent="0.3">
      <c r="A39" s="157" t="s">
        <v>1059</v>
      </c>
      <c r="B39" s="157" t="s">
        <v>216</v>
      </c>
      <c r="C39" s="157" t="s">
        <v>1037</v>
      </c>
      <c r="D39" s="157" t="s">
        <v>26</v>
      </c>
      <c r="E39" s="157" t="s">
        <v>520</v>
      </c>
      <c r="F39" s="158" t="s">
        <v>551</v>
      </c>
      <c r="G39" s="157">
        <v>3</v>
      </c>
      <c r="H39" s="157" t="s">
        <v>24</v>
      </c>
      <c r="I39" s="182">
        <v>3</v>
      </c>
      <c r="J39" s="183"/>
      <c r="K39" s="183"/>
      <c r="L39" s="2239"/>
      <c r="M39" s="163">
        <v>1</v>
      </c>
      <c r="N39" s="166">
        <v>30000</v>
      </c>
      <c r="O39" s="173">
        <v>0.8</v>
      </c>
      <c r="P39" s="166">
        <f t="shared" si="0"/>
        <v>5999.9999999999991</v>
      </c>
      <c r="Q39" s="166">
        <f t="shared" si="1"/>
        <v>17999.999999999996</v>
      </c>
      <c r="R39" s="184">
        <f t="shared" si="2"/>
        <v>9.6344663759821106E-2</v>
      </c>
      <c r="S39" s="503">
        <f>Q39*2</f>
        <v>35999.999999999993</v>
      </c>
      <c r="T39" s="394">
        <f>S39</f>
        <v>35999.999999999993</v>
      </c>
      <c r="U39" s="169"/>
      <c r="X39" s="286"/>
      <c r="Y39" s="394">
        <f>S39</f>
        <v>35999.999999999993</v>
      </c>
      <c r="Z39" s="286"/>
      <c r="AB39" s="169">
        <f t="shared" si="7"/>
        <v>35999.999999999993</v>
      </c>
      <c r="AE39" s="286"/>
    </row>
    <row r="40" spans="1:31" x14ac:dyDescent="0.3">
      <c r="A40" s="157" t="s">
        <v>1059</v>
      </c>
      <c r="B40" s="157" t="s">
        <v>227</v>
      </c>
      <c r="C40" s="157" t="s">
        <v>1037</v>
      </c>
      <c r="D40" s="157" t="s">
        <v>102</v>
      </c>
      <c r="E40" s="157" t="s">
        <v>518</v>
      </c>
      <c r="F40" s="158" t="s">
        <v>541</v>
      </c>
      <c r="G40" s="157">
        <v>2</v>
      </c>
      <c r="H40" s="157" t="s">
        <v>22</v>
      </c>
      <c r="I40" s="182">
        <v>2</v>
      </c>
      <c r="K40" s="183">
        <v>2</v>
      </c>
      <c r="L40" s="286"/>
      <c r="M40" s="163">
        <v>2</v>
      </c>
      <c r="N40" s="166">
        <v>8132.89</v>
      </c>
      <c r="O40" s="173">
        <v>0.72</v>
      </c>
      <c r="P40" s="166">
        <f t="shared" si="0"/>
        <v>2277.2092000000002</v>
      </c>
      <c r="Q40" s="166">
        <f t="shared" si="1"/>
        <v>9108.8368000000009</v>
      </c>
      <c r="R40" s="167">
        <f t="shared" si="2"/>
        <v>4.8754878818838061E-2</v>
      </c>
      <c r="S40" s="503">
        <f>Q40*2</f>
        <v>18217.673600000002</v>
      </c>
      <c r="T40" s="394">
        <f>S40</f>
        <v>18217.673600000002</v>
      </c>
      <c r="X40" s="286"/>
      <c r="Y40" s="394"/>
      <c r="Z40" s="395">
        <f>S40</f>
        <v>18217.673600000002</v>
      </c>
      <c r="AC40" s="169">
        <f>S40</f>
        <v>18217.673600000002</v>
      </c>
      <c r="AE40" s="286"/>
    </row>
    <row r="41" spans="1:31" x14ac:dyDescent="0.3">
      <c r="A41" s="157" t="s">
        <v>1059</v>
      </c>
      <c r="B41" s="157" t="s">
        <v>210</v>
      </c>
      <c r="C41" s="157" t="s">
        <v>1037</v>
      </c>
      <c r="D41" s="157" t="s">
        <v>102</v>
      </c>
      <c r="E41" s="157" t="s">
        <v>518</v>
      </c>
      <c r="F41" s="158" t="s">
        <v>541</v>
      </c>
      <c r="G41" s="157">
        <v>2</v>
      </c>
      <c r="H41" s="157" t="s">
        <v>147</v>
      </c>
      <c r="I41" s="175">
        <v>2</v>
      </c>
      <c r="J41" s="176"/>
      <c r="L41" s="286"/>
      <c r="M41" s="163">
        <v>1</v>
      </c>
      <c r="N41" s="166">
        <v>5463</v>
      </c>
      <c r="O41" s="173">
        <v>0.6</v>
      </c>
      <c r="P41" s="166">
        <f t="shared" si="0"/>
        <v>2185.2000000000003</v>
      </c>
      <c r="Q41" s="166">
        <f t="shared" si="1"/>
        <v>4370.4000000000005</v>
      </c>
      <c r="R41" s="167">
        <f t="shared" si="2"/>
        <v>2.339248436088457E-2</v>
      </c>
      <c r="S41" s="503">
        <f t="shared" ref="S41" si="8">Q41*2</f>
        <v>8740.8000000000011</v>
      </c>
      <c r="T41" s="394">
        <f>S41</f>
        <v>8740.8000000000011</v>
      </c>
      <c r="U41" s="169"/>
      <c r="X41" s="286"/>
      <c r="Y41" s="394"/>
      <c r="Z41" s="395">
        <f>S41</f>
        <v>8740.8000000000011</v>
      </c>
      <c r="AD41" s="169">
        <f>S41</f>
        <v>8740.8000000000011</v>
      </c>
      <c r="AE41" s="286"/>
    </row>
    <row r="42" spans="1:31" x14ac:dyDescent="0.3">
      <c r="A42" s="157" t="s">
        <v>1059</v>
      </c>
      <c r="B42" s="157" t="s">
        <v>220</v>
      </c>
      <c r="C42" s="157" t="s">
        <v>1037</v>
      </c>
      <c r="D42" s="157" t="s">
        <v>221</v>
      </c>
      <c r="E42" s="157" t="s">
        <v>520</v>
      </c>
      <c r="F42" s="158" t="s">
        <v>38</v>
      </c>
      <c r="G42" s="157">
        <v>1</v>
      </c>
      <c r="H42" s="157" t="s">
        <v>24</v>
      </c>
      <c r="I42" s="182">
        <v>1</v>
      </c>
      <c r="J42" s="183"/>
      <c r="K42" s="183"/>
      <c r="L42" s="2239"/>
      <c r="M42" s="163">
        <v>1</v>
      </c>
      <c r="N42" s="166">
        <v>45000</v>
      </c>
      <c r="O42" s="173">
        <v>0.2</v>
      </c>
      <c r="P42" s="166">
        <f t="shared" si="0"/>
        <v>36000</v>
      </c>
      <c r="Q42" s="166">
        <f t="shared" si="1"/>
        <v>36000</v>
      </c>
      <c r="R42" s="184">
        <f t="shared" si="2"/>
        <v>0.19268932751964224</v>
      </c>
      <c r="S42" s="503">
        <f>Q42*2</f>
        <v>72000</v>
      </c>
      <c r="T42" s="394"/>
      <c r="V42" s="169">
        <f>S42</f>
        <v>72000</v>
      </c>
      <c r="X42" s="286"/>
      <c r="Y42" s="394">
        <f>S42</f>
        <v>72000</v>
      </c>
      <c r="Z42" s="286"/>
      <c r="AE42" s="395">
        <f>S42</f>
        <v>72000</v>
      </c>
    </row>
    <row r="43" spans="1:31" x14ac:dyDescent="0.3">
      <c r="A43" s="172"/>
      <c r="B43" s="157"/>
      <c r="C43" s="157"/>
      <c r="D43" s="157"/>
      <c r="E43" s="157"/>
      <c r="F43" s="158"/>
      <c r="G43" s="157"/>
      <c r="H43" s="157"/>
      <c r="I43" s="243"/>
      <c r="J43" s="245"/>
      <c r="K43" s="245"/>
      <c r="L43" s="287"/>
      <c r="M43" s="163"/>
      <c r="N43" s="166"/>
      <c r="O43" s="173"/>
      <c r="P43" s="166"/>
      <c r="Q43" s="166"/>
      <c r="R43" s="393"/>
      <c r="S43" s="503"/>
      <c r="T43" s="188"/>
      <c r="X43" s="286"/>
      <c r="Y43" s="188"/>
      <c r="Z43" s="286"/>
      <c r="AE43" s="286"/>
    </row>
    <row r="44" spans="1:31" x14ac:dyDescent="0.3">
      <c r="A44" s="108" t="s">
        <v>1059</v>
      </c>
      <c r="B44" s="108" t="s">
        <v>528</v>
      </c>
      <c r="C44" s="289"/>
      <c r="D44" s="252"/>
      <c r="E44" s="252"/>
      <c r="F44" s="253"/>
      <c r="G44" s="252"/>
      <c r="H44" s="252"/>
      <c r="I44" s="254"/>
      <c r="J44" s="254"/>
      <c r="K44" s="254"/>
      <c r="L44" s="254"/>
      <c r="M44" s="252"/>
      <c r="N44" s="255"/>
      <c r="O44" s="256"/>
      <c r="P44" s="290"/>
      <c r="Q44" s="257"/>
      <c r="R44" s="291"/>
      <c r="S44" s="503"/>
      <c r="T44" s="188"/>
      <c r="W44" s="169">
        <f>S44</f>
        <v>0</v>
      </c>
      <c r="X44" s="286"/>
      <c r="Y44" s="188"/>
      <c r="Z44" s="286"/>
      <c r="AE44" s="286"/>
    </row>
    <row r="45" spans="1:31" x14ac:dyDescent="0.3">
      <c r="A45" s="108" t="s">
        <v>1059</v>
      </c>
      <c r="B45" s="108" t="s">
        <v>529</v>
      </c>
      <c r="C45" s="289"/>
      <c r="D45" s="252"/>
      <c r="E45" s="252"/>
      <c r="F45" s="253"/>
      <c r="G45" s="252"/>
      <c r="H45" s="252"/>
      <c r="I45" s="254"/>
      <c r="J45" s="254"/>
      <c r="K45" s="254"/>
      <c r="L45" s="254"/>
      <c r="M45" s="252"/>
      <c r="N45" s="255"/>
      <c r="O45" s="256"/>
      <c r="P45" s="290"/>
      <c r="Q45" s="257">
        <v>17000</v>
      </c>
      <c r="R45" s="291">
        <f>Q45/Q47</f>
        <v>9.0992182439831065E-2</v>
      </c>
      <c r="S45" s="503">
        <f t="shared" si="3"/>
        <v>34000</v>
      </c>
      <c r="T45" s="188"/>
      <c r="X45" s="395">
        <f>S45</f>
        <v>34000</v>
      </c>
      <c r="Y45" s="188"/>
      <c r="Z45" s="286"/>
      <c r="AE45" s="286"/>
    </row>
    <row r="46" spans="1:31" x14ac:dyDescent="0.3">
      <c r="I46" s="115">
        <f>I47/M47</f>
        <v>0.64102564102564108</v>
      </c>
      <c r="J46" s="115"/>
      <c r="K46" s="115">
        <f>K47/M47</f>
        <v>0.35897435897435898</v>
      </c>
      <c r="S46" s="166"/>
      <c r="T46" s="188"/>
      <c r="X46" s="286"/>
      <c r="Y46" s="188"/>
      <c r="Z46" s="286"/>
      <c r="AE46" s="286"/>
    </row>
    <row r="47" spans="1:31" x14ac:dyDescent="0.3">
      <c r="A47" s="840" t="s">
        <v>531</v>
      </c>
      <c r="B47" s="841"/>
      <c r="C47" s="841"/>
      <c r="D47" s="841"/>
      <c r="E47" s="841"/>
      <c r="F47" s="842"/>
      <c r="G47" s="841"/>
      <c r="H47" s="841"/>
      <c r="I47" s="1579">
        <f>I42+I41+I40+I39+I38+I37+I36+I35</f>
        <v>25</v>
      </c>
      <c r="J47" s="1579"/>
      <c r="K47" s="1579">
        <f>K40+K34</f>
        <v>14</v>
      </c>
      <c r="L47" s="1579"/>
      <c r="M47" s="841">
        <f>SUM(I47:L47)</f>
        <v>39</v>
      </c>
      <c r="N47" s="843"/>
      <c r="O47" s="844"/>
      <c r="P47" s="843"/>
      <c r="Q47" s="845">
        <f>SUM(Q33:Q46)</f>
        <v>186829.23680000001</v>
      </c>
      <c r="R47" s="844">
        <f>SUM(R33:R45)</f>
        <v>0.99999999999999989</v>
      </c>
      <c r="S47" s="1580">
        <f>SUM(S33:S46)</f>
        <v>373658.47360000003</v>
      </c>
      <c r="T47" s="1581">
        <f>SUM(T33:T45)</f>
        <v>267658.47360000003</v>
      </c>
      <c r="U47" s="570">
        <f t="shared" ref="U47:Z47" si="9">SUM(U33:U45)</f>
        <v>0</v>
      </c>
      <c r="V47" s="570">
        <f t="shared" si="9"/>
        <v>72000</v>
      </c>
      <c r="W47" s="570">
        <f t="shared" si="9"/>
        <v>0</v>
      </c>
      <c r="X47" s="570">
        <f t="shared" si="9"/>
        <v>34000</v>
      </c>
      <c r="Y47" s="1091">
        <f t="shared" si="9"/>
        <v>271560</v>
      </c>
      <c r="Z47" s="1056">
        <f t="shared" si="9"/>
        <v>68098.473599999983</v>
      </c>
      <c r="AA47" s="1581">
        <f>SUM(AA33:AA46)</f>
        <v>151900</v>
      </c>
      <c r="AB47" s="570">
        <f>SUM(AB33:AB46)</f>
        <v>88799.999999999971</v>
      </c>
      <c r="AC47" s="570">
        <f t="shared" ref="AC47:AE47" si="10">SUM(AC33:AC46)</f>
        <v>18217.673600000002</v>
      </c>
      <c r="AD47" s="570">
        <f t="shared" si="10"/>
        <v>8740.8000000000011</v>
      </c>
      <c r="AE47" s="1056">
        <f t="shared" si="10"/>
        <v>72000</v>
      </c>
    </row>
    <row r="48" spans="1:31" x14ac:dyDescent="0.3">
      <c r="A48" s="840" t="s">
        <v>532</v>
      </c>
      <c r="B48" s="841"/>
      <c r="C48" s="841"/>
      <c r="D48" s="841"/>
      <c r="E48" s="841"/>
      <c r="F48" s="842"/>
      <c r="G48" s="841"/>
      <c r="H48" s="841"/>
      <c r="I48" s="1579">
        <f>I42+I41+I40+I39+I38+I37+I36+I35</f>
        <v>25</v>
      </c>
      <c r="J48" s="1579">
        <f>I42+I41+I39+I38+I37+I36+I35</f>
        <v>23</v>
      </c>
      <c r="K48" s="1579">
        <f>I42+K40+I39+I37+I36+I35+K34</f>
        <v>25</v>
      </c>
      <c r="L48" s="1579">
        <f>I42+I39+I37+I36+I35+K34</f>
        <v>23</v>
      </c>
      <c r="M48" s="841">
        <f>SUM(I48:L48)</f>
        <v>96</v>
      </c>
      <c r="N48" s="843"/>
      <c r="O48" s="844"/>
      <c r="P48" s="843"/>
      <c r="Q48" s="843"/>
      <c r="R48" s="844"/>
      <c r="S48" s="1585"/>
      <c r="T48" s="1586">
        <f>T47/S47</f>
        <v>0.71631849004052672</v>
      </c>
      <c r="U48" s="1587">
        <f>U47/S47</f>
        <v>0</v>
      </c>
      <c r="V48" s="1588">
        <f>V47/S47</f>
        <v>0.19268932751964224</v>
      </c>
      <c r="W48" s="1587">
        <f>W47/S47</f>
        <v>0</v>
      </c>
      <c r="X48" s="1587">
        <f>X47/S47</f>
        <v>9.0992182439831065E-2</v>
      </c>
      <c r="Y48" s="1589">
        <f>Y47/S47</f>
        <v>0.72675991362825065</v>
      </c>
      <c r="Z48" s="1590">
        <f>Z47/S47</f>
        <v>0.18224790393191817</v>
      </c>
      <c r="AA48" s="1591"/>
      <c r="AB48" s="1592"/>
      <c r="AC48" s="1592"/>
      <c r="AD48" s="1592"/>
      <c r="AE48" s="1593"/>
    </row>
    <row r="49" spans="1:31" x14ac:dyDescent="0.3">
      <c r="A49" s="251" t="s">
        <v>533</v>
      </c>
      <c r="B49" s="252"/>
      <c r="C49" s="252"/>
      <c r="D49" s="252"/>
      <c r="E49" s="252"/>
      <c r="F49" s="253"/>
      <c r="G49" s="252"/>
      <c r="H49" s="252"/>
      <c r="I49" s="2188">
        <f>I48/$M$48</f>
        <v>0.26041666666666669</v>
      </c>
      <c r="J49" s="2188">
        <f t="shared" ref="J49:L49" si="11">J48/$M$48</f>
        <v>0.23958333333333334</v>
      </c>
      <c r="K49" s="2188">
        <f t="shared" si="11"/>
        <v>0.26041666666666669</v>
      </c>
      <c r="L49" s="2188">
        <f t="shared" si="11"/>
        <v>0.23958333333333334</v>
      </c>
      <c r="M49" s="252"/>
      <c r="N49" s="255"/>
      <c r="O49" s="256"/>
      <c r="P49" s="255"/>
      <c r="Q49" s="257">
        <f>T47/2</f>
        <v>133829.23680000001</v>
      </c>
      <c r="R49" s="262">
        <f>Q49/Q53</f>
        <v>0.71631849004052672</v>
      </c>
      <c r="X49" s="248"/>
      <c r="Y49" s="357">
        <f>K34+I36+I38+I39+I42</f>
        <v>29</v>
      </c>
      <c r="Z49" s="358">
        <f>I35+I37+K40+I40+I41</f>
        <v>10</v>
      </c>
      <c r="AA49" s="4"/>
    </row>
    <row r="50" spans="1:31" x14ac:dyDescent="0.3">
      <c r="A50" s="251" t="s">
        <v>11</v>
      </c>
      <c r="B50" s="252"/>
      <c r="C50" s="252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55"/>
      <c r="Q50" s="257">
        <f>U47/2</f>
        <v>0</v>
      </c>
      <c r="R50" s="262">
        <f>Q50/Q53</f>
        <v>0</v>
      </c>
      <c r="S50" s="1050">
        <f>Q47/M47</f>
        <v>4790.4932512820515</v>
      </c>
      <c r="T50" s="1051" t="s">
        <v>535</v>
      </c>
      <c r="Y50" s="195">
        <f>Y49/M47</f>
        <v>0.74358974358974361</v>
      </c>
      <c r="Z50" s="247">
        <f>Z49/M47</f>
        <v>0.25641025641025639</v>
      </c>
    </row>
    <row r="51" spans="1:31" x14ac:dyDescent="0.3">
      <c r="A51" s="251" t="s">
        <v>536</v>
      </c>
      <c r="B51" s="252"/>
      <c r="C51" s="252"/>
      <c r="D51" s="252"/>
      <c r="E51" s="252"/>
      <c r="F51" s="253"/>
      <c r="G51" s="252"/>
      <c r="H51" s="252"/>
      <c r="I51" s="254"/>
      <c r="J51" s="254"/>
      <c r="K51" s="254"/>
      <c r="L51" s="254"/>
      <c r="M51" s="252"/>
      <c r="N51" s="255"/>
      <c r="O51" s="256"/>
      <c r="P51" s="255"/>
      <c r="Q51" s="257">
        <f>V47/2</f>
        <v>36000</v>
      </c>
      <c r="R51" s="262">
        <f>Q51/Q47</f>
        <v>0.19268932751964224</v>
      </c>
      <c r="W51" s="99"/>
      <c r="Y51" s="2551" t="s">
        <v>537</v>
      </c>
      <c r="Z51" s="2551"/>
    </row>
    <row r="52" spans="1:31" x14ac:dyDescent="0.3">
      <c r="A52" s="251" t="s">
        <v>529</v>
      </c>
      <c r="B52" s="252"/>
      <c r="C52" s="252"/>
      <c r="D52" s="252"/>
      <c r="E52" s="252"/>
      <c r="F52" s="253"/>
      <c r="G52" s="252"/>
      <c r="H52" s="252"/>
      <c r="I52" s="254"/>
      <c r="J52" s="254"/>
      <c r="K52" s="254"/>
      <c r="L52" s="254"/>
      <c r="M52" s="252"/>
      <c r="N52" s="255"/>
      <c r="O52" s="256"/>
      <c r="P52" s="255"/>
      <c r="Q52" s="257">
        <f>X47/2</f>
        <v>17000</v>
      </c>
      <c r="R52" s="262">
        <f>Q52/Q53</f>
        <v>9.0992182439831065E-2</v>
      </c>
    </row>
    <row r="53" spans="1:31" x14ac:dyDescent="0.3">
      <c r="A53" s="243"/>
      <c r="B53" s="193"/>
      <c r="C53" s="193"/>
      <c r="D53" s="193"/>
      <c r="E53" s="193"/>
      <c r="F53" s="244"/>
      <c r="G53" s="193"/>
      <c r="H53" s="193"/>
      <c r="I53" s="245"/>
      <c r="J53" s="245"/>
      <c r="K53" s="245"/>
      <c r="L53" s="245"/>
      <c r="M53" s="193"/>
      <c r="N53" s="246"/>
      <c r="O53" s="196"/>
      <c r="P53" s="246"/>
      <c r="Q53" s="194">
        <f>SUM(Q49:Q52)</f>
        <v>186829.23680000001</v>
      </c>
      <c r="R53" s="247">
        <f>SUM(R49:R52)</f>
        <v>1</v>
      </c>
      <c r="S53" s="600"/>
    </row>
    <row r="55" spans="1:31" ht="18" x14ac:dyDescent="0.35">
      <c r="A55" s="1037" t="s">
        <v>538</v>
      </c>
    </row>
    <row r="56" spans="1:31" ht="18" x14ac:dyDescent="0.35">
      <c r="A56" s="1037"/>
    </row>
    <row r="57" spans="1:31" x14ac:dyDescent="0.3">
      <c r="A57" s="2587" t="s">
        <v>480</v>
      </c>
      <c r="B57" s="2588"/>
      <c r="C57" s="2588"/>
      <c r="D57" s="2588"/>
      <c r="E57" s="2588"/>
      <c r="F57" s="2588"/>
      <c r="G57" s="2588"/>
      <c r="H57" s="2588"/>
      <c r="I57" s="2588"/>
      <c r="J57" s="2588"/>
      <c r="K57" s="2588"/>
      <c r="L57" s="2588"/>
      <c r="M57" s="2588"/>
      <c r="N57" s="2588"/>
      <c r="O57" s="2588"/>
      <c r="P57" s="2588"/>
      <c r="Q57" s="2588"/>
      <c r="R57" s="2589"/>
      <c r="S57" s="2563" t="s">
        <v>584</v>
      </c>
      <c r="T57" s="2564"/>
      <c r="U57" s="2564"/>
      <c r="V57" s="2564"/>
      <c r="W57" s="2564"/>
      <c r="X57" s="2564"/>
      <c r="Y57" s="2564"/>
      <c r="Z57" s="2564"/>
      <c r="AA57" s="2564"/>
      <c r="AB57" s="2564"/>
      <c r="AC57" s="2564"/>
      <c r="AD57" s="2564"/>
      <c r="AE57" s="2576"/>
    </row>
    <row r="58" spans="1:31" ht="18" x14ac:dyDescent="0.3">
      <c r="A58" s="2804" t="s">
        <v>482</v>
      </c>
      <c r="B58" s="2804" t="s">
        <v>483</v>
      </c>
      <c r="C58" s="2804" t="s">
        <v>484</v>
      </c>
      <c r="D58" s="2804" t="s">
        <v>485</v>
      </c>
      <c r="E58" s="2804" t="s">
        <v>486</v>
      </c>
      <c r="F58" s="2807" t="s">
        <v>487</v>
      </c>
      <c r="G58" s="2804" t="s">
        <v>488</v>
      </c>
      <c r="H58" s="2804" t="s">
        <v>489</v>
      </c>
      <c r="I58" s="1595" t="s">
        <v>490</v>
      </c>
      <c r="J58" s="1595"/>
      <c r="K58" s="1595"/>
      <c r="L58" s="1595"/>
      <c r="M58" s="1386" t="s">
        <v>491</v>
      </c>
      <c r="N58" s="1634" t="s">
        <v>492</v>
      </c>
      <c r="O58" s="1635" t="s">
        <v>493</v>
      </c>
      <c r="P58" s="1634" t="s">
        <v>492</v>
      </c>
      <c r="Q58" s="1634" t="s">
        <v>494</v>
      </c>
      <c r="R58" s="2805" t="s">
        <v>495</v>
      </c>
      <c r="S58" s="1052" t="s">
        <v>496</v>
      </c>
      <c r="T58" s="2608" t="s">
        <v>497</v>
      </c>
      <c r="U58" s="2607"/>
      <c r="V58" s="2607"/>
      <c r="W58" s="2607"/>
      <c r="X58" s="2607"/>
      <c r="Y58" s="2608" t="s">
        <v>498</v>
      </c>
      <c r="Z58" s="2607"/>
      <c r="AA58" s="2608" t="s">
        <v>499</v>
      </c>
      <c r="AB58" s="2607"/>
      <c r="AC58" s="2607"/>
      <c r="AD58" s="2607"/>
      <c r="AE58" s="2609"/>
    </row>
    <row r="59" spans="1:31" ht="18" x14ac:dyDescent="0.3">
      <c r="A59" s="2799"/>
      <c r="B59" s="2799"/>
      <c r="C59" s="2799"/>
      <c r="D59" s="2799"/>
      <c r="E59" s="2799"/>
      <c r="F59" s="2800"/>
      <c r="G59" s="2799"/>
      <c r="H59" s="2799"/>
      <c r="I59" s="1595" t="s">
        <v>500</v>
      </c>
      <c r="J59" s="1595" t="s">
        <v>501</v>
      </c>
      <c r="K59" s="1595" t="s">
        <v>502</v>
      </c>
      <c r="L59" s="1595" t="s">
        <v>503</v>
      </c>
      <c r="M59" s="1381" t="s">
        <v>504</v>
      </c>
      <c r="N59" s="1596" t="s">
        <v>505</v>
      </c>
      <c r="O59" s="1589" t="s">
        <v>506</v>
      </c>
      <c r="P59" s="1596" t="s">
        <v>507</v>
      </c>
      <c r="Q59" s="1596" t="s">
        <v>507</v>
      </c>
      <c r="R59" s="2806"/>
      <c r="S59" s="1052" t="s">
        <v>508</v>
      </c>
      <c r="T59" s="2787"/>
      <c r="U59" s="2788"/>
      <c r="V59" s="2788"/>
      <c r="W59" s="2788"/>
      <c r="X59" s="2788"/>
      <c r="Y59" s="2787"/>
      <c r="Z59" s="2788"/>
      <c r="AA59" s="2787"/>
      <c r="AB59" s="2788"/>
      <c r="AC59" s="2788"/>
      <c r="AD59" s="2788"/>
      <c r="AE59" s="2789"/>
    </row>
    <row r="60" spans="1:31" ht="18" x14ac:dyDescent="0.35">
      <c r="A60" s="2476" t="s">
        <v>540</v>
      </c>
      <c r="B60" s="2477"/>
      <c r="C60" s="2477"/>
      <c r="D60" s="2477"/>
      <c r="E60" s="2477"/>
      <c r="F60" s="2477"/>
      <c r="G60" s="2477"/>
      <c r="H60" s="2477"/>
      <c r="I60" s="2477"/>
      <c r="J60" s="2477"/>
      <c r="K60" s="2477"/>
      <c r="L60" s="2477"/>
      <c r="M60" s="2477"/>
      <c r="N60" s="2477"/>
      <c r="O60" s="2477"/>
      <c r="P60" s="2477"/>
      <c r="Q60" s="2477"/>
      <c r="R60" s="2477"/>
      <c r="S60" s="1577"/>
      <c r="T60" s="1553" t="s">
        <v>510</v>
      </c>
      <c r="U60" s="1554" t="s">
        <v>11</v>
      </c>
      <c r="V60" s="1554" t="s">
        <v>511</v>
      </c>
      <c r="W60" s="1554" t="s">
        <v>512</v>
      </c>
      <c r="X60" s="1578" t="s">
        <v>513</v>
      </c>
      <c r="Y60" s="1553" t="s">
        <v>514</v>
      </c>
      <c r="Z60" s="1578" t="s">
        <v>515</v>
      </c>
      <c r="AA60" s="1553" t="s">
        <v>9</v>
      </c>
      <c r="AB60" s="1554" t="s">
        <v>10</v>
      </c>
      <c r="AC60" s="1554" t="s">
        <v>226</v>
      </c>
      <c r="AD60" s="1554" t="s">
        <v>206</v>
      </c>
      <c r="AE60" s="1578" t="s">
        <v>5</v>
      </c>
    </row>
    <row r="61" spans="1:31" x14ac:dyDescent="0.3">
      <c r="A61" s="154"/>
      <c r="B61" s="462"/>
      <c r="C61" s="462"/>
      <c r="D61" s="462"/>
      <c r="E61" s="462"/>
      <c r="F61" s="463"/>
      <c r="G61" s="462"/>
      <c r="H61" s="462"/>
      <c r="I61" s="465"/>
      <c r="J61" s="465"/>
      <c r="K61" s="465"/>
      <c r="L61" s="465"/>
      <c r="M61" s="462"/>
      <c r="N61" s="468"/>
      <c r="O61" s="469"/>
      <c r="P61" s="468"/>
      <c r="Q61" s="468"/>
      <c r="R61" s="501"/>
      <c r="S61" s="166"/>
      <c r="T61" s="188"/>
      <c r="X61" s="286"/>
      <c r="Y61" s="188"/>
      <c r="Z61" s="286"/>
      <c r="AA61" s="464"/>
      <c r="AB61" s="465"/>
      <c r="AC61" s="465"/>
      <c r="AD61" s="465"/>
      <c r="AE61" s="466"/>
    </row>
    <row r="62" spans="1:31" x14ac:dyDescent="0.3">
      <c r="A62" s="157"/>
      <c r="B62" s="157"/>
      <c r="C62" s="157"/>
      <c r="D62" s="157"/>
      <c r="E62" s="157"/>
      <c r="F62" s="158"/>
      <c r="G62" s="157"/>
      <c r="H62" s="157"/>
      <c r="I62" s="188"/>
      <c r="L62" s="286"/>
      <c r="M62" s="163"/>
      <c r="N62" s="164"/>
      <c r="O62" s="165"/>
      <c r="P62" s="164"/>
      <c r="Q62" s="164"/>
      <c r="R62" s="1046"/>
      <c r="S62" s="164"/>
      <c r="T62" s="394"/>
      <c r="U62" s="169"/>
      <c r="V62" s="169"/>
      <c r="W62" s="169"/>
      <c r="X62" s="395"/>
      <c r="Y62" s="394"/>
      <c r="Z62" s="395"/>
      <c r="AA62" s="188"/>
      <c r="AE62" s="286"/>
    </row>
    <row r="63" spans="1:31" x14ac:dyDescent="0.3">
      <c r="A63" s="157" t="s">
        <v>1059</v>
      </c>
      <c r="B63" s="157" t="s">
        <v>215</v>
      </c>
      <c r="C63" s="157" t="s">
        <v>1037</v>
      </c>
      <c r="D63" s="157" t="s">
        <v>166</v>
      </c>
      <c r="E63" s="157" t="s">
        <v>520</v>
      </c>
      <c r="F63" s="158" t="s">
        <v>552</v>
      </c>
      <c r="G63" s="157">
        <v>13</v>
      </c>
      <c r="H63" s="157" t="s">
        <v>63</v>
      </c>
      <c r="I63" s="188"/>
      <c r="K63" s="176">
        <v>13</v>
      </c>
      <c r="L63" s="177"/>
      <c r="M63" s="163">
        <v>1</v>
      </c>
      <c r="N63" s="166">
        <v>4600</v>
      </c>
      <c r="O63" s="173">
        <v>0.3</v>
      </c>
      <c r="P63" s="166">
        <f t="shared" ref="P63" si="12">N63*(1-O63)</f>
        <v>3220</v>
      </c>
      <c r="Q63" s="166">
        <f t="shared" ref="Q63:Q72" si="13">P63*M63*G63</f>
        <v>41860</v>
      </c>
      <c r="R63" s="184">
        <f t="shared" ref="R63:R72" si="14">Q63/$Q$77</f>
        <v>0.22560728339041586</v>
      </c>
      <c r="S63" s="503">
        <f>Q63*2</f>
        <v>83720</v>
      </c>
      <c r="T63" s="394">
        <f t="shared" ref="T63:T67" si="15">S63</f>
        <v>83720</v>
      </c>
      <c r="X63" s="286"/>
      <c r="Y63" s="394">
        <f>S63</f>
        <v>83720</v>
      </c>
      <c r="Z63" s="395"/>
      <c r="AA63" s="394">
        <f>S63</f>
        <v>83720</v>
      </c>
      <c r="AE63" s="286"/>
    </row>
    <row r="64" spans="1:31" x14ac:dyDescent="0.3">
      <c r="A64" s="157" t="s">
        <v>1059</v>
      </c>
      <c r="B64" s="157" t="s">
        <v>215</v>
      </c>
      <c r="C64" s="157" t="s">
        <v>1037</v>
      </c>
      <c r="D64" s="157" t="s">
        <v>102</v>
      </c>
      <c r="E64" s="157" t="s">
        <v>518</v>
      </c>
      <c r="F64" s="158" t="s">
        <v>541</v>
      </c>
      <c r="G64" s="157">
        <v>1</v>
      </c>
      <c r="H64" s="157" t="s">
        <v>24</v>
      </c>
      <c r="I64" s="182">
        <v>1</v>
      </c>
      <c r="J64" s="183"/>
      <c r="K64" s="183"/>
      <c r="L64" s="2239"/>
      <c r="M64" s="163">
        <v>1</v>
      </c>
      <c r="N64" s="166">
        <v>13100</v>
      </c>
      <c r="O64" s="173">
        <v>0.3</v>
      </c>
      <c r="P64" s="166">
        <f>N64*(1-O64)</f>
        <v>9170</v>
      </c>
      <c r="Q64" s="166">
        <f t="shared" si="13"/>
        <v>9170</v>
      </c>
      <c r="R64" s="167">
        <f t="shared" si="14"/>
        <v>4.9422331311278385E-2</v>
      </c>
      <c r="S64" s="503">
        <f t="shared" ref="S64:S72" si="16">Q64*2</f>
        <v>18340</v>
      </c>
      <c r="T64" s="394">
        <f t="shared" si="15"/>
        <v>18340</v>
      </c>
      <c r="X64" s="286"/>
      <c r="Y64" s="394"/>
      <c r="Z64" s="395">
        <f>S64</f>
        <v>18340</v>
      </c>
      <c r="AA64" s="394">
        <f t="shared" ref="AA64:AA65" si="17">S64</f>
        <v>18340</v>
      </c>
      <c r="AE64" s="286"/>
    </row>
    <row r="65" spans="1:31" x14ac:dyDescent="0.3">
      <c r="A65" s="157" t="s">
        <v>1059</v>
      </c>
      <c r="B65" s="157" t="s">
        <v>215</v>
      </c>
      <c r="C65" s="157" t="s">
        <v>1037</v>
      </c>
      <c r="D65" s="157" t="s">
        <v>26</v>
      </c>
      <c r="E65" s="157" t="s">
        <v>520</v>
      </c>
      <c r="F65" s="158" t="s">
        <v>551</v>
      </c>
      <c r="G65" s="157">
        <v>1</v>
      </c>
      <c r="H65" s="157" t="s">
        <v>63</v>
      </c>
      <c r="I65" s="182">
        <v>1</v>
      </c>
      <c r="J65" s="183"/>
      <c r="K65" s="183"/>
      <c r="L65" s="2239"/>
      <c r="M65" s="163">
        <v>1</v>
      </c>
      <c r="N65" s="166">
        <v>13400</v>
      </c>
      <c r="O65" s="173">
        <v>0.3</v>
      </c>
      <c r="P65" s="166">
        <f t="shared" ref="P65:P72" si="18">N65*(1-O65)</f>
        <v>9380</v>
      </c>
      <c r="Q65" s="166">
        <f t="shared" si="13"/>
        <v>9380</v>
      </c>
      <c r="R65" s="184">
        <f t="shared" si="14"/>
        <v>5.055414042527713E-2</v>
      </c>
      <c r="S65" s="503">
        <f t="shared" si="16"/>
        <v>18760</v>
      </c>
      <c r="T65" s="394">
        <f t="shared" si="15"/>
        <v>18760</v>
      </c>
      <c r="X65" s="286"/>
      <c r="Y65" s="394">
        <f>S65</f>
        <v>18760</v>
      </c>
      <c r="Z65" s="395"/>
      <c r="AA65" s="394">
        <f t="shared" si="17"/>
        <v>18760</v>
      </c>
      <c r="AE65" s="286"/>
    </row>
    <row r="66" spans="1:31" x14ac:dyDescent="0.3">
      <c r="A66" s="157" t="s">
        <v>1059</v>
      </c>
      <c r="B66" s="157" t="s">
        <v>216</v>
      </c>
      <c r="C66" s="157" t="s">
        <v>1037</v>
      </c>
      <c r="D66" s="157" t="s">
        <v>102</v>
      </c>
      <c r="E66" s="157" t="s">
        <v>518</v>
      </c>
      <c r="F66" s="158" t="s">
        <v>541</v>
      </c>
      <c r="G66" s="157">
        <v>4</v>
      </c>
      <c r="H66" s="157" t="s">
        <v>63</v>
      </c>
      <c r="I66" s="182">
        <v>4</v>
      </c>
      <c r="J66" s="183"/>
      <c r="K66" s="183"/>
      <c r="L66" s="2239"/>
      <c r="M66" s="163">
        <v>1</v>
      </c>
      <c r="N66" s="166">
        <v>47500</v>
      </c>
      <c r="O66" s="173">
        <v>0.92</v>
      </c>
      <c r="P66" s="166">
        <f t="shared" si="18"/>
        <v>3799.9999999999982</v>
      </c>
      <c r="Q66" s="166">
        <f t="shared" si="13"/>
        <v>15199.999999999993</v>
      </c>
      <c r="R66" s="167">
        <f t="shared" si="14"/>
        <v>8.1921421584670792E-2</v>
      </c>
      <c r="S66" s="503">
        <f t="shared" si="16"/>
        <v>30399.999999999985</v>
      </c>
      <c r="T66" s="394">
        <f t="shared" si="15"/>
        <v>30399.999999999985</v>
      </c>
      <c r="X66" s="286"/>
      <c r="Y66" s="394"/>
      <c r="Z66" s="395">
        <f>S66</f>
        <v>30399.999999999985</v>
      </c>
      <c r="AA66" s="188"/>
      <c r="AB66" s="169">
        <f>S66</f>
        <v>30399.999999999985</v>
      </c>
      <c r="AE66" s="286"/>
    </row>
    <row r="67" spans="1:31" x14ac:dyDescent="0.3">
      <c r="A67" s="157" t="s">
        <v>1059</v>
      </c>
      <c r="B67" s="157" t="s">
        <v>216</v>
      </c>
      <c r="C67" s="157" t="s">
        <v>1037</v>
      </c>
      <c r="D67" s="157" t="s">
        <v>166</v>
      </c>
      <c r="E67" s="157" t="s">
        <v>520</v>
      </c>
      <c r="F67" s="158" t="s">
        <v>552</v>
      </c>
      <c r="G67" s="157">
        <v>13</v>
      </c>
      <c r="H67" s="157" t="s">
        <v>63</v>
      </c>
      <c r="I67" s="175">
        <v>13</v>
      </c>
      <c r="J67" s="688"/>
      <c r="L67" s="286"/>
      <c r="M67" s="163">
        <v>1</v>
      </c>
      <c r="N67" s="166">
        <v>7500</v>
      </c>
      <c r="O67" s="173">
        <v>0.8</v>
      </c>
      <c r="P67" s="166">
        <f t="shared" si="18"/>
        <v>1499.9999999999998</v>
      </c>
      <c r="Q67" s="166">
        <f t="shared" si="13"/>
        <v>19499.999999999996</v>
      </c>
      <c r="R67" s="184">
        <f t="shared" si="14"/>
        <v>0.10509656058559742</v>
      </c>
      <c r="S67" s="503">
        <f t="shared" si="16"/>
        <v>38999.999999999993</v>
      </c>
      <c r="T67" s="394">
        <f t="shared" si="15"/>
        <v>38999.999999999993</v>
      </c>
      <c r="X67" s="286"/>
      <c r="Y67" s="394">
        <f>S67</f>
        <v>38999.999999999993</v>
      </c>
      <c r="Z67" s="395"/>
      <c r="AA67" s="188"/>
      <c r="AB67" s="169">
        <f t="shared" ref="AB67:AB68" si="19">S67</f>
        <v>38999.999999999993</v>
      </c>
      <c r="AE67" s="286"/>
    </row>
    <row r="68" spans="1:31" x14ac:dyDescent="0.3">
      <c r="A68" s="157" t="s">
        <v>1059</v>
      </c>
      <c r="B68" s="157" t="s">
        <v>216</v>
      </c>
      <c r="C68" s="157" t="s">
        <v>1037</v>
      </c>
      <c r="D68" s="157" t="s">
        <v>26</v>
      </c>
      <c r="E68" s="157" t="s">
        <v>520</v>
      </c>
      <c r="F68" s="158" t="s">
        <v>551</v>
      </c>
      <c r="G68" s="157">
        <v>1</v>
      </c>
      <c r="H68" s="157" t="s">
        <v>24</v>
      </c>
      <c r="I68" s="182">
        <v>1</v>
      </c>
      <c r="J68" s="183"/>
      <c r="K68" s="183"/>
      <c r="L68" s="2239"/>
      <c r="M68" s="163">
        <v>1</v>
      </c>
      <c r="N68" s="166">
        <v>30000</v>
      </c>
      <c r="O68" s="173">
        <v>0.8</v>
      </c>
      <c r="P68" s="166">
        <f t="shared" si="18"/>
        <v>5999.9999999999991</v>
      </c>
      <c r="Q68" s="166">
        <f t="shared" si="13"/>
        <v>5999.9999999999991</v>
      </c>
      <c r="R68" s="184">
        <f t="shared" si="14"/>
        <v>3.2337403257106899E-2</v>
      </c>
      <c r="S68" s="503">
        <f t="shared" si="16"/>
        <v>11999.999999999998</v>
      </c>
      <c r="T68" s="394">
        <f>S68</f>
        <v>11999.999999999998</v>
      </c>
      <c r="U68" s="169"/>
      <c r="X68" s="286"/>
      <c r="Y68" s="394">
        <f>S68</f>
        <v>11999.999999999998</v>
      </c>
      <c r="Z68" s="286"/>
      <c r="AA68" s="188"/>
      <c r="AB68" s="169">
        <f t="shared" si="19"/>
        <v>11999.999999999998</v>
      </c>
      <c r="AE68" s="286"/>
    </row>
    <row r="69" spans="1:31" x14ac:dyDescent="0.3">
      <c r="A69" s="157" t="s">
        <v>1059</v>
      </c>
      <c r="B69" s="157" t="s">
        <v>227</v>
      </c>
      <c r="C69" s="157" t="s">
        <v>1037</v>
      </c>
      <c r="D69" s="157" t="s">
        <v>102</v>
      </c>
      <c r="E69" s="157" t="s">
        <v>518</v>
      </c>
      <c r="F69" s="158" t="s">
        <v>541</v>
      </c>
      <c r="G69" s="157">
        <v>3</v>
      </c>
      <c r="H69" s="157" t="s">
        <v>22</v>
      </c>
      <c r="I69" s="182">
        <v>3</v>
      </c>
      <c r="K69" s="183">
        <v>3</v>
      </c>
      <c r="L69" s="286"/>
      <c r="M69" s="163">
        <v>2</v>
      </c>
      <c r="N69" s="166">
        <v>8132.89</v>
      </c>
      <c r="O69" s="173">
        <v>0.72</v>
      </c>
      <c r="P69" s="166">
        <f t="shared" si="18"/>
        <v>2277.2092000000002</v>
      </c>
      <c r="Q69" s="166">
        <f t="shared" si="13"/>
        <v>13663.255200000001</v>
      </c>
      <c r="R69" s="167">
        <f t="shared" si="14"/>
        <v>7.3639032201193819E-2</v>
      </c>
      <c r="S69" s="503">
        <f t="shared" si="16"/>
        <v>27326.510400000003</v>
      </c>
      <c r="T69" s="394">
        <f>S69</f>
        <v>27326.510400000003</v>
      </c>
      <c r="X69" s="286"/>
      <c r="Y69" s="394"/>
      <c r="Z69" s="395">
        <f>S69</f>
        <v>27326.510400000003</v>
      </c>
      <c r="AA69" s="188"/>
      <c r="AC69" s="169">
        <f>S69</f>
        <v>27326.510400000003</v>
      </c>
      <c r="AE69" s="286"/>
    </row>
    <row r="70" spans="1:31" x14ac:dyDescent="0.3">
      <c r="A70" s="157" t="s">
        <v>1059</v>
      </c>
      <c r="B70" s="157" t="s">
        <v>210</v>
      </c>
      <c r="C70" s="157" t="s">
        <v>1037</v>
      </c>
      <c r="D70" s="157" t="s">
        <v>102</v>
      </c>
      <c r="E70" s="157" t="s">
        <v>518</v>
      </c>
      <c r="F70" s="158" t="s">
        <v>541</v>
      </c>
      <c r="G70" s="157">
        <v>2</v>
      </c>
      <c r="H70" s="157" t="s">
        <v>147</v>
      </c>
      <c r="I70" s="175">
        <v>2</v>
      </c>
      <c r="J70" s="176"/>
      <c r="L70" s="286"/>
      <c r="M70" s="163">
        <v>1</v>
      </c>
      <c r="N70" s="166">
        <v>5463</v>
      </c>
      <c r="O70" s="173">
        <v>0.6</v>
      </c>
      <c r="P70" s="166">
        <f t="shared" si="18"/>
        <v>2185.2000000000003</v>
      </c>
      <c r="Q70" s="166">
        <f t="shared" si="13"/>
        <v>4370.4000000000005</v>
      </c>
      <c r="R70" s="167">
        <f t="shared" si="14"/>
        <v>2.3554564532476674E-2</v>
      </c>
      <c r="S70" s="503">
        <f t="shared" si="16"/>
        <v>8740.8000000000011</v>
      </c>
      <c r="T70" s="394">
        <f>S70</f>
        <v>8740.8000000000011</v>
      </c>
      <c r="U70" s="169"/>
      <c r="X70" s="286"/>
      <c r="Y70" s="394"/>
      <c r="Z70" s="395">
        <f>S70</f>
        <v>8740.8000000000011</v>
      </c>
      <c r="AA70" s="188"/>
      <c r="AD70" s="169">
        <f>S70</f>
        <v>8740.8000000000011</v>
      </c>
      <c r="AE70" s="286"/>
    </row>
    <row r="71" spans="1:31" x14ac:dyDescent="0.3">
      <c r="A71" s="157" t="s">
        <v>1059</v>
      </c>
      <c r="B71" s="157" t="s">
        <v>216</v>
      </c>
      <c r="C71" s="157" t="s">
        <v>1041</v>
      </c>
      <c r="D71" s="157" t="s">
        <v>180</v>
      </c>
      <c r="E71" s="157" t="s">
        <v>520</v>
      </c>
      <c r="F71" s="158" t="s">
        <v>698</v>
      </c>
      <c r="G71" s="157">
        <v>15</v>
      </c>
      <c r="H71" s="157" t="s">
        <v>24</v>
      </c>
      <c r="I71" s="182">
        <v>15</v>
      </c>
      <c r="J71" s="183"/>
      <c r="K71" s="183"/>
      <c r="L71" s="2239"/>
      <c r="M71" s="163">
        <v>1</v>
      </c>
      <c r="N71" s="166">
        <v>9000</v>
      </c>
      <c r="O71" s="173">
        <v>0.8</v>
      </c>
      <c r="P71" s="166">
        <f t="shared" si="18"/>
        <v>1799.9999999999995</v>
      </c>
      <c r="Q71" s="166">
        <f t="shared" si="13"/>
        <v>26999.999999999993</v>
      </c>
      <c r="R71" s="184">
        <f t="shared" si="14"/>
        <v>0.14551831465698103</v>
      </c>
      <c r="S71" s="503">
        <f t="shared" si="16"/>
        <v>53999.999999999985</v>
      </c>
      <c r="T71" s="394"/>
      <c r="V71" s="169">
        <f>S71</f>
        <v>53999.999999999985</v>
      </c>
      <c r="X71" s="286"/>
      <c r="Y71" s="394">
        <f>S71</f>
        <v>53999.999999999985</v>
      </c>
      <c r="Z71" s="286"/>
      <c r="AA71" s="188"/>
      <c r="AB71" s="169">
        <f>S71</f>
        <v>53999.999999999985</v>
      </c>
      <c r="AE71" s="286"/>
    </row>
    <row r="72" spans="1:31" x14ac:dyDescent="0.3">
      <c r="A72" s="157" t="s">
        <v>1059</v>
      </c>
      <c r="B72" s="157" t="s">
        <v>220</v>
      </c>
      <c r="C72" s="157" t="s">
        <v>1037</v>
      </c>
      <c r="D72" s="157" t="s">
        <v>228</v>
      </c>
      <c r="E72" s="157" t="s">
        <v>520</v>
      </c>
      <c r="F72" s="158" t="s">
        <v>229</v>
      </c>
      <c r="G72" s="157">
        <v>1</v>
      </c>
      <c r="H72" s="157" t="s">
        <v>24</v>
      </c>
      <c r="I72" s="182">
        <v>5</v>
      </c>
      <c r="J72" s="183"/>
      <c r="K72" s="183"/>
      <c r="L72" s="2239"/>
      <c r="M72" s="163">
        <v>1</v>
      </c>
      <c r="N72" s="166">
        <v>25500</v>
      </c>
      <c r="O72" s="173">
        <v>0.2</v>
      </c>
      <c r="P72" s="166">
        <f t="shared" si="18"/>
        <v>20400</v>
      </c>
      <c r="Q72" s="166">
        <f t="shared" si="13"/>
        <v>20400</v>
      </c>
      <c r="R72" s="178">
        <f t="shared" si="14"/>
        <v>0.10994717107416348</v>
      </c>
      <c r="S72" s="503">
        <f t="shared" si="16"/>
        <v>40800</v>
      </c>
      <c r="T72" s="188"/>
      <c r="V72" s="169">
        <f>S72</f>
        <v>40800</v>
      </c>
      <c r="X72" s="286"/>
      <c r="Y72" s="206">
        <f>S72</f>
        <v>40800</v>
      </c>
      <c r="Z72" s="286"/>
      <c r="AA72" s="188"/>
      <c r="AE72" s="395">
        <f>S72</f>
        <v>40800</v>
      </c>
    </row>
    <row r="73" spans="1:31" x14ac:dyDescent="0.3">
      <c r="A73" s="172"/>
      <c r="B73" s="157"/>
      <c r="C73" s="157"/>
      <c r="D73" s="157"/>
      <c r="E73" s="157"/>
      <c r="F73" s="157"/>
      <c r="G73" s="157"/>
      <c r="H73" s="157"/>
      <c r="I73" s="192"/>
      <c r="J73" s="193"/>
      <c r="K73" s="193"/>
      <c r="L73" s="630"/>
      <c r="M73" s="157"/>
      <c r="N73" s="157"/>
      <c r="O73" s="157"/>
      <c r="P73" s="186"/>
      <c r="Q73" s="166"/>
      <c r="R73" s="393"/>
      <c r="S73" s="503"/>
      <c r="T73" s="188"/>
      <c r="X73" s="286"/>
      <c r="Y73" s="188"/>
      <c r="Z73" s="286"/>
      <c r="AA73" s="188"/>
      <c r="AE73" s="286"/>
    </row>
    <row r="74" spans="1:31" x14ac:dyDescent="0.3">
      <c r="A74" s="108" t="s">
        <v>1059</v>
      </c>
      <c r="B74" s="108" t="s">
        <v>528</v>
      </c>
      <c r="C74" s="289"/>
      <c r="D74" s="252"/>
      <c r="E74" s="252"/>
      <c r="F74" s="253"/>
      <c r="G74" s="252"/>
      <c r="H74" s="252"/>
      <c r="I74" s="254"/>
      <c r="J74" s="254"/>
      <c r="K74" s="254"/>
      <c r="L74" s="254"/>
      <c r="M74" s="252"/>
      <c r="N74" s="255"/>
      <c r="O74" s="256"/>
      <c r="P74" s="290"/>
      <c r="Q74" s="257"/>
      <c r="R74" s="291"/>
      <c r="S74" s="503"/>
      <c r="T74" s="188"/>
      <c r="W74" s="169">
        <f>S74</f>
        <v>0</v>
      </c>
      <c r="X74" s="286"/>
      <c r="Y74" s="188"/>
      <c r="Z74" s="286"/>
      <c r="AA74" s="188"/>
      <c r="AE74" s="286"/>
    </row>
    <row r="75" spans="1:31" x14ac:dyDescent="0.3">
      <c r="A75" s="108" t="s">
        <v>1059</v>
      </c>
      <c r="B75" s="108" t="s">
        <v>529</v>
      </c>
      <c r="C75" s="289"/>
      <c r="D75" s="252"/>
      <c r="E75" s="252"/>
      <c r="F75" s="253"/>
      <c r="G75" s="252"/>
      <c r="H75" s="252"/>
      <c r="I75" s="254"/>
      <c r="J75" s="254"/>
      <c r="K75" s="254"/>
      <c r="L75" s="254"/>
      <c r="M75" s="252"/>
      <c r="N75" s="255"/>
      <c r="O75" s="256"/>
      <c r="P75" s="290"/>
      <c r="Q75" s="257">
        <v>19000</v>
      </c>
      <c r="R75" s="291">
        <f>Q75/Q77</f>
        <v>0.10240177698083854</v>
      </c>
      <c r="S75" s="503">
        <f>Q75*2</f>
        <v>38000</v>
      </c>
      <c r="T75" s="188"/>
      <c r="X75" s="395">
        <f>S75</f>
        <v>38000</v>
      </c>
      <c r="Y75" s="188"/>
      <c r="Z75" s="286"/>
      <c r="AA75" s="188"/>
      <c r="AE75" s="286"/>
    </row>
    <row r="76" spans="1:31" x14ac:dyDescent="0.3">
      <c r="I76" s="115">
        <f>I77/M77</f>
        <v>0.73770491803278693</v>
      </c>
      <c r="J76" s="115"/>
      <c r="K76" s="115">
        <f>K77/M77</f>
        <v>0.26229508196721313</v>
      </c>
      <c r="L76" s="115"/>
      <c r="S76" s="166"/>
      <c r="T76" s="188"/>
      <c r="X76" s="286"/>
      <c r="Y76" s="188"/>
      <c r="Z76" s="286"/>
      <c r="AA76" s="243"/>
      <c r="AB76" s="245"/>
      <c r="AC76" s="245"/>
      <c r="AD76" s="245"/>
      <c r="AE76" s="287"/>
    </row>
    <row r="77" spans="1:31" x14ac:dyDescent="0.3">
      <c r="A77" s="840" t="s">
        <v>531</v>
      </c>
      <c r="B77" s="841"/>
      <c r="C77" s="841"/>
      <c r="D77" s="841"/>
      <c r="E77" s="841"/>
      <c r="F77" s="842"/>
      <c r="G77" s="841"/>
      <c r="H77" s="841"/>
      <c r="I77" s="1579">
        <f>I71+I70+I69+I68+I67+I66+I65+I64+I72</f>
        <v>45</v>
      </c>
      <c r="J77" s="1579"/>
      <c r="K77" s="1579">
        <f>K69+K63</f>
        <v>16</v>
      </c>
      <c r="L77" s="1579"/>
      <c r="M77" s="841">
        <f>SUM(I77:L77)</f>
        <v>61</v>
      </c>
      <c r="N77" s="843"/>
      <c r="O77" s="844"/>
      <c r="P77" s="843"/>
      <c r="Q77" s="845">
        <f>SUM(Q62:Q76)</f>
        <v>185543.65519999998</v>
      </c>
      <c r="R77" s="844">
        <f>SUM(R62:R75)</f>
        <v>1.0000000000000002</v>
      </c>
      <c r="S77" s="1580">
        <f>SUM(S62:S76)</f>
        <v>371087.31039999996</v>
      </c>
      <c r="T77" s="1581">
        <f>SUM(T62:T75)</f>
        <v>238287.31039999999</v>
      </c>
      <c r="U77" s="570">
        <f t="shared" ref="U77:AE77" si="20">SUM(U62:U75)</f>
        <v>0</v>
      </c>
      <c r="V77" s="570">
        <f>SUM(V62:V75)</f>
        <v>94799.999999999985</v>
      </c>
      <c r="W77" s="570">
        <f t="shared" si="20"/>
        <v>0</v>
      </c>
      <c r="X77" s="570">
        <f t="shared" si="20"/>
        <v>38000</v>
      </c>
      <c r="Y77" s="1091">
        <f t="shared" si="20"/>
        <v>248280</v>
      </c>
      <c r="Z77" s="1056">
        <f t="shared" si="20"/>
        <v>84807.310399999988</v>
      </c>
      <c r="AA77" s="570">
        <f t="shared" si="20"/>
        <v>120820</v>
      </c>
      <c r="AB77" s="570">
        <f t="shared" si="20"/>
        <v>135399.99999999994</v>
      </c>
      <c r="AC77" s="570">
        <f t="shared" si="20"/>
        <v>27326.510400000003</v>
      </c>
      <c r="AD77" s="570">
        <f t="shared" si="20"/>
        <v>8740.8000000000011</v>
      </c>
      <c r="AE77" s="1056">
        <f t="shared" si="20"/>
        <v>40800</v>
      </c>
    </row>
    <row r="78" spans="1:31" x14ac:dyDescent="0.3">
      <c r="A78" s="840" t="s">
        <v>532</v>
      </c>
      <c r="B78" s="841"/>
      <c r="C78" s="841"/>
      <c r="D78" s="841"/>
      <c r="E78" s="841"/>
      <c r="F78" s="842"/>
      <c r="G78" s="841"/>
      <c r="H78" s="841"/>
      <c r="I78" s="1579">
        <f>I72+I71+I70+I69+I68+I67+I66+I65+I64</f>
        <v>45</v>
      </c>
      <c r="J78" s="1579">
        <f>I72+I71+I70+I68+I67+I66+I65+I64</f>
        <v>42</v>
      </c>
      <c r="K78" s="1579">
        <f>I72+I71+K69+I68+I66+I65+I64+K63</f>
        <v>43</v>
      </c>
      <c r="L78" s="1579">
        <f>I72+I71+I68+I66+I65+I64+K63</f>
        <v>40</v>
      </c>
      <c r="M78" s="841">
        <f>SUM(I78:L78)</f>
        <v>170</v>
      </c>
      <c r="N78" s="843"/>
      <c r="O78" s="844"/>
      <c r="P78" s="843"/>
      <c r="Q78" s="843"/>
      <c r="R78" s="844"/>
      <c r="S78" s="1585"/>
      <c r="T78" s="1586">
        <f>T77/S77</f>
        <v>0.64213273728801701</v>
      </c>
      <c r="U78" s="1587">
        <f>U77/S77</f>
        <v>0</v>
      </c>
      <c r="V78" s="1588">
        <f>V77/S77</f>
        <v>0.25546548573114453</v>
      </c>
      <c r="W78" s="1587">
        <f>W77/S77</f>
        <v>0</v>
      </c>
      <c r="X78" s="1587">
        <f>X77/S77</f>
        <v>0.10240177698083854</v>
      </c>
      <c r="Y78" s="1589">
        <f>Y77/S77</f>
        <v>0.6690608733895419</v>
      </c>
      <c r="Z78" s="1590">
        <f>Z77/S77</f>
        <v>0.22853734962961966</v>
      </c>
      <c r="AA78" s="1636"/>
      <c r="AB78" s="1592"/>
      <c r="AC78" s="1592"/>
      <c r="AD78" s="1592"/>
      <c r="AE78" s="1593"/>
    </row>
    <row r="79" spans="1:31" x14ac:dyDescent="0.3">
      <c r="A79" s="251" t="s">
        <v>533</v>
      </c>
      <c r="B79" s="252"/>
      <c r="C79" s="252"/>
      <c r="D79" s="252"/>
      <c r="E79" s="252"/>
      <c r="F79" s="253"/>
      <c r="G79" s="252"/>
      <c r="H79" s="252"/>
      <c r="I79" s="2188">
        <f>I78/$M$78</f>
        <v>0.26470588235294118</v>
      </c>
      <c r="J79" s="2188">
        <f t="shared" ref="J79:L79" si="21">J78/$M$78</f>
        <v>0.24705882352941178</v>
      </c>
      <c r="K79" s="2188">
        <f t="shared" si="21"/>
        <v>0.25294117647058822</v>
      </c>
      <c r="L79" s="2188">
        <f t="shared" si="21"/>
        <v>0.23529411764705882</v>
      </c>
      <c r="M79" s="252"/>
      <c r="N79" s="255"/>
      <c r="O79" s="256"/>
      <c r="P79" s="255"/>
      <c r="Q79" s="257">
        <f>T77/2</f>
        <v>119143.65519999999</v>
      </c>
      <c r="R79" s="262">
        <f>Q79/Q83</f>
        <v>0.64213273728801701</v>
      </c>
      <c r="X79" s="248"/>
      <c r="Y79" s="357">
        <f>K63+I65+I67+I68+I71+I72</f>
        <v>48</v>
      </c>
      <c r="Z79" s="358">
        <f>I64+I66+I69+K69+I70</f>
        <v>13</v>
      </c>
      <c r="AA79" s="4"/>
    </row>
    <row r="80" spans="1:31" x14ac:dyDescent="0.3">
      <c r="A80" s="251" t="s">
        <v>11</v>
      </c>
      <c r="B80" s="252"/>
      <c r="C80" s="252"/>
      <c r="D80" s="252"/>
      <c r="E80" s="252"/>
      <c r="F80" s="253"/>
      <c r="G80" s="252"/>
      <c r="H80" s="252"/>
      <c r="I80" s="254"/>
      <c r="J80" s="254"/>
      <c r="K80" s="254"/>
      <c r="L80" s="254"/>
      <c r="M80" s="252"/>
      <c r="N80" s="255"/>
      <c r="O80" s="256"/>
      <c r="P80" s="255"/>
      <c r="Q80" s="257">
        <f>U77/2</f>
        <v>0</v>
      </c>
      <c r="R80" s="262">
        <f>Q80/Q83</f>
        <v>0</v>
      </c>
      <c r="S80" s="1050">
        <f>Q77/M77</f>
        <v>3041.6992655737699</v>
      </c>
      <c r="T80" s="1051" t="s">
        <v>535</v>
      </c>
      <c r="X80" s="263"/>
      <c r="Y80" s="195">
        <f>Y79/M77</f>
        <v>0.78688524590163933</v>
      </c>
      <c r="Z80" s="247">
        <f>Z79/M77</f>
        <v>0.21311475409836064</v>
      </c>
    </row>
    <row r="81" spans="1:31" x14ac:dyDescent="0.3">
      <c r="A81" s="251" t="s">
        <v>536</v>
      </c>
      <c r="B81" s="252"/>
      <c r="C81" s="252"/>
      <c r="D81" s="252"/>
      <c r="E81" s="252"/>
      <c r="F81" s="253"/>
      <c r="G81" s="252"/>
      <c r="H81" s="252"/>
      <c r="I81" s="254"/>
      <c r="J81" s="254"/>
      <c r="K81" s="254"/>
      <c r="L81" s="254"/>
      <c r="M81" s="252"/>
      <c r="N81" s="255"/>
      <c r="O81" s="256"/>
      <c r="P81" s="255"/>
      <c r="Q81" s="257">
        <f>V77/2</f>
        <v>47399.999999999993</v>
      </c>
      <c r="R81" s="262">
        <f>Q81/Q77</f>
        <v>0.25546548573114453</v>
      </c>
      <c r="W81" s="99"/>
      <c r="Y81" s="2551" t="s">
        <v>537</v>
      </c>
      <c r="Z81" s="2551"/>
    </row>
    <row r="82" spans="1:31" x14ac:dyDescent="0.3">
      <c r="A82" s="251" t="s">
        <v>529</v>
      </c>
      <c r="B82" s="252"/>
      <c r="C82" s="252"/>
      <c r="D82" s="252"/>
      <c r="E82" s="252"/>
      <c r="F82" s="253"/>
      <c r="G82" s="252"/>
      <c r="H82" s="252"/>
      <c r="I82" s="254"/>
      <c r="J82" s="254"/>
      <c r="K82" s="254"/>
      <c r="L82" s="254"/>
      <c r="M82" s="252"/>
      <c r="N82" s="255"/>
      <c r="O82" s="256"/>
      <c r="P82" s="255"/>
      <c r="Q82" s="257">
        <f>Q75</f>
        <v>19000</v>
      </c>
      <c r="R82" s="262">
        <f>Q82/Q83</f>
        <v>0.10240177698083854</v>
      </c>
    </row>
    <row r="83" spans="1:31" x14ac:dyDescent="0.3">
      <c r="A83" s="243"/>
      <c r="B83" s="193"/>
      <c r="C83" s="193"/>
      <c r="D83" s="193"/>
      <c r="E83" s="193"/>
      <c r="F83" s="244"/>
      <c r="G83" s="193"/>
      <c r="H83" s="193"/>
      <c r="I83" s="245"/>
      <c r="J83" s="245"/>
      <c r="K83" s="245"/>
      <c r="L83" s="245"/>
      <c r="M83" s="193"/>
      <c r="N83" s="246"/>
      <c r="O83" s="196"/>
      <c r="P83" s="246"/>
      <c r="Q83" s="194">
        <f>SUM(Q79:Q82)</f>
        <v>185543.65519999998</v>
      </c>
      <c r="R83" s="247">
        <f>SUM(R79:R82)</f>
        <v>1</v>
      </c>
      <c r="S83" s="600"/>
    </row>
    <row r="86" spans="1:31" x14ac:dyDescent="0.3">
      <c r="B86" s="2"/>
      <c r="E86" s="1" t="s">
        <v>543</v>
      </c>
      <c r="F86" s="2" t="s">
        <v>1060</v>
      </c>
      <c r="G86" s="1" t="s">
        <v>545</v>
      </c>
      <c r="H86" s="1"/>
      <c r="I86" s="304">
        <v>0.72</v>
      </c>
      <c r="J86" s="304"/>
    </row>
    <row r="87" spans="1:31" x14ac:dyDescent="0.3">
      <c r="B87" s="2"/>
      <c r="E87" s="1" t="s">
        <v>473</v>
      </c>
      <c r="F87" s="2" t="s">
        <v>917</v>
      </c>
      <c r="G87" s="1" t="s">
        <v>473</v>
      </c>
      <c r="H87" s="1"/>
      <c r="I87" s="1">
        <v>49</v>
      </c>
      <c r="J87" s="1"/>
    </row>
    <row r="88" spans="1:31" x14ac:dyDescent="0.3">
      <c r="B88" s="2"/>
      <c r="E88" s="1" t="s">
        <v>475</v>
      </c>
      <c r="F88" s="2" t="s">
        <v>1061</v>
      </c>
      <c r="G88" s="1" t="s">
        <v>475</v>
      </c>
      <c r="H88" s="1"/>
      <c r="I88" s="95">
        <v>3571</v>
      </c>
      <c r="J88" s="95"/>
    </row>
    <row r="89" spans="1:31" x14ac:dyDescent="0.3">
      <c r="E89" s="1" t="s">
        <v>477</v>
      </c>
      <c r="F89" s="2" t="s">
        <v>1062</v>
      </c>
      <c r="G89" s="1" t="s">
        <v>477</v>
      </c>
      <c r="H89" s="1"/>
      <c r="I89" s="95">
        <v>5990387</v>
      </c>
      <c r="J89" s="95"/>
    </row>
    <row r="91" spans="1:31" ht="18" x14ac:dyDescent="0.35">
      <c r="A91" s="1037" t="s">
        <v>549</v>
      </c>
    </row>
    <row r="92" spans="1:31" ht="18" x14ac:dyDescent="0.35">
      <c r="A92" s="1037"/>
    </row>
    <row r="93" spans="1:31" x14ac:dyDescent="0.3">
      <c r="A93" s="2587" t="s">
        <v>480</v>
      </c>
      <c r="B93" s="2588"/>
      <c r="C93" s="2588"/>
      <c r="D93" s="2588"/>
      <c r="E93" s="2588"/>
      <c r="F93" s="2588"/>
      <c r="G93" s="2588"/>
      <c r="H93" s="2588"/>
      <c r="I93" s="2588"/>
      <c r="J93" s="2588"/>
      <c r="K93" s="2588"/>
      <c r="L93" s="2588"/>
      <c r="M93" s="2588"/>
      <c r="N93" s="2588"/>
      <c r="O93" s="2588"/>
      <c r="P93" s="2588"/>
      <c r="Q93" s="2588"/>
      <c r="R93" s="2589"/>
      <c r="S93" s="2563" t="s">
        <v>584</v>
      </c>
      <c r="T93" s="2564"/>
      <c r="U93" s="2564"/>
      <c r="V93" s="2564"/>
      <c r="W93" s="2564"/>
      <c r="X93" s="2564"/>
      <c r="Y93" s="2564"/>
      <c r="Z93" s="2564"/>
      <c r="AA93" s="2564"/>
      <c r="AB93" s="2564"/>
      <c r="AC93" s="2564"/>
      <c r="AD93" s="2564"/>
      <c r="AE93" s="2576"/>
    </row>
    <row r="94" spans="1:31" ht="18" x14ac:dyDescent="0.3">
      <c r="A94" s="2453" t="s">
        <v>482</v>
      </c>
      <c r="B94" s="2453" t="s">
        <v>483</v>
      </c>
      <c r="C94" s="2453" t="s">
        <v>484</v>
      </c>
      <c r="D94" s="2453" t="s">
        <v>485</v>
      </c>
      <c r="E94" s="2453" t="s">
        <v>486</v>
      </c>
      <c r="F94" s="2451" t="s">
        <v>487</v>
      </c>
      <c r="G94" s="2453" t="s">
        <v>488</v>
      </c>
      <c r="H94" s="2453" t="s">
        <v>489</v>
      </c>
      <c r="I94" s="782" t="s">
        <v>490</v>
      </c>
      <c r="J94" s="782"/>
      <c r="K94" s="782"/>
      <c r="L94" s="782"/>
      <c r="M94" s="783" t="s">
        <v>491</v>
      </c>
      <c r="N94" s="784" t="s">
        <v>492</v>
      </c>
      <c r="O94" s="785" t="s">
        <v>493</v>
      </c>
      <c r="P94" s="784" t="s">
        <v>492</v>
      </c>
      <c r="Q94" s="784" t="s">
        <v>494</v>
      </c>
      <c r="R94" s="2455" t="s">
        <v>495</v>
      </c>
      <c r="S94" s="1394" t="s">
        <v>496</v>
      </c>
      <c r="T94" s="2567" t="s">
        <v>497</v>
      </c>
      <c r="U94" s="2568"/>
      <c r="V94" s="2568"/>
      <c r="W94" s="2568"/>
      <c r="X94" s="2568"/>
      <c r="Y94" s="2567" t="s">
        <v>498</v>
      </c>
      <c r="Z94" s="2568"/>
      <c r="AA94" s="2567" t="s">
        <v>499</v>
      </c>
      <c r="AB94" s="2568"/>
      <c r="AC94" s="2568"/>
      <c r="AD94" s="2568"/>
      <c r="AE94" s="2571"/>
    </row>
    <row r="95" spans="1:31" ht="18" x14ac:dyDescent="0.3">
      <c r="A95" s="2454"/>
      <c r="B95" s="2454"/>
      <c r="C95" s="2454"/>
      <c r="D95" s="2454"/>
      <c r="E95" s="2454"/>
      <c r="F95" s="2452"/>
      <c r="G95" s="2454"/>
      <c r="H95" s="2454"/>
      <c r="I95" s="782" t="s">
        <v>500</v>
      </c>
      <c r="J95" s="782" t="s">
        <v>501</v>
      </c>
      <c r="K95" s="782" t="s">
        <v>502</v>
      </c>
      <c r="L95" s="782" t="s">
        <v>503</v>
      </c>
      <c r="M95" s="786" t="s">
        <v>504</v>
      </c>
      <c r="N95" s="787" t="s">
        <v>505</v>
      </c>
      <c r="O95" s="788" t="s">
        <v>506</v>
      </c>
      <c r="P95" s="787" t="s">
        <v>507</v>
      </c>
      <c r="Q95" s="787" t="s">
        <v>507</v>
      </c>
      <c r="R95" s="2456"/>
      <c r="S95" s="1394" t="s">
        <v>508</v>
      </c>
      <c r="T95" s="2782"/>
      <c r="U95" s="2781"/>
      <c r="V95" s="2781"/>
      <c r="W95" s="2781"/>
      <c r="X95" s="2781"/>
      <c r="Y95" s="2782"/>
      <c r="Z95" s="2781"/>
      <c r="AA95" s="2782"/>
      <c r="AB95" s="2781"/>
      <c r="AC95" s="2781"/>
      <c r="AD95" s="2781"/>
      <c r="AE95" s="2783"/>
    </row>
    <row r="96" spans="1:31" ht="18" x14ac:dyDescent="0.35">
      <c r="A96" s="2449" t="s">
        <v>1026</v>
      </c>
      <c r="B96" s="2450"/>
      <c r="C96" s="2450"/>
      <c r="D96" s="2450"/>
      <c r="E96" s="2450"/>
      <c r="F96" s="2450"/>
      <c r="G96" s="2450"/>
      <c r="H96" s="2450"/>
      <c r="I96" s="2450"/>
      <c r="J96" s="2450"/>
      <c r="K96" s="2450"/>
      <c r="L96" s="2450"/>
      <c r="M96" s="2450"/>
      <c r="N96" s="2450"/>
      <c r="O96" s="2450"/>
      <c r="P96" s="2450"/>
      <c r="Q96" s="2450"/>
      <c r="R96" s="2450"/>
      <c r="S96" s="1577"/>
      <c r="T96" s="1553" t="s">
        <v>510</v>
      </c>
      <c r="U96" s="1554" t="s">
        <v>11</v>
      </c>
      <c r="V96" s="1554" t="s">
        <v>511</v>
      </c>
      <c r="W96" s="1554" t="s">
        <v>512</v>
      </c>
      <c r="X96" s="1578" t="s">
        <v>513</v>
      </c>
      <c r="Y96" s="1553" t="s">
        <v>514</v>
      </c>
      <c r="Z96" s="1578" t="s">
        <v>515</v>
      </c>
      <c r="AA96" s="1553" t="s">
        <v>9</v>
      </c>
      <c r="AB96" s="1554" t="s">
        <v>10</v>
      </c>
      <c r="AC96" s="1554" t="s">
        <v>226</v>
      </c>
      <c r="AD96" s="1554" t="s">
        <v>206</v>
      </c>
      <c r="AE96" s="1578" t="s">
        <v>5</v>
      </c>
    </row>
    <row r="97" spans="1:31" x14ac:dyDescent="0.3">
      <c r="A97" s="154"/>
      <c r="B97" s="462"/>
      <c r="C97" s="462"/>
      <c r="D97" s="462"/>
      <c r="E97" s="462"/>
      <c r="F97" s="463"/>
      <c r="G97" s="462"/>
      <c r="H97" s="462"/>
      <c r="I97" s="465"/>
      <c r="J97" s="465"/>
      <c r="K97" s="465"/>
      <c r="L97" s="465"/>
      <c r="M97" s="462"/>
      <c r="N97" s="468"/>
      <c r="O97" s="469"/>
      <c r="P97" s="468"/>
      <c r="Q97" s="468"/>
      <c r="R97" s="532"/>
      <c r="S97" s="166"/>
      <c r="T97" s="188"/>
      <c r="X97" s="286"/>
      <c r="Y97" s="188"/>
      <c r="Z97" s="286"/>
      <c r="AE97" s="286"/>
    </row>
    <row r="98" spans="1:31" x14ac:dyDescent="0.3">
      <c r="A98" s="157"/>
      <c r="B98" s="157"/>
      <c r="C98" s="157"/>
      <c r="D98" s="157"/>
      <c r="E98" s="157"/>
      <c r="F98" s="158"/>
      <c r="G98" s="157"/>
      <c r="H98" s="157"/>
      <c r="I98" s="188"/>
      <c r="L98" s="286"/>
      <c r="M98" s="163"/>
      <c r="N98" s="164"/>
      <c r="O98" s="165"/>
      <c r="P98" s="164"/>
      <c r="Q98" s="164"/>
      <c r="R98" s="1046"/>
      <c r="S98" s="164"/>
      <c r="T98" s="394"/>
      <c r="U98" s="169"/>
      <c r="V98" s="169"/>
      <c r="W98" s="169"/>
      <c r="X98" s="395"/>
      <c r="Y98" s="394"/>
      <c r="Z98" s="395"/>
      <c r="AE98" s="286"/>
    </row>
    <row r="99" spans="1:31" x14ac:dyDescent="0.3">
      <c r="A99" s="157" t="s">
        <v>1059</v>
      </c>
      <c r="B99" s="157" t="s">
        <v>215</v>
      </c>
      <c r="C99" s="157" t="s">
        <v>1037</v>
      </c>
      <c r="D99" s="157" t="s">
        <v>166</v>
      </c>
      <c r="E99" s="157" t="s">
        <v>520</v>
      </c>
      <c r="F99" s="158" t="s">
        <v>994</v>
      </c>
      <c r="G99" s="157">
        <v>7</v>
      </c>
      <c r="H99" s="157" t="s">
        <v>63</v>
      </c>
      <c r="I99" s="188"/>
      <c r="K99" s="176">
        <v>7</v>
      </c>
      <c r="L99" s="177"/>
      <c r="M99" s="163">
        <v>1</v>
      </c>
      <c r="N99" s="166">
        <v>4600</v>
      </c>
      <c r="O99" s="173">
        <v>0.3</v>
      </c>
      <c r="P99" s="166">
        <f t="shared" ref="P99" si="22">N99*(1-O99)</f>
        <v>3220</v>
      </c>
      <c r="Q99" s="166">
        <f t="shared" ref="Q99:Q107" si="23">P99*M99*G99</f>
        <v>22540</v>
      </c>
      <c r="R99" s="184">
        <f t="shared" ref="R99:R107" si="24">Q99/$Q$112</f>
        <v>0.18697754210916748</v>
      </c>
      <c r="S99" s="503">
        <f>Q99*4</f>
        <v>90160</v>
      </c>
      <c r="T99" s="394">
        <f t="shared" ref="T99:T103" si="25">S99</f>
        <v>90160</v>
      </c>
      <c r="X99" s="286"/>
      <c r="Y99" s="394">
        <f>S99</f>
        <v>90160</v>
      </c>
      <c r="Z99" s="395"/>
      <c r="AA99" s="169">
        <f>S99</f>
        <v>90160</v>
      </c>
      <c r="AE99" s="286"/>
    </row>
    <row r="100" spans="1:31" x14ac:dyDescent="0.3">
      <c r="A100" s="157" t="s">
        <v>1059</v>
      </c>
      <c r="B100" s="157" t="s">
        <v>215</v>
      </c>
      <c r="C100" s="157" t="s">
        <v>1037</v>
      </c>
      <c r="D100" s="157" t="s">
        <v>102</v>
      </c>
      <c r="E100" s="157" t="s">
        <v>518</v>
      </c>
      <c r="F100" s="158" t="s">
        <v>521</v>
      </c>
      <c r="G100" s="157">
        <v>1</v>
      </c>
      <c r="H100" s="157" t="s">
        <v>24</v>
      </c>
      <c r="I100" s="182">
        <v>1</v>
      </c>
      <c r="J100" s="183"/>
      <c r="K100" s="183"/>
      <c r="L100" s="2239"/>
      <c r="M100" s="163">
        <v>1</v>
      </c>
      <c r="N100" s="166">
        <v>13100</v>
      </c>
      <c r="O100" s="173">
        <v>0.3</v>
      </c>
      <c r="P100" s="166">
        <f>N100*(1-O100)</f>
        <v>9170</v>
      </c>
      <c r="Q100" s="166">
        <f t="shared" si="23"/>
        <v>9170</v>
      </c>
      <c r="R100" s="167">
        <f t="shared" si="24"/>
        <v>7.6068503156214093E-2</v>
      </c>
      <c r="S100" s="503">
        <f t="shared" ref="S100:S107" si="26">Q100*4</f>
        <v>36680</v>
      </c>
      <c r="T100" s="394">
        <f t="shared" si="25"/>
        <v>36680</v>
      </c>
      <c r="X100" s="286"/>
      <c r="Y100" s="394"/>
      <c r="Z100" s="395">
        <f>S100</f>
        <v>36680</v>
      </c>
      <c r="AA100" s="169">
        <f>S100</f>
        <v>36680</v>
      </c>
      <c r="AE100" s="286"/>
    </row>
    <row r="101" spans="1:31" x14ac:dyDescent="0.3">
      <c r="A101" s="157" t="s">
        <v>1059</v>
      </c>
      <c r="B101" s="157" t="s">
        <v>215</v>
      </c>
      <c r="C101" s="157" t="s">
        <v>1037</v>
      </c>
      <c r="D101" s="157" t="s">
        <v>26</v>
      </c>
      <c r="E101" s="157" t="s">
        <v>520</v>
      </c>
      <c r="F101" s="158" t="s">
        <v>588</v>
      </c>
      <c r="G101" s="157">
        <v>2</v>
      </c>
      <c r="H101" s="157" t="s">
        <v>63</v>
      </c>
      <c r="I101" s="182">
        <v>2</v>
      </c>
      <c r="J101" s="183"/>
      <c r="K101" s="183"/>
      <c r="L101" s="2239"/>
      <c r="M101" s="163">
        <v>1</v>
      </c>
      <c r="N101" s="166">
        <v>13400</v>
      </c>
      <c r="O101" s="173">
        <v>0.3</v>
      </c>
      <c r="P101" s="166">
        <f t="shared" ref="P101:P107" si="27">N101*(1-O101)</f>
        <v>9380</v>
      </c>
      <c r="Q101" s="166">
        <f t="shared" si="23"/>
        <v>18760</v>
      </c>
      <c r="R101" s="184">
        <f t="shared" si="24"/>
        <v>0.15562105989210212</v>
      </c>
      <c r="S101" s="503">
        <f t="shared" si="26"/>
        <v>75040</v>
      </c>
      <c r="T101" s="394">
        <f t="shared" si="25"/>
        <v>75040</v>
      </c>
      <c r="X101" s="286"/>
      <c r="Y101" s="394">
        <f>S101</f>
        <v>75040</v>
      </c>
      <c r="Z101" s="395"/>
      <c r="AA101" s="169">
        <f>S101</f>
        <v>75040</v>
      </c>
      <c r="AE101" s="286"/>
    </row>
    <row r="102" spans="1:31" x14ac:dyDescent="0.3">
      <c r="A102" s="157" t="s">
        <v>1059</v>
      </c>
      <c r="B102" s="157" t="s">
        <v>216</v>
      </c>
      <c r="C102" s="157" t="s">
        <v>1037</v>
      </c>
      <c r="D102" s="157" t="s">
        <v>102</v>
      </c>
      <c r="E102" s="157" t="s">
        <v>518</v>
      </c>
      <c r="F102" s="158" t="s">
        <v>521</v>
      </c>
      <c r="G102" s="157">
        <v>2</v>
      </c>
      <c r="H102" s="157" t="s">
        <v>63</v>
      </c>
      <c r="I102" s="182">
        <v>2</v>
      </c>
      <c r="J102" s="183"/>
      <c r="K102" s="183"/>
      <c r="L102" s="2239"/>
      <c r="M102" s="163">
        <v>1</v>
      </c>
      <c r="N102" s="166">
        <v>47500</v>
      </c>
      <c r="O102" s="173">
        <v>0.92</v>
      </c>
      <c r="P102" s="166">
        <f t="shared" si="27"/>
        <v>3799.9999999999982</v>
      </c>
      <c r="Q102" s="166">
        <f t="shared" si="23"/>
        <v>7599.9999999999964</v>
      </c>
      <c r="R102" s="167">
        <f t="shared" si="24"/>
        <v>6.304477906076629E-2</v>
      </c>
      <c r="S102" s="503">
        <f t="shared" si="26"/>
        <v>30399.999999999985</v>
      </c>
      <c r="T102" s="394">
        <f t="shared" si="25"/>
        <v>30399.999999999985</v>
      </c>
      <c r="X102" s="286"/>
      <c r="Y102" s="394"/>
      <c r="Z102" s="395">
        <f>S102</f>
        <v>30399.999999999985</v>
      </c>
      <c r="AB102" s="169">
        <f>S102</f>
        <v>30399.999999999985</v>
      </c>
      <c r="AE102" s="286"/>
    </row>
    <row r="103" spans="1:31" x14ac:dyDescent="0.3">
      <c r="A103" s="157" t="s">
        <v>1059</v>
      </c>
      <c r="B103" s="157" t="s">
        <v>216</v>
      </c>
      <c r="C103" s="157" t="s">
        <v>1037</v>
      </c>
      <c r="D103" s="157" t="s">
        <v>166</v>
      </c>
      <c r="E103" s="157" t="s">
        <v>520</v>
      </c>
      <c r="F103" s="158" t="s">
        <v>994</v>
      </c>
      <c r="G103" s="157">
        <v>8</v>
      </c>
      <c r="H103" s="157" t="s">
        <v>63</v>
      </c>
      <c r="I103" s="175">
        <v>8</v>
      </c>
      <c r="J103" s="688"/>
      <c r="L103" s="286"/>
      <c r="M103" s="163">
        <v>1</v>
      </c>
      <c r="N103" s="166">
        <v>7500</v>
      </c>
      <c r="O103" s="173">
        <v>0.8</v>
      </c>
      <c r="P103" s="166">
        <f t="shared" si="27"/>
        <v>1499.9999999999998</v>
      </c>
      <c r="Q103" s="166">
        <f t="shared" si="23"/>
        <v>11999.999999999998</v>
      </c>
      <c r="R103" s="184">
        <f t="shared" si="24"/>
        <v>9.9544387990683644E-2</v>
      </c>
      <c r="S103" s="503">
        <f t="shared" si="26"/>
        <v>47999.999999999993</v>
      </c>
      <c r="T103" s="394">
        <f t="shared" si="25"/>
        <v>47999.999999999993</v>
      </c>
      <c r="X103" s="286"/>
      <c r="Y103" s="394">
        <f>S103</f>
        <v>47999.999999999993</v>
      </c>
      <c r="Z103" s="395"/>
      <c r="AB103" s="169">
        <f>S103</f>
        <v>47999.999999999993</v>
      </c>
      <c r="AE103" s="286"/>
    </row>
    <row r="104" spans="1:31" x14ac:dyDescent="0.3">
      <c r="A104" s="157" t="s">
        <v>1059</v>
      </c>
      <c r="B104" s="157" t="s">
        <v>216</v>
      </c>
      <c r="C104" s="157" t="s">
        <v>1037</v>
      </c>
      <c r="D104" s="157" t="s">
        <v>26</v>
      </c>
      <c r="E104" s="157" t="s">
        <v>520</v>
      </c>
      <c r="F104" s="158" t="s">
        <v>588</v>
      </c>
      <c r="G104" s="157">
        <v>2</v>
      </c>
      <c r="H104" s="157" t="s">
        <v>24</v>
      </c>
      <c r="I104" s="182">
        <v>2</v>
      </c>
      <c r="J104" s="183"/>
      <c r="K104" s="183"/>
      <c r="L104" s="2239"/>
      <c r="M104" s="163">
        <v>1</v>
      </c>
      <c r="N104" s="166">
        <v>30000</v>
      </c>
      <c r="O104" s="173">
        <v>0.8</v>
      </c>
      <c r="P104" s="166">
        <f t="shared" si="27"/>
        <v>5999.9999999999991</v>
      </c>
      <c r="Q104" s="166">
        <f t="shared" si="23"/>
        <v>11999.999999999998</v>
      </c>
      <c r="R104" s="184">
        <f t="shared" si="24"/>
        <v>9.9544387990683644E-2</v>
      </c>
      <c r="S104" s="503">
        <f t="shared" si="26"/>
        <v>47999.999999999993</v>
      </c>
      <c r="T104" s="394">
        <f>S104</f>
        <v>47999.999999999993</v>
      </c>
      <c r="U104" s="169"/>
      <c r="X104" s="286"/>
      <c r="Y104" s="394">
        <f>S104</f>
        <v>47999.999999999993</v>
      </c>
      <c r="Z104" s="286"/>
      <c r="AB104" s="169">
        <f>S104</f>
        <v>47999.999999999993</v>
      </c>
      <c r="AE104" s="286"/>
    </row>
    <row r="105" spans="1:31" x14ac:dyDescent="0.3">
      <c r="A105" s="157" t="s">
        <v>1059</v>
      </c>
      <c r="B105" s="157" t="s">
        <v>227</v>
      </c>
      <c r="C105" s="157" t="s">
        <v>1037</v>
      </c>
      <c r="D105" s="157" t="s">
        <v>102</v>
      </c>
      <c r="E105" s="157" t="s">
        <v>518</v>
      </c>
      <c r="F105" s="158" t="s">
        <v>521</v>
      </c>
      <c r="G105" s="157">
        <v>2</v>
      </c>
      <c r="H105" s="157" t="s">
        <v>22</v>
      </c>
      <c r="I105" s="182">
        <v>2</v>
      </c>
      <c r="K105" s="183">
        <v>2</v>
      </c>
      <c r="L105" s="286"/>
      <c r="M105" s="163">
        <v>2</v>
      </c>
      <c r="N105" s="166">
        <v>8132.89</v>
      </c>
      <c r="O105" s="173">
        <v>0.72</v>
      </c>
      <c r="P105" s="166">
        <f t="shared" si="27"/>
        <v>2277.2092000000002</v>
      </c>
      <c r="Q105" s="166">
        <f t="shared" si="23"/>
        <v>9108.8368000000009</v>
      </c>
      <c r="R105" s="167">
        <f t="shared" si="24"/>
        <v>7.5561132046918125E-2</v>
      </c>
      <c r="S105" s="503">
        <f t="shared" si="26"/>
        <v>36435.347200000004</v>
      </c>
      <c r="T105" s="394">
        <f>S105</f>
        <v>36435.347200000004</v>
      </c>
      <c r="X105" s="286"/>
      <c r="Y105" s="394"/>
      <c r="Z105" s="395">
        <f>S105</f>
        <v>36435.347200000004</v>
      </c>
      <c r="AC105" s="169">
        <f>S105</f>
        <v>36435.347200000004</v>
      </c>
      <c r="AE105" s="286"/>
    </row>
    <row r="106" spans="1:31" x14ac:dyDescent="0.3">
      <c r="A106" s="157" t="s">
        <v>1059</v>
      </c>
      <c r="B106" s="157" t="s">
        <v>210</v>
      </c>
      <c r="C106" s="157" t="s">
        <v>1037</v>
      </c>
      <c r="D106" s="157" t="s">
        <v>102</v>
      </c>
      <c r="E106" s="157" t="s">
        <v>518</v>
      </c>
      <c r="F106" s="158" t="s">
        <v>521</v>
      </c>
      <c r="G106" s="157">
        <v>2</v>
      </c>
      <c r="H106" s="157" t="s">
        <v>147</v>
      </c>
      <c r="I106" s="175">
        <v>2</v>
      </c>
      <c r="J106" s="176"/>
      <c r="L106" s="286"/>
      <c r="M106" s="163">
        <v>1</v>
      </c>
      <c r="N106" s="166">
        <v>5463</v>
      </c>
      <c r="O106" s="173">
        <v>0.6</v>
      </c>
      <c r="P106" s="166">
        <f t="shared" si="27"/>
        <v>2185.2000000000003</v>
      </c>
      <c r="Q106" s="166">
        <f t="shared" si="23"/>
        <v>4370.4000000000005</v>
      </c>
      <c r="R106" s="167">
        <f t="shared" si="24"/>
        <v>3.6254066106206989E-2</v>
      </c>
      <c r="S106" s="503">
        <f t="shared" si="26"/>
        <v>17481.600000000002</v>
      </c>
      <c r="T106" s="394">
        <f>S106</f>
        <v>17481.600000000002</v>
      </c>
      <c r="U106" s="169"/>
      <c r="X106" s="286"/>
      <c r="Y106" s="394"/>
      <c r="Z106" s="395">
        <f>S106</f>
        <v>17481.600000000002</v>
      </c>
      <c r="AD106" s="169">
        <f>S106</f>
        <v>17481.600000000002</v>
      </c>
      <c r="AE106" s="286"/>
    </row>
    <row r="107" spans="1:31" x14ac:dyDescent="0.3">
      <c r="A107" s="157" t="s">
        <v>1059</v>
      </c>
      <c r="B107" s="157" t="s">
        <v>220</v>
      </c>
      <c r="C107" s="157" t="s">
        <v>1037</v>
      </c>
      <c r="D107" s="157" t="s">
        <v>230</v>
      </c>
      <c r="E107" s="157" t="s">
        <v>520</v>
      </c>
      <c r="F107" s="158" t="s">
        <v>38</v>
      </c>
      <c r="G107" s="157">
        <v>1</v>
      </c>
      <c r="H107" s="157" t="s">
        <v>24</v>
      </c>
      <c r="I107" s="182">
        <v>1</v>
      </c>
      <c r="J107" s="183"/>
      <c r="K107" s="183"/>
      <c r="L107" s="2239"/>
      <c r="M107" s="163">
        <v>1</v>
      </c>
      <c r="N107" s="166">
        <v>15000</v>
      </c>
      <c r="O107" s="173">
        <v>0.2</v>
      </c>
      <c r="P107" s="166">
        <f t="shared" si="27"/>
        <v>12000</v>
      </c>
      <c r="Q107" s="166">
        <f t="shared" si="23"/>
        <v>12000</v>
      </c>
      <c r="R107" s="184">
        <f t="shared" si="24"/>
        <v>9.9544387990683658E-2</v>
      </c>
      <c r="S107" s="503">
        <f t="shared" si="26"/>
        <v>48000</v>
      </c>
      <c r="T107" s="394"/>
      <c r="V107" s="169">
        <f>S107</f>
        <v>48000</v>
      </c>
      <c r="X107" s="286"/>
      <c r="Y107" s="394">
        <f>S107</f>
        <v>48000</v>
      </c>
      <c r="Z107" s="286"/>
      <c r="AE107" s="395">
        <f>S107</f>
        <v>48000</v>
      </c>
    </row>
    <row r="108" spans="1:31" x14ac:dyDescent="0.3">
      <c r="A108" s="172"/>
      <c r="B108" s="157"/>
      <c r="C108" s="157"/>
      <c r="D108" s="157"/>
      <c r="E108" s="157"/>
      <c r="F108" s="158"/>
      <c r="G108" s="157"/>
      <c r="H108" s="157"/>
      <c r="I108" s="243"/>
      <c r="J108" s="245"/>
      <c r="K108" s="245"/>
      <c r="L108" s="287"/>
      <c r="M108" s="163"/>
      <c r="N108" s="166"/>
      <c r="O108" s="173"/>
      <c r="P108" s="166"/>
      <c r="Q108" s="166"/>
      <c r="R108" s="393"/>
      <c r="S108" s="503"/>
      <c r="T108" s="188"/>
      <c r="X108" s="286"/>
      <c r="Y108" s="188"/>
      <c r="Z108" s="286"/>
      <c r="AE108" s="286"/>
    </row>
    <row r="109" spans="1:31" x14ac:dyDescent="0.3">
      <c r="A109" s="108" t="s">
        <v>1059</v>
      </c>
      <c r="B109" s="108" t="s">
        <v>528</v>
      </c>
      <c r="C109" s="289"/>
      <c r="D109" s="252"/>
      <c r="E109" s="252"/>
      <c r="F109" s="253"/>
      <c r="G109" s="252"/>
      <c r="H109" s="252"/>
      <c r="I109" s="254"/>
      <c r="J109" s="254"/>
      <c r="K109" s="254"/>
      <c r="L109" s="254"/>
      <c r="M109" s="252"/>
      <c r="N109" s="255"/>
      <c r="O109" s="256"/>
      <c r="P109" s="290"/>
      <c r="Q109" s="257"/>
      <c r="R109" s="291"/>
      <c r="S109" s="503"/>
      <c r="T109" s="188"/>
      <c r="W109" s="169"/>
      <c r="X109" s="286"/>
      <c r="Y109" s="188"/>
      <c r="Z109" s="286"/>
      <c r="AE109" s="286"/>
    </row>
    <row r="110" spans="1:31" x14ac:dyDescent="0.3">
      <c r="A110" s="108" t="s">
        <v>1059</v>
      </c>
      <c r="B110" s="108" t="s">
        <v>529</v>
      </c>
      <c r="C110" s="289"/>
      <c r="D110" s="252"/>
      <c r="E110" s="252"/>
      <c r="F110" s="253"/>
      <c r="G110" s="252"/>
      <c r="H110" s="252"/>
      <c r="I110" s="254"/>
      <c r="J110" s="254"/>
      <c r="K110" s="254"/>
      <c r="L110" s="254"/>
      <c r="M110" s="252"/>
      <c r="N110" s="255"/>
      <c r="O110" s="256"/>
      <c r="P110" s="290"/>
      <c r="Q110" s="257">
        <v>13000</v>
      </c>
      <c r="R110" s="291">
        <f>Q110/Q112</f>
        <v>0.10783975365657396</v>
      </c>
      <c r="S110" s="503">
        <f>Q110*4</f>
        <v>52000</v>
      </c>
      <c r="T110" s="188"/>
      <c r="X110" s="395">
        <f>S110</f>
        <v>52000</v>
      </c>
      <c r="Y110" s="188"/>
      <c r="Z110" s="286"/>
      <c r="AE110" s="286"/>
    </row>
    <row r="111" spans="1:31" x14ac:dyDescent="0.3">
      <c r="I111" s="115">
        <f>I112/M112</f>
        <v>0.68965517241379315</v>
      </c>
      <c r="J111" s="115"/>
      <c r="K111" s="115">
        <f>K112/M112</f>
        <v>0.31034482758620691</v>
      </c>
      <c r="S111" s="166"/>
      <c r="T111" s="188"/>
      <c r="X111" s="286"/>
      <c r="Y111" s="188"/>
      <c r="Z111" s="286"/>
      <c r="AE111" s="287"/>
    </row>
    <row r="112" spans="1:31" x14ac:dyDescent="0.3">
      <c r="A112" s="789" t="s">
        <v>531</v>
      </c>
      <c r="B112" s="790"/>
      <c r="C112" s="790"/>
      <c r="D112" s="790"/>
      <c r="E112" s="790"/>
      <c r="F112" s="791"/>
      <c r="G112" s="790"/>
      <c r="H112" s="790"/>
      <c r="I112" s="792">
        <f>I107+I106+I105+I104+I103+I102+I101+I100</f>
        <v>20</v>
      </c>
      <c r="J112" s="792"/>
      <c r="K112" s="792">
        <f>K105+K99</f>
        <v>9</v>
      </c>
      <c r="L112" s="792"/>
      <c r="M112" s="790">
        <f>SUM(I112:L112)</f>
        <v>29</v>
      </c>
      <c r="N112" s="793"/>
      <c r="O112" s="794"/>
      <c r="P112" s="793"/>
      <c r="Q112" s="795">
        <f>SUM(Q98:Q111)</f>
        <v>120549.2368</v>
      </c>
      <c r="R112" s="794">
        <f>SUM(R98:R110)</f>
        <v>1</v>
      </c>
      <c r="S112" s="1599">
        <f>SUM(S98:S111)</f>
        <v>482196.9472</v>
      </c>
      <c r="T112" s="1600">
        <f>SUM(T98:T110)</f>
        <v>382196.9472</v>
      </c>
      <c r="U112" s="585">
        <f t="shared" ref="U112:W112" si="28">SUM(U98:U110)</f>
        <v>0</v>
      </c>
      <c r="V112" s="585">
        <f>SUM(V98:V110)</f>
        <v>48000</v>
      </c>
      <c r="W112" s="585">
        <f t="shared" si="28"/>
        <v>0</v>
      </c>
      <c r="X112" s="585">
        <f>SUM(X98:X110)</f>
        <v>52000</v>
      </c>
      <c r="Y112" s="1601">
        <f>SUM(Y98:Y110)</f>
        <v>309200</v>
      </c>
      <c r="Z112" s="1602">
        <f>SUM(Z98:Z110)</f>
        <v>120996.9472</v>
      </c>
      <c r="AA112" s="1603">
        <f>SUM(AA97:AA111)</f>
        <v>201880</v>
      </c>
      <c r="AB112" s="1604">
        <f t="shared" ref="AB112:AE112" si="29">SUM(AB97:AB111)</f>
        <v>126399.99999999997</v>
      </c>
      <c r="AC112" s="1604">
        <f t="shared" si="29"/>
        <v>36435.347200000004</v>
      </c>
      <c r="AD112" s="1604">
        <f t="shared" si="29"/>
        <v>17481.600000000002</v>
      </c>
      <c r="AE112" s="1605">
        <f t="shared" si="29"/>
        <v>48000</v>
      </c>
    </row>
    <row r="113" spans="1:31" x14ac:dyDescent="0.3">
      <c r="A113" s="789" t="s">
        <v>532</v>
      </c>
      <c r="B113" s="790"/>
      <c r="C113" s="790"/>
      <c r="D113" s="790"/>
      <c r="E113" s="790"/>
      <c r="F113" s="791"/>
      <c r="G113" s="790"/>
      <c r="H113" s="790"/>
      <c r="I113" s="792">
        <f>I107+I106+I105+I104+I103+I102+I101+I100</f>
        <v>20</v>
      </c>
      <c r="J113" s="792">
        <f>I107+I106+I104+I103+I102+I101+I100</f>
        <v>18</v>
      </c>
      <c r="K113" s="792">
        <f>I107+K105+I104+I102+I101+I100+K99</f>
        <v>17</v>
      </c>
      <c r="L113" s="792"/>
      <c r="M113" s="790">
        <f>SUM(I113:L113)</f>
        <v>55</v>
      </c>
      <c r="N113" s="793"/>
      <c r="O113" s="794"/>
      <c r="P113" s="793"/>
      <c r="Q113" s="793"/>
      <c r="R113" s="794"/>
      <c r="S113" s="1606">
        <f>Q112/M112</f>
        <v>4156.8702344827589</v>
      </c>
      <c r="T113" s="1607">
        <f>T112/S112</f>
        <v>0.7926158583527424</v>
      </c>
      <c r="U113" s="1608">
        <f>U112/S112</f>
        <v>0</v>
      </c>
      <c r="V113" s="1609">
        <f>V112/S112</f>
        <v>9.9544387990683658E-2</v>
      </c>
      <c r="W113" s="1608">
        <f>W112/S112</f>
        <v>0</v>
      </c>
      <c r="X113" s="1608">
        <f>X112/S112</f>
        <v>0.10783975365657396</v>
      </c>
      <c r="Y113" s="788">
        <f>Y112/S112</f>
        <v>0.64123176597332054</v>
      </c>
      <c r="Z113" s="1610">
        <f>Z112/S112</f>
        <v>0.25092848037010551</v>
      </c>
      <c r="AA113" s="1611"/>
      <c r="AB113" s="1612"/>
      <c r="AC113" s="1612"/>
      <c r="AD113" s="1612"/>
      <c r="AE113" s="1613"/>
    </row>
    <row r="114" spans="1:31" x14ac:dyDescent="0.3">
      <c r="A114" s="251" t="s">
        <v>533</v>
      </c>
      <c r="B114" s="252"/>
      <c r="C114" s="252"/>
      <c r="D114" s="252"/>
      <c r="E114" s="252"/>
      <c r="F114" s="253"/>
      <c r="G114" s="252"/>
      <c r="H114" s="252"/>
      <c r="I114" s="2188">
        <f>I113/$M$113</f>
        <v>0.36363636363636365</v>
      </c>
      <c r="J114" s="2188">
        <f t="shared" ref="J114:L114" si="30">J113/$M$113</f>
        <v>0.32727272727272727</v>
      </c>
      <c r="K114" s="2188">
        <f t="shared" si="30"/>
        <v>0.30909090909090908</v>
      </c>
      <c r="L114" s="2188">
        <f t="shared" si="30"/>
        <v>0</v>
      </c>
      <c r="M114" s="252"/>
      <c r="N114" s="255"/>
      <c r="O114" s="256"/>
      <c r="P114" s="255"/>
      <c r="Q114" s="257">
        <f>T112/4</f>
        <v>95549.236799999999</v>
      </c>
      <c r="R114" s="262">
        <f>Q114/Q118</f>
        <v>0.7926158583527424</v>
      </c>
      <c r="X114" s="248"/>
      <c r="Y114" s="357">
        <f>K99+I101+I103+I104+I107</f>
        <v>20</v>
      </c>
      <c r="Z114" s="358">
        <f>I100+I102+I105+K105+I106</f>
        <v>9</v>
      </c>
      <c r="AA114" s="4"/>
    </row>
    <row r="115" spans="1:31" x14ac:dyDescent="0.3">
      <c r="A115" s="251" t="s">
        <v>11</v>
      </c>
      <c r="B115" s="252"/>
      <c r="C115" s="252"/>
      <c r="D115" s="252"/>
      <c r="E115" s="252"/>
      <c r="F115" s="253"/>
      <c r="G115" s="252"/>
      <c r="H115" s="252"/>
      <c r="I115" s="254"/>
      <c r="J115" s="254"/>
      <c r="K115" s="254"/>
      <c r="L115" s="254"/>
      <c r="M115" s="252"/>
      <c r="N115" s="255"/>
      <c r="O115" s="256"/>
      <c r="P115" s="255"/>
      <c r="Q115" s="257">
        <f>U112/4</f>
        <v>0</v>
      </c>
      <c r="R115" s="262">
        <f>Q115/Q118</f>
        <v>0</v>
      </c>
      <c r="S115" s="1068">
        <f>Q112/M112</f>
        <v>4156.8702344827589</v>
      </c>
      <c r="T115" s="1069" t="s">
        <v>535</v>
      </c>
      <c r="Y115" s="195">
        <f>Y114/M112</f>
        <v>0.68965517241379315</v>
      </c>
      <c r="Z115" s="247">
        <f>Z114/M112</f>
        <v>0.31034482758620691</v>
      </c>
    </row>
    <row r="116" spans="1:31" x14ac:dyDescent="0.3">
      <c r="A116" s="251" t="s">
        <v>536</v>
      </c>
      <c r="B116" s="252"/>
      <c r="C116" s="252"/>
      <c r="D116" s="252"/>
      <c r="E116" s="252"/>
      <c r="F116" s="253"/>
      <c r="G116" s="252"/>
      <c r="H116" s="252"/>
      <c r="I116" s="254"/>
      <c r="J116" s="254"/>
      <c r="K116" s="254"/>
      <c r="L116" s="254"/>
      <c r="M116" s="252"/>
      <c r="N116" s="255"/>
      <c r="O116" s="256"/>
      <c r="P116" s="255"/>
      <c r="Q116" s="257">
        <f>V112/4</f>
        <v>12000</v>
      </c>
      <c r="R116" s="262">
        <f>Q116/Q118</f>
        <v>9.9544387990683658E-2</v>
      </c>
      <c r="W116" s="99"/>
      <c r="Y116" s="2551" t="s">
        <v>537</v>
      </c>
      <c r="Z116" s="2551"/>
    </row>
    <row r="117" spans="1:31" x14ac:dyDescent="0.3">
      <c r="A117" s="251" t="s">
        <v>529</v>
      </c>
      <c r="B117" s="252"/>
      <c r="C117" s="252"/>
      <c r="D117" s="252"/>
      <c r="E117" s="252"/>
      <c r="F117" s="253"/>
      <c r="G117" s="252"/>
      <c r="H117" s="252"/>
      <c r="I117" s="254"/>
      <c r="J117" s="254"/>
      <c r="K117" s="254"/>
      <c r="L117" s="254"/>
      <c r="M117" s="252"/>
      <c r="N117" s="255"/>
      <c r="O117" s="256"/>
      <c r="P117" s="255"/>
      <c r="Q117" s="257">
        <f>X110/4</f>
        <v>13000</v>
      </c>
      <c r="R117" s="262">
        <f>Q117/Q118</f>
        <v>0.10783975365657396</v>
      </c>
    </row>
    <row r="118" spans="1:31" x14ac:dyDescent="0.3">
      <c r="A118" s="243"/>
      <c r="B118" s="193"/>
      <c r="C118" s="193"/>
      <c r="D118" s="193"/>
      <c r="E118" s="193"/>
      <c r="F118" s="244"/>
      <c r="G118" s="193"/>
      <c r="H118" s="193"/>
      <c r="I118" s="245"/>
      <c r="J118" s="245"/>
      <c r="K118" s="245"/>
      <c r="L118" s="245"/>
      <c r="M118" s="193"/>
      <c r="N118" s="246"/>
      <c r="O118" s="196"/>
      <c r="P118" s="246"/>
      <c r="Q118" s="194">
        <f>SUM(Q114:Q117)</f>
        <v>120549.2368</v>
      </c>
      <c r="R118" s="247">
        <f>SUM(R114:R117)</f>
        <v>1</v>
      </c>
      <c r="S118" s="600"/>
    </row>
    <row r="119" spans="1:31" x14ac:dyDescent="0.3">
      <c r="A119" s="188"/>
      <c r="N119" s="5"/>
      <c r="O119" s="6"/>
      <c r="P119" s="529"/>
      <c r="Q119" s="529"/>
      <c r="R119" s="530"/>
      <c r="S119" s="600"/>
    </row>
    <row r="120" spans="1:31" ht="18" x14ac:dyDescent="0.35">
      <c r="A120" s="1037" t="s">
        <v>554</v>
      </c>
      <c r="N120" s="5"/>
      <c r="O120" s="6"/>
      <c r="P120" s="5"/>
      <c r="Q120" s="5"/>
      <c r="R120" s="6"/>
      <c r="S120" s="600"/>
    </row>
    <row r="121" spans="1:31" ht="18" x14ac:dyDescent="0.35">
      <c r="A121" s="1037"/>
      <c r="N121" s="5"/>
      <c r="O121" s="6"/>
      <c r="P121" s="246"/>
      <c r="Q121" s="246"/>
      <c r="R121" s="196"/>
      <c r="S121" s="600"/>
    </row>
    <row r="122" spans="1:31" x14ac:dyDescent="0.3">
      <c r="A122" s="2587" t="s">
        <v>480</v>
      </c>
      <c r="B122" s="2588"/>
      <c r="C122" s="2588"/>
      <c r="D122" s="2588"/>
      <c r="E122" s="2588"/>
      <c r="F122" s="2588"/>
      <c r="G122" s="2588"/>
      <c r="H122" s="2588"/>
      <c r="I122" s="2588"/>
      <c r="J122" s="2588"/>
      <c r="K122" s="2588"/>
      <c r="L122" s="2588"/>
      <c r="M122" s="2588"/>
      <c r="N122" s="2588"/>
      <c r="O122" s="2588"/>
      <c r="P122" s="2588"/>
      <c r="Q122" s="2588"/>
      <c r="R122" s="2589"/>
      <c r="S122" s="2563" t="s">
        <v>584</v>
      </c>
      <c r="T122" s="2564"/>
      <c r="U122" s="2564"/>
      <c r="V122" s="2564"/>
      <c r="W122" s="2564"/>
      <c r="X122" s="2564"/>
      <c r="Y122" s="2564"/>
      <c r="Z122" s="2564"/>
      <c r="AA122" s="2564"/>
      <c r="AB122" s="2564"/>
      <c r="AC122" s="2564"/>
      <c r="AD122" s="2564"/>
      <c r="AE122" s="2576"/>
    </row>
    <row r="123" spans="1:31" ht="18" x14ac:dyDescent="0.3">
      <c r="A123" s="2453" t="s">
        <v>482</v>
      </c>
      <c r="B123" s="2453" t="s">
        <v>483</v>
      </c>
      <c r="C123" s="2453" t="s">
        <v>484</v>
      </c>
      <c r="D123" s="2453" t="s">
        <v>555</v>
      </c>
      <c r="E123" s="2453" t="s">
        <v>556</v>
      </c>
      <c r="F123" s="2451" t="s">
        <v>487</v>
      </c>
      <c r="G123" s="2453" t="s">
        <v>557</v>
      </c>
      <c r="H123" s="2453" t="s">
        <v>489</v>
      </c>
      <c r="I123" s="782" t="s">
        <v>490</v>
      </c>
      <c r="J123" s="782"/>
      <c r="K123" s="782"/>
      <c r="L123" s="782"/>
      <c r="M123" s="783" t="s">
        <v>491</v>
      </c>
      <c r="N123" s="784" t="s">
        <v>558</v>
      </c>
      <c r="O123" s="785" t="s">
        <v>493</v>
      </c>
      <c r="P123" s="784" t="s">
        <v>558</v>
      </c>
      <c r="Q123" s="784" t="s">
        <v>559</v>
      </c>
      <c r="R123" s="2455" t="s">
        <v>495</v>
      </c>
      <c r="S123" s="1394" t="s">
        <v>496</v>
      </c>
      <c r="T123" s="2567" t="s">
        <v>497</v>
      </c>
      <c r="U123" s="2568"/>
      <c r="V123" s="2568"/>
      <c r="W123" s="2568"/>
      <c r="X123" s="2568"/>
      <c r="Y123" s="2567" t="s">
        <v>498</v>
      </c>
      <c r="Z123" s="2568"/>
      <c r="AA123" s="2567" t="s">
        <v>499</v>
      </c>
      <c r="AB123" s="2568"/>
      <c r="AC123" s="2568"/>
      <c r="AD123" s="2568"/>
      <c r="AE123" s="2571"/>
    </row>
    <row r="124" spans="1:31" ht="18" x14ac:dyDescent="0.3">
      <c r="A124" s="2454"/>
      <c r="B124" s="2454"/>
      <c r="C124" s="2454"/>
      <c r="D124" s="2454"/>
      <c r="E124" s="2454"/>
      <c r="F124" s="2452"/>
      <c r="G124" s="2454"/>
      <c r="H124" s="2454"/>
      <c r="I124" s="782" t="s">
        <v>500</v>
      </c>
      <c r="J124" s="782" t="s">
        <v>501</v>
      </c>
      <c r="K124" s="782" t="s">
        <v>502</v>
      </c>
      <c r="L124" s="782" t="s">
        <v>503</v>
      </c>
      <c r="M124" s="786" t="s">
        <v>504</v>
      </c>
      <c r="N124" s="787" t="s">
        <v>505</v>
      </c>
      <c r="O124" s="788" t="s">
        <v>506</v>
      </c>
      <c r="P124" s="787" t="s">
        <v>507</v>
      </c>
      <c r="Q124" s="787" t="s">
        <v>560</v>
      </c>
      <c r="R124" s="2456"/>
      <c r="S124" s="1394" t="s">
        <v>508</v>
      </c>
      <c r="T124" s="2782"/>
      <c r="U124" s="2781"/>
      <c r="V124" s="2781"/>
      <c r="W124" s="2781"/>
      <c r="X124" s="2781"/>
      <c r="Y124" s="2782"/>
      <c r="Z124" s="2781"/>
      <c r="AA124" s="2782"/>
      <c r="AB124" s="2781"/>
      <c r="AC124" s="2781"/>
      <c r="AD124" s="2781"/>
      <c r="AE124" s="2783"/>
    </row>
    <row r="125" spans="1:31" ht="18" x14ac:dyDescent="0.35">
      <c r="A125" s="2449" t="s">
        <v>561</v>
      </c>
      <c r="B125" s="2450"/>
      <c r="C125" s="2450"/>
      <c r="D125" s="2450"/>
      <c r="E125" s="2450"/>
      <c r="F125" s="2450"/>
      <c r="G125" s="2450"/>
      <c r="H125" s="2450"/>
      <c r="I125" s="2450"/>
      <c r="J125" s="2450"/>
      <c r="K125" s="2450"/>
      <c r="L125" s="2450"/>
      <c r="M125" s="2450"/>
      <c r="N125" s="2450"/>
      <c r="O125" s="2450"/>
      <c r="P125" s="2450"/>
      <c r="Q125" s="2450"/>
      <c r="R125" s="2450"/>
      <c r="S125" s="1577"/>
      <c r="T125" s="1553" t="s">
        <v>510</v>
      </c>
      <c r="U125" s="1554" t="s">
        <v>11</v>
      </c>
      <c r="V125" s="1554" t="s">
        <v>511</v>
      </c>
      <c r="W125" s="1554" t="s">
        <v>512</v>
      </c>
      <c r="X125" s="1578" t="s">
        <v>513</v>
      </c>
      <c r="Y125" s="1553" t="s">
        <v>514</v>
      </c>
      <c r="Z125" s="1578" t="s">
        <v>515</v>
      </c>
      <c r="AA125" s="1553" t="s">
        <v>9</v>
      </c>
      <c r="AB125" s="1554" t="s">
        <v>10</v>
      </c>
      <c r="AC125" s="1554" t="s">
        <v>226</v>
      </c>
      <c r="AD125" s="1554" t="s">
        <v>206</v>
      </c>
      <c r="AE125" s="1578" t="s">
        <v>5</v>
      </c>
    </row>
    <row r="126" spans="1:31" x14ac:dyDescent="0.3">
      <c r="A126" s="154"/>
      <c r="B126" s="462"/>
      <c r="C126" s="462"/>
      <c r="D126" s="462"/>
      <c r="E126" s="462"/>
      <c r="F126" s="463"/>
      <c r="G126" s="462"/>
      <c r="H126" s="462"/>
      <c r="I126" s="465"/>
      <c r="J126" s="465"/>
      <c r="K126" s="465"/>
      <c r="L126" s="465"/>
      <c r="M126" s="462"/>
      <c r="N126" s="468"/>
      <c r="O126" s="469"/>
      <c r="P126" s="468"/>
      <c r="Q126" s="468"/>
      <c r="R126" s="532"/>
      <c r="S126" s="166"/>
      <c r="T126" s="188"/>
      <c r="X126" s="286"/>
      <c r="Y126" s="188"/>
      <c r="Z126" s="286"/>
      <c r="AA126" s="464"/>
      <c r="AB126" s="465"/>
      <c r="AC126" s="465"/>
      <c r="AD126" s="465"/>
      <c r="AE126" s="466"/>
    </row>
    <row r="127" spans="1:31" x14ac:dyDescent="0.3">
      <c r="A127" s="157" t="s">
        <v>1059</v>
      </c>
      <c r="B127" s="157" t="s">
        <v>215</v>
      </c>
      <c r="C127" s="157" t="s">
        <v>1037</v>
      </c>
      <c r="D127" s="157" t="s">
        <v>166</v>
      </c>
      <c r="E127" s="157" t="s">
        <v>520</v>
      </c>
      <c r="F127" s="158" t="s">
        <v>994</v>
      </c>
      <c r="G127" s="157">
        <v>8</v>
      </c>
      <c r="H127" s="157" t="s">
        <v>63</v>
      </c>
      <c r="I127" s="188"/>
      <c r="K127" s="176">
        <v>8</v>
      </c>
      <c r="L127" s="177"/>
      <c r="M127" s="163">
        <v>1</v>
      </c>
      <c r="N127" s="166">
        <v>4600</v>
      </c>
      <c r="O127" s="173">
        <v>0.3</v>
      </c>
      <c r="P127" s="166">
        <f t="shared" ref="P127:P134" si="31">N127*(1-O127)</f>
        <v>3220</v>
      </c>
      <c r="Q127" s="166">
        <f t="shared" ref="Q127:Q134" si="32">P127*M127*G127</f>
        <v>25760</v>
      </c>
      <c r="R127" s="184">
        <f t="shared" ref="R127:R134" si="33">Q127/$Q$139</f>
        <v>0.21477542034851435</v>
      </c>
      <c r="S127" s="503">
        <f>Q127</f>
        <v>25760</v>
      </c>
      <c r="T127" s="394">
        <f t="shared" ref="T127:T129" si="34">S127</f>
        <v>25760</v>
      </c>
      <c r="X127" s="286"/>
      <c r="Y127" s="394">
        <f>S127</f>
        <v>25760</v>
      </c>
      <c r="Z127" s="395"/>
      <c r="AA127" s="394">
        <f>S127</f>
        <v>25760</v>
      </c>
      <c r="AE127" s="286"/>
    </row>
    <row r="128" spans="1:31" x14ac:dyDescent="0.3">
      <c r="A128" s="157" t="s">
        <v>1059</v>
      </c>
      <c r="B128" s="157" t="s">
        <v>216</v>
      </c>
      <c r="C128" s="157" t="s">
        <v>1037</v>
      </c>
      <c r="D128" s="157" t="s">
        <v>102</v>
      </c>
      <c r="E128" s="157" t="s">
        <v>518</v>
      </c>
      <c r="F128" s="158" t="s">
        <v>521</v>
      </c>
      <c r="G128" s="157">
        <v>2</v>
      </c>
      <c r="H128" s="157" t="s">
        <v>63</v>
      </c>
      <c r="I128" s="182">
        <v>2</v>
      </c>
      <c r="J128" s="183"/>
      <c r="K128" s="183"/>
      <c r="L128" s="2239"/>
      <c r="M128" s="163">
        <v>1</v>
      </c>
      <c r="N128" s="166">
        <v>47500</v>
      </c>
      <c r="O128" s="173">
        <v>0.92</v>
      </c>
      <c r="P128" s="166">
        <f t="shared" si="31"/>
        <v>3799.9999999999982</v>
      </c>
      <c r="Q128" s="166">
        <f t="shared" si="32"/>
        <v>7599.9999999999964</v>
      </c>
      <c r="R128" s="167">
        <f t="shared" si="33"/>
        <v>6.3365419046921903E-2</v>
      </c>
      <c r="S128" s="503">
        <f t="shared" ref="S128:S134" si="35">Q128</f>
        <v>7599.9999999999964</v>
      </c>
      <c r="T128" s="394">
        <f t="shared" si="34"/>
        <v>7599.9999999999964</v>
      </c>
      <c r="X128" s="286"/>
      <c r="Y128" s="394"/>
      <c r="Z128" s="395">
        <f>S128</f>
        <v>7599.9999999999964</v>
      </c>
      <c r="AA128" s="188"/>
      <c r="AB128" s="169">
        <f>S128</f>
        <v>7599.9999999999964</v>
      </c>
      <c r="AE128" s="286"/>
    </row>
    <row r="129" spans="1:31" x14ac:dyDescent="0.3">
      <c r="A129" s="157" t="s">
        <v>1059</v>
      </c>
      <c r="B129" s="157" t="s">
        <v>216</v>
      </c>
      <c r="C129" s="157" t="s">
        <v>1037</v>
      </c>
      <c r="D129" s="157" t="s">
        <v>166</v>
      </c>
      <c r="E129" s="157" t="s">
        <v>520</v>
      </c>
      <c r="F129" s="158" t="s">
        <v>994</v>
      </c>
      <c r="G129" s="157">
        <v>9</v>
      </c>
      <c r="H129" s="157" t="s">
        <v>63</v>
      </c>
      <c r="I129" s="175">
        <v>9</v>
      </c>
      <c r="J129" s="688"/>
      <c r="L129" s="286"/>
      <c r="M129" s="163">
        <v>1</v>
      </c>
      <c r="N129" s="166">
        <v>7500</v>
      </c>
      <c r="O129" s="173">
        <v>0.8</v>
      </c>
      <c r="P129" s="166">
        <f t="shared" si="31"/>
        <v>1499.9999999999998</v>
      </c>
      <c r="Q129" s="166">
        <f t="shared" si="32"/>
        <v>13499.999999999998</v>
      </c>
      <c r="R129" s="184">
        <f t="shared" si="33"/>
        <v>0.11255699435966394</v>
      </c>
      <c r="S129" s="503">
        <f t="shared" si="35"/>
        <v>13499.999999999998</v>
      </c>
      <c r="T129" s="394">
        <f t="shared" si="34"/>
        <v>13499.999999999998</v>
      </c>
      <c r="X129" s="286"/>
      <c r="Y129" s="394">
        <f>S129</f>
        <v>13499.999999999998</v>
      </c>
      <c r="Z129" s="395"/>
      <c r="AA129" s="188"/>
      <c r="AB129" s="169">
        <f t="shared" ref="AB129:AB130" si="36">S129</f>
        <v>13499.999999999998</v>
      </c>
      <c r="AE129" s="286"/>
    </row>
    <row r="130" spans="1:31" x14ac:dyDescent="0.3">
      <c r="A130" s="157" t="s">
        <v>1059</v>
      </c>
      <c r="B130" s="157" t="s">
        <v>216</v>
      </c>
      <c r="C130" s="157" t="s">
        <v>1037</v>
      </c>
      <c r="D130" s="157" t="s">
        <v>26</v>
      </c>
      <c r="E130" s="157" t="s">
        <v>520</v>
      </c>
      <c r="F130" s="158" t="s">
        <v>588</v>
      </c>
      <c r="G130" s="157">
        <v>1</v>
      </c>
      <c r="H130" s="157" t="s">
        <v>24</v>
      </c>
      <c r="I130" s="182">
        <v>1</v>
      </c>
      <c r="J130" s="183"/>
      <c r="K130" s="183"/>
      <c r="L130" s="2239"/>
      <c r="M130" s="163">
        <v>1</v>
      </c>
      <c r="N130" s="166">
        <v>30000</v>
      </c>
      <c r="O130" s="173">
        <v>0.8</v>
      </c>
      <c r="P130" s="166">
        <f t="shared" si="31"/>
        <v>5999.9999999999991</v>
      </c>
      <c r="Q130" s="166">
        <f t="shared" si="32"/>
        <v>5999.9999999999991</v>
      </c>
      <c r="R130" s="184">
        <f t="shared" si="33"/>
        <v>5.0025330826517306E-2</v>
      </c>
      <c r="S130" s="503">
        <f t="shared" si="35"/>
        <v>5999.9999999999991</v>
      </c>
      <c r="T130" s="394">
        <f>S130</f>
        <v>5999.9999999999991</v>
      </c>
      <c r="U130" s="169"/>
      <c r="X130" s="286"/>
      <c r="Y130" s="394">
        <f>S130</f>
        <v>5999.9999999999991</v>
      </c>
      <c r="Z130" s="286"/>
      <c r="AA130" s="188"/>
      <c r="AB130" s="169">
        <f t="shared" si="36"/>
        <v>5999.9999999999991</v>
      </c>
      <c r="AE130" s="286"/>
    </row>
    <row r="131" spans="1:31" x14ac:dyDescent="0.3">
      <c r="A131" s="157" t="s">
        <v>1059</v>
      </c>
      <c r="B131" s="157" t="s">
        <v>227</v>
      </c>
      <c r="C131" s="157" t="s">
        <v>1037</v>
      </c>
      <c r="D131" s="157" t="s">
        <v>102</v>
      </c>
      <c r="E131" s="157" t="s">
        <v>518</v>
      </c>
      <c r="F131" s="158" t="s">
        <v>521</v>
      </c>
      <c r="G131" s="157">
        <v>2</v>
      </c>
      <c r="H131" s="157" t="s">
        <v>22</v>
      </c>
      <c r="I131" s="182">
        <v>2</v>
      </c>
      <c r="K131" s="183">
        <v>2</v>
      </c>
      <c r="L131" s="286"/>
      <c r="M131" s="163">
        <v>2</v>
      </c>
      <c r="N131" s="166">
        <v>8132.89</v>
      </c>
      <c r="O131" s="173">
        <v>0.72</v>
      </c>
      <c r="P131" s="166">
        <f t="shared" si="31"/>
        <v>2277.2092000000002</v>
      </c>
      <c r="Q131" s="166">
        <f t="shared" si="32"/>
        <v>9108.8368000000009</v>
      </c>
      <c r="R131" s="167">
        <f t="shared" si="33"/>
        <v>7.594542906079256E-2</v>
      </c>
      <c r="S131" s="503">
        <f t="shared" si="35"/>
        <v>9108.8368000000009</v>
      </c>
      <c r="T131" s="394">
        <f>S131</f>
        <v>9108.8368000000009</v>
      </c>
      <c r="X131" s="286"/>
      <c r="Y131" s="394"/>
      <c r="Z131" s="395">
        <f>S131</f>
        <v>9108.8368000000009</v>
      </c>
      <c r="AA131" s="188"/>
      <c r="AC131" s="169">
        <f>S131</f>
        <v>9108.8368000000009</v>
      </c>
      <c r="AE131" s="286"/>
    </row>
    <row r="132" spans="1:31" x14ac:dyDescent="0.3">
      <c r="A132" s="157" t="s">
        <v>1059</v>
      </c>
      <c r="B132" s="157" t="s">
        <v>210</v>
      </c>
      <c r="C132" s="157" t="s">
        <v>1037</v>
      </c>
      <c r="D132" s="157" t="s">
        <v>102</v>
      </c>
      <c r="E132" s="157" t="s">
        <v>518</v>
      </c>
      <c r="F132" s="158" t="s">
        <v>521</v>
      </c>
      <c r="G132" s="157">
        <v>2</v>
      </c>
      <c r="H132" s="157" t="s">
        <v>147</v>
      </c>
      <c r="I132" s="175">
        <v>2</v>
      </c>
      <c r="J132" s="176"/>
      <c r="L132" s="286"/>
      <c r="M132" s="163">
        <v>1</v>
      </c>
      <c r="N132" s="166">
        <v>5463</v>
      </c>
      <c r="O132" s="173">
        <v>0.6</v>
      </c>
      <c r="P132" s="166">
        <f t="shared" si="31"/>
        <v>2185.2000000000003</v>
      </c>
      <c r="Q132" s="166">
        <f t="shared" si="32"/>
        <v>4370.4000000000005</v>
      </c>
      <c r="R132" s="167">
        <f t="shared" si="33"/>
        <v>3.6438450974035218E-2</v>
      </c>
      <c r="S132" s="503">
        <f t="shared" si="35"/>
        <v>4370.4000000000005</v>
      </c>
      <c r="T132" s="394">
        <f>S132</f>
        <v>4370.4000000000005</v>
      </c>
      <c r="U132" s="169"/>
      <c r="X132" s="286"/>
      <c r="Y132" s="394"/>
      <c r="Z132" s="395">
        <f>S132</f>
        <v>4370.4000000000005</v>
      </c>
      <c r="AA132" s="188"/>
      <c r="AD132" s="169">
        <f>S132</f>
        <v>4370.4000000000005</v>
      </c>
      <c r="AE132" s="286"/>
    </row>
    <row r="133" spans="1:31" x14ac:dyDescent="0.3">
      <c r="A133" s="157" t="s">
        <v>1059</v>
      </c>
      <c r="B133" s="157" t="s">
        <v>216</v>
      </c>
      <c r="C133" s="157" t="s">
        <v>1041</v>
      </c>
      <c r="D133" s="157" t="s">
        <v>180</v>
      </c>
      <c r="E133" s="157" t="s">
        <v>520</v>
      </c>
      <c r="F133" s="158" t="s">
        <v>891</v>
      </c>
      <c r="G133" s="157">
        <v>9</v>
      </c>
      <c r="H133" s="157" t="s">
        <v>24</v>
      </c>
      <c r="I133" s="182">
        <v>9</v>
      </c>
      <c r="J133" s="183"/>
      <c r="K133" s="183"/>
      <c r="L133" s="2239"/>
      <c r="M133" s="163">
        <v>1</v>
      </c>
      <c r="N133" s="166">
        <v>9000</v>
      </c>
      <c r="O133" s="173">
        <v>0.8</v>
      </c>
      <c r="P133" s="166">
        <f t="shared" si="31"/>
        <v>1799.9999999999995</v>
      </c>
      <c r="Q133" s="166">
        <f t="shared" si="32"/>
        <v>16199.999999999996</v>
      </c>
      <c r="R133" s="184">
        <f t="shared" si="33"/>
        <v>0.13506839323159672</v>
      </c>
      <c r="S133" s="503">
        <f t="shared" si="35"/>
        <v>16199.999999999996</v>
      </c>
      <c r="T133" s="394"/>
      <c r="V133" s="169">
        <f>S133</f>
        <v>16199.999999999996</v>
      </c>
      <c r="X133" s="286"/>
      <c r="Y133" s="394">
        <f>S133</f>
        <v>16199.999999999996</v>
      </c>
      <c r="Z133" s="286"/>
      <c r="AA133" s="188"/>
      <c r="AB133" s="169">
        <f>S133</f>
        <v>16199.999999999996</v>
      </c>
      <c r="AE133" s="286"/>
    </row>
    <row r="134" spans="1:31" x14ac:dyDescent="0.3">
      <c r="A134" s="157" t="s">
        <v>1059</v>
      </c>
      <c r="B134" s="157" t="s">
        <v>220</v>
      </c>
      <c r="C134" s="157" t="s">
        <v>1037</v>
      </c>
      <c r="D134" s="157" t="s">
        <v>228</v>
      </c>
      <c r="E134" s="157" t="s">
        <v>520</v>
      </c>
      <c r="F134" s="158" t="s">
        <v>229</v>
      </c>
      <c r="G134" s="157">
        <v>1</v>
      </c>
      <c r="H134" s="157" t="s">
        <v>24</v>
      </c>
      <c r="I134" s="182">
        <v>5</v>
      </c>
      <c r="J134" s="183"/>
      <c r="K134" s="183"/>
      <c r="L134" s="2239"/>
      <c r="M134" s="163">
        <v>1</v>
      </c>
      <c r="N134" s="166">
        <v>25500</v>
      </c>
      <c r="O134" s="173">
        <v>0.2</v>
      </c>
      <c r="P134" s="166">
        <f t="shared" si="31"/>
        <v>20400</v>
      </c>
      <c r="Q134" s="166">
        <f t="shared" si="32"/>
        <v>20400</v>
      </c>
      <c r="R134" s="178">
        <f t="shared" si="33"/>
        <v>0.17008612481015886</v>
      </c>
      <c r="S134" s="503">
        <f t="shared" si="35"/>
        <v>20400</v>
      </c>
      <c r="T134" s="188"/>
      <c r="V134" s="169">
        <f>S134</f>
        <v>20400</v>
      </c>
      <c r="X134" s="286"/>
      <c r="Y134" s="206">
        <f>S134</f>
        <v>20400</v>
      </c>
      <c r="Z134" s="286"/>
      <c r="AA134" s="188"/>
      <c r="AE134" s="395">
        <f>S134</f>
        <v>20400</v>
      </c>
    </row>
    <row r="135" spans="1:31" x14ac:dyDescent="0.3">
      <c r="A135" s="172"/>
      <c r="B135" s="157"/>
      <c r="C135" s="157"/>
      <c r="D135" s="157"/>
      <c r="E135" s="157"/>
      <c r="F135" s="157"/>
      <c r="G135" s="157"/>
      <c r="H135" s="157"/>
      <c r="I135" s="192"/>
      <c r="J135" s="193"/>
      <c r="K135" s="193"/>
      <c r="L135" s="630"/>
      <c r="M135" s="157"/>
      <c r="N135" s="157"/>
      <c r="O135" s="157"/>
      <c r="P135" s="186"/>
      <c r="Q135" s="166"/>
      <c r="R135" s="393"/>
      <c r="S135" s="503"/>
      <c r="T135" s="188"/>
      <c r="X135" s="286"/>
      <c r="Y135" s="188"/>
      <c r="Z135" s="286"/>
      <c r="AA135" s="188"/>
      <c r="AE135" s="286"/>
    </row>
    <row r="136" spans="1:31" x14ac:dyDescent="0.3">
      <c r="A136" s="108" t="s">
        <v>1059</v>
      </c>
      <c r="B136" s="108" t="s">
        <v>528</v>
      </c>
      <c r="C136" s="289"/>
      <c r="D136" s="252"/>
      <c r="E136" s="252"/>
      <c r="F136" s="253"/>
      <c r="G136" s="252"/>
      <c r="H136" s="252"/>
      <c r="I136" s="254"/>
      <c r="J136" s="254"/>
      <c r="K136" s="254"/>
      <c r="L136" s="254"/>
      <c r="M136" s="252"/>
      <c r="N136" s="255"/>
      <c r="O136" s="256"/>
      <c r="P136" s="290"/>
      <c r="Q136" s="257"/>
      <c r="R136" s="291"/>
      <c r="S136" s="503"/>
      <c r="T136" s="188"/>
      <c r="W136" s="169">
        <f>S136</f>
        <v>0</v>
      </c>
      <c r="X136" s="286"/>
      <c r="Y136" s="188"/>
      <c r="Z136" s="286"/>
      <c r="AA136" s="188"/>
      <c r="AE136" s="286"/>
    </row>
    <row r="137" spans="1:31" x14ac:dyDescent="0.3">
      <c r="A137" s="108" t="s">
        <v>1059</v>
      </c>
      <c r="B137" s="108" t="s">
        <v>529</v>
      </c>
      <c r="C137" s="289"/>
      <c r="D137" s="252"/>
      <c r="E137" s="252"/>
      <c r="F137" s="253"/>
      <c r="G137" s="252"/>
      <c r="H137" s="252"/>
      <c r="I137" s="254"/>
      <c r="J137" s="254"/>
      <c r="K137" s="254"/>
      <c r="L137" s="254"/>
      <c r="M137" s="252"/>
      <c r="N137" s="255"/>
      <c r="O137" s="256"/>
      <c r="P137" s="290"/>
      <c r="Q137" s="257">
        <v>17000</v>
      </c>
      <c r="R137" s="291">
        <f>Q137/Q139</f>
        <v>0.14173843734179906</v>
      </c>
      <c r="S137" s="503">
        <f>Q137</f>
        <v>17000</v>
      </c>
      <c r="T137" s="188"/>
      <c r="X137" s="395">
        <f>S137</f>
        <v>17000</v>
      </c>
      <c r="Y137" s="188"/>
      <c r="Z137" s="286"/>
      <c r="AA137" s="188"/>
      <c r="AE137" s="286"/>
    </row>
    <row r="138" spans="1:31" x14ac:dyDescent="0.3">
      <c r="I138" s="115">
        <f>I139/M139</f>
        <v>0.75</v>
      </c>
      <c r="J138" s="115"/>
      <c r="K138" s="115">
        <f>K139/M139</f>
        <v>0.25</v>
      </c>
      <c r="S138" s="166"/>
      <c r="T138" s="188"/>
      <c r="X138" s="286"/>
      <c r="Y138" s="188"/>
      <c r="Z138" s="286"/>
      <c r="AA138" s="243"/>
      <c r="AB138" s="245"/>
      <c r="AC138" s="245"/>
      <c r="AD138" s="245"/>
      <c r="AE138" s="287"/>
    </row>
    <row r="139" spans="1:31" x14ac:dyDescent="0.3">
      <c r="A139" s="789" t="s">
        <v>531</v>
      </c>
      <c r="B139" s="790"/>
      <c r="C139" s="790"/>
      <c r="D139" s="790"/>
      <c r="E139" s="790"/>
      <c r="F139" s="791"/>
      <c r="G139" s="790"/>
      <c r="H139" s="790"/>
      <c r="I139" s="792">
        <f>I133+I132+I131+I130+I129+I128+I134</f>
        <v>30</v>
      </c>
      <c r="J139" s="792"/>
      <c r="K139" s="792">
        <f>K131+K127</f>
        <v>10</v>
      </c>
      <c r="L139" s="792"/>
      <c r="M139" s="790">
        <f>SUM(I139:L139)</f>
        <v>40</v>
      </c>
      <c r="N139" s="793"/>
      <c r="O139" s="794"/>
      <c r="P139" s="793"/>
      <c r="Q139" s="795">
        <f>SUM(Q126:Q138)</f>
        <v>119939.2368</v>
      </c>
      <c r="R139" s="794">
        <f>SUM(R126:R137)</f>
        <v>0.99999999999999989</v>
      </c>
      <c r="S139" s="1599">
        <f>SUM(S126:S138)</f>
        <v>119939.2368</v>
      </c>
      <c r="T139" s="1600">
        <f t="shared" ref="T139:Z139" si="37">SUM(T126:T137)</f>
        <v>66339.236799999999</v>
      </c>
      <c r="U139" s="585">
        <f t="shared" si="37"/>
        <v>0</v>
      </c>
      <c r="V139" s="585">
        <f t="shared" si="37"/>
        <v>36600</v>
      </c>
      <c r="W139" s="585">
        <f t="shared" si="37"/>
        <v>0</v>
      </c>
      <c r="X139" s="585">
        <f t="shared" si="37"/>
        <v>17000</v>
      </c>
      <c r="Y139" s="1601">
        <f t="shared" si="37"/>
        <v>81860</v>
      </c>
      <c r="Z139" s="1602">
        <f t="shared" si="37"/>
        <v>21079.236799999999</v>
      </c>
      <c r="AA139" s="1603">
        <f>SUM(AA126:AA138)</f>
        <v>25760</v>
      </c>
      <c r="AB139" s="1604">
        <f>SUM(AB126:AB138)</f>
        <v>43299.999999999985</v>
      </c>
      <c r="AC139" s="1604">
        <f t="shared" ref="AC139:AE139" si="38">SUM(AC126:AC138)</f>
        <v>9108.8368000000009</v>
      </c>
      <c r="AD139" s="1604">
        <f t="shared" si="38"/>
        <v>4370.4000000000005</v>
      </c>
      <c r="AE139" s="1605">
        <f t="shared" si="38"/>
        <v>20400</v>
      </c>
    </row>
    <row r="140" spans="1:31" x14ac:dyDescent="0.3">
      <c r="A140" s="789" t="s">
        <v>532</v>
      </c>
      <c r="B140" s="790"/>
      <c r="C140" s="790"/>
      <c r="D140" s="790"/>
      <c r="E140" s="790"/>
      <c r="F140" s="791"/>
      <c r="G140" s="790"/>
      <c r="H140" s="790"/>
      <c r="I140" s="792">
        <f>I134+I133+I132+I131+I130+I129+I128</f>
        <v>30</v>
      </c>
      <c r="J140" s="792">
        <f>I134+I133+I132+I130+I129+I128</f>
        <v>28</v>
      </c>
      <c r="K140" s="792">
        <f>I134+I133+K131+I130+I128+K127</f>
        <v>27</v>
      </c>
      <c r="L140" s="792"/>
      <c r="M140" s="790">
        <f>SUM(I140:L140)</f>
        <v>85</v>
      </c>
      <c r="N140" s="793"/>
      <c r="O140" s="794"/>
      <c r="P140" s="793"/>
      <c r="Q140" s="793"/>
      <c r="R140" s="794"/>
      <c r="S140" s="1606">
        <f>Q139/M139</f>
        <v>2998.48092</v>
      </c>
      <c r="T140" s="1607">
        <f>T139/S139</f>
        <v>0.55310704461644533</v>
      </c>
      <c r="U140" s="1608">
        <f>U139/S139</f>
        <v>0</v>
      </c>
      <c r="V140" s="1609">
        <f>V139/S139</f>
        <v>0.30515451804175564</v>
      </c>
      <c r="W140" s="1608">
        <f>W139/S139</f>
        <v>0</v>
      </c>
      <c r="X140" s="1608">
        <f>X139/S139</f>
        <v>0.14173843734179906</v>
      </c>
      <c r="Y140" s="788">
        <f>Y139/S139</f>
        <v>0.68251226357645123</v>
      </c>
      <c r="Z140" s="1610">
        <f>Z139/S139</f>
        <v>0.17574929908174969</v>
      </c>
      <c r="AA140" s="1611"/>
      <c r="AB140" s="1612"/>
      <c r="AC140" s="1612"/>
      <c r="AD140" s="1612"/>
      <c r="AE140" s="1613"/>
    </row>
    <row r="141" spans="1:31" x14ac:dyDescent="0.3">
      <c r="A141" s="251" t="s">
        <v>533</v>
      </c>
      <c r="B141" s="252"/>
      <c r="C141" s="252"/>
      <c r="D141" s="252"/>
      <c r="E141" s="252"/>
      <c r="F141" s="253"/>
      <c r="G141" s="252"/>
      <c r="H141" s="252"/>
      <c r="I141" s="2188">
        <f>I140/$M$140</f>
        <v>0.35294117647058826</v>
      </c>
      <c r="J141" s="2188">
        <f t="shared" ref="J141:L141" si="39">J140/$M$140</f>
        <v>0.32941176470588235</v>
      </c>
      <c r="K141" s="2188">
        <f t="shared" si="39"/>
        <v>0.31764705882352939</v>
      </c>
      <c r="L141" s="2188">
        <f t="shared" si="39"/>
        <v>0</v>
      </c>
      <c r="M141" s="252"/>
      <c r="N141" s="255"/>
      <c r="O141" s="256"/>
      <c r="P141" s="255"/>
      <c r="Q141" s="257">
        <f>T139</f>
        <v>66339.236799999999</v>
      </c>
      <c r="R141" s="262">
        <f>Q141/Q145</f>
        <v>0.55310704461644533</v>
      </c>
      <c r="X141" s="248"/>
      <c r="Y141" s="357">
        <f>K127+I129+I130+I133+I134</f>
        <v>32</v>
      </c>
      <c r="Z141" s="358">
        <f>I128+I131+K131+I132</f>
        <v>8</v>
      </c>
      <c r="AA141" s="4"/>
    </row>
    <row r="142" spans="1:31" x14ac:dyDescent="0.3">
      <c r="A142" s="251" t="s">
        <v>11</v>
      </c>
      <c r="B142" s="252"/>
      <c r="C142" s="252"/>
      <c r="D142" s="252"/>
      <c r="E142" s="252"/>
      <c r="F142" s="253"/>
      <c r="G142" s="252"/>
      <c r="H142" s="252"/>
      <c r="I142" s="254"/>
      <c r="J142" s="254"/>
      <c r="K142" s="254"/>
      <c r="L142" s="254"/>
      <c r="M142" s="252"/>
      <c r="N142" s="255"/>
      <c r="O142" s="256"/>
      <c r="P142" s="255"/>
      <c r="Q142" s="257">
        <f>U139</f>
        <v>0</v>
      </c>
      <c r="R142" s="262">
        <f>Q142/Q145</f>
        <v>0</v>
      </c>
      <c r="S142" s="1068">
        <f>Q139/M139</f>
        <v>2998.48092</v>
      </c>
      <c r="T142" s="1069" t="s">
        <v>535</v>
      </c>
      <c r="X142" s="263"/>
      <c r="Y142" s="195">
        <f>Y141/M139</f>
        <v>0.8</v>
      </c>
      <c r="Z142" s="247">
        <f>Z141/M139</f>
        <v>0.2</v>
      </c>
    </row>
    <row r="143" spans="1:31" x14ac:dyDescent="0.3">
      <c r="A143" s="251" t="s">
        <v>536</v>
      </c>
      <c r="B143" s="252"/>
      <c r="C143" s="252"/>
      <c r="D143" s="252"/>
      <c r="E143" s="252"/>
      <c r="F143" s="253"/>
      <c r="G143" s="252"/>
      <c r="H143" s="252"/>
      <c r="I143" s="254"/>
      <c r="J143" s="254"/>
      <c r="K143" s="254"/>
      <c r="L143" s="254"/>
      <c r="M143" s="252"/>
      <c r="N143" s="255"/>
      <c r="O143" s="256"/>
      <c r="P143" s="255"/>
      <c r="Q143" s="257">
        <f>V139</f>
        <v>36600</v>
      </c>
      <c r="R143" s="262">
        <f>Q143/Q139</f>
        <v>0.30515451804175564</v>
      </c>
      <c r="W143" s="99"/>
      <c r="Y143" s="2551" t="s">
        <v>537</v>
      </c>
      <c r="Z143" s="2551"/>
    </row>
    <row r="144" spans="1:31" x14ac:dyDescent="0.3">
      <c r="A144" s="251" t="s">
        <v>529</v>
      </c>
      <c r="B144" s="252"/>
      <c r="C144" s="252"/>
      <c r="D144" s="252"/>
      <c r="E144" s="252"/>
      <c r="F144" s="253"/>
      <c r="G144" s="252"/>
      <c r="H144" s="252"/>
      <c r="I144" s="254"/>
      <c r="J144" s="254"/>
      <c r="K144" s="254"/>
      <c r="L144" s="254"/>
      <c r="M144" s="252"/>
      <c r="N144" s="255"/>
      <c r="O144" s="256"/>
      <c r="P144" s="255"/>
      <c r="Q144" s="257">
        <f>Q137</f>
        <v>17000</v>
      </c>
      <c r="R144" s="262">
        <f>Q144/Q145</f>
        <v>0.14173843734179906</v>
      </c>
    </row>
    <row r="145" spans="1:31" x14ac:dyDescent="0.3">
      <c r="A145" s="243"/>
      <c r="B145" s="193"/>
      <c r="C145" s="193"/>
      <c r="D145" s="193"/>
      <c r="E145" s="193"/>
      <c r="F145" s="244"/>
      <c r="G145" s="193"/>
      <c r="H145" s="193"/>
      <c r="I145" s="245"/>
      <c r="J145" s="245"/>
      <c r="K145" s="245"/>
      <c r="L145" s="245"/>
      <c r="M145" s="193"/>
      <c r="N145" s="246"/>
      <c r="O145" s="196"/>
      <c r="P145" s="246"/>
      <c r="Q145" s="194">
        <f>SUM(Q141:Q144)</f>
        <v>119939.2368</v>
      </c>
      <c r="R145" s="247">
        <f>SUM(R141:R144)</f>
        <v>1</v>
      </c>
      <c r="S145" s="600"/>
    </row>
    <row r="147" spans="1:31" x14ac:dyDescent="0.3">
      <c r="B147" s="2"/>
    </row>
    <row r="148" spans="1:31" x14ac:dyDescent="0.3">
      <c r="B148" s="2"/>
      <c r="E148" s="1" t="s">
        <v>562</v>
      </c>
      <c r="F148" s="2" t="s">
        <v>1063</v>
      </c>
    </row>
    <row r="149" spans="1:31" x14ac:dyDescent="0.3">
      <c r="E149" s="1" t="s">
        <v>473</v>
      </c>
      <c r="F149" s="2" t="s">
        <v>128</v>
      </c>
    </row>
    <row r="150" spans="1:31" x14ac:dyDescent="0.3">
      <c r="E150" s="1" t="s">
        <v>475</v>
      </c>
      <c r="F150" s="2" t="s">
        <v>1064</v>
      </c>
    </row>
    <row r="151" spans="1:31" x14ac:dyDescent="0.3">
      <c r="E151" s="1" t="s">
        <v>477</v>
      </c>
      <c r="F151" s="2" t="s">
        <v>1065</v>
      </c>
    </row>
    <row r="153" spans="1:31" ht="18" x14ac:dyDescent="0.35">
      <c r="A153" s="1037" t="s">
        <v>567</v>
      </c>
    </row>
    <row r="154" spans="1:31" ht="18" x14ac:dyDescent="0.35">
      <c r="A154" s="1037"/>
    </row>
    <row r="155" spans="1:31" x14ac:dyDescent="0.3">
      <c r="A155" s="2587" t="s">
        <v>480</v>
      </c>
      <c r="B155" s="2588"/>
      <c r="C155" s="2588"/>
      <c r="D155" s="2588"/>
      <c r="E155" s="2588"/>
      <c r="F155" s="2588"/>
      <c r="G155" s="2588"/>
      <c r="H155" s="2588"/>
      <c r="I155" s="2588"/>
      <c r="J155" s="2588"/>
      <c r="K155" s="2588"/>
      <c r="L155" s="2588"/>
      <c r="M155" s="2588"/>
      <c r="N155" s="2588"/>
      <c r="O155" s="2588"/>
      <c r="P155" s="2588"/>
      <c r="Q155" s="2588"/>
      <c r="R155" s="2589"/>
      <c r="S155" s="2563" t="s">
        <v>584</v>
      </c>
      <c r="T155" s="2564"/>
      <c r="U155" s="2564"/>
      <c r="V155" s="2564"/>
      <c r="W155" s="2564"/>
      <c r="X155" s="2564"/>
      <c r="Y155" s="2564"/>
      <c r="Z155" s="2564"/>
      <c r="AA155" s="2564"/>
      <c r="AB155" s="2564"/>
      <c r="AC155" s="2564"/>
      <c r="AD155" s="2564"/>
      <c r="AE155" s="2576"/>
    </row>
    <row r="156" spans="1:31" ht="18" x14ac:dyDescent="0.3">
      <c r="A156" s="2801" t="s">
        <v>482</v>
      </c>
      <c r="B156" s="2801" t="s">
        <v>483</v>
      </c>
      <c r="C156" s="2801" t="s">
        <v>484</v>
      </c>
      <c r="D156" s="2801" t="s">
        <v>555</v>
      </c>
      <c r="E156" s="2801" t="s">
        <v>556</v>
      </c>
      <c r="F156" s="2803" t="s">
        <v>487</v>
      </c>
      <c r="G156" s="2801" t="s">
        <v>557</v>
      </c>
      <c r="H156" s="2801" t="s">
        <v>489</v>
      </c>
      <c r="I156" s="1404" t="s">
        <v>490</v>
      </c>
      <c r="J156" s="1405"/>
      <c r="K156" s="1405"/>
      <c r="L156" s="1406"/>
      <c r="M156" s="1637" t="s">
        <v>491</v>
      </c>
      <c r="N156" s="1638" t="s">
        <v>558</v>
      </c>
      <c r="O156" s="1639" t="s">
        <v>493</v>
      </c>
      <c r="P156" s="1638" t="s">
        <v>558</v>
      </c>
      <c r="Q156" s="1638" t="s">
        <v>559</v>
      </c>
      <c r="R156" s="2802" t="s">
        <v>495</v>
      </c>
      <c r="S156" s="1074" t="s">
        <v>496</v>
      </c>
      <c r="T156" s="2552" t="s">
        <v>497</v>
      </c>
      <c r="U156" s="2553"/>
      <c r="V156" s="2553"/>
      <c r="W156" s="2553"/>
      <c r="X156" s="2553"/>
      <c r="Y156" s="2552" t="s">
        <v>498</v>
      </c>
      <c r="Z156" s="2553"/>
      <c r="AA156" s="2552" t="s">
        <v>499</v>
      </c>
      <c r="AB156" s="2553"/>
      <c r="AC156" s="2553"/>
      <c r="AD156" s="2553"/>
      <c r="AE156" s="2556"/>
    </row>
    <row r="157" spans="1:31" ht="18" x14ac:dyDescent="0.3">
      <c r="A157" s="2216"/>
      <c r="B157" s="2216"/>
      <c r="C157" s="2216"/>
      <c r="D157" s="2216"/>
      <c r="E157" s="2216"/>
      <c r="F157" s="2214"/>
      <c r="G157" s="2216"/>
      <c r="H157" s="2216"/>
      <c r="I157" s="106" t="s">
        <v>500</v>
      </c>
      <c r="J157" s="106" t="s">
        <v>501</v>
      </c>
      <c r="K157" s="106" t="s">
        <v>502</v>
      </c>
      <c r="L157" s="106" t="s">
        <v>503</v>
      </c>
      <c r="M157" s="379" t="s">
        <v>504</v>
      </c>
      <c r="N157" s="380" t="s">
        <v>505</v>
      </c>
      <c r="O157" s="381" t="s">
        <v>506</v>
      </c>
      <c r="P157" s="380" t="s">
        <v>507</v>
      </c>
      <c r="Q157" s="380" t="s">
        <v>560</v>
      </c>
      <c r="R157" s="2771"/>
      <c r="S157" s="1074" t="s">
        <v>508</v>
      </c>
      <c r="T157" s="2773"/>
      <c r="U157" s="2772"/>
      <c r="V157" s="2772"/>
      <c r="W157" s="2772"/>
      <c r="X157" s="2772"/>
      <c r="Y157" s="2773"/>
      <c r="Z157" s="2772"/>
      <c r="AA157" s="2773"/>
      <c r="AB157" s="2772"/>
      <c r="AC157" s="2772"/>
      <c r="AD157" s="2772"/>
      <c r="AE157" s="2774"/>
    </row>
    <row r="158" spans="1:31" ht="18" x14ac:dyDescent="0.35">
      <c r="A158" s="2763" t="s">
        <v>568</v>
      </c>
      <c r="B158" s="2764"/>
      <c r="C158" s="2764"/>
      <c r="D158" s="2764"/>
      <c r="E158" s="2764"/>
      <c r="F158" s="2764"/>
      <c r="G158" s="2764"/>
      <c r="H158" s="2764"/>
      <c r="I158" s="2764"/>
      <c r="J158" s="2764"/>
      <c r="K158" s="2764"/>
      <c r="L158" s="2764"/>
      <c r="M158" s="2764"/>
      <c r="N158" s="2764"/>
      <c r="O158" s="2764"/>
      <c r="P158" s="2764"/>
      <c r="Q158" s="2764"/>
      <c r="R158" s="2765"/>
      <c r="S158" s="1577"/>
      <c r="T158" s="1553" t="s">
        <v>510</v>
      </c>
      <c r="U158" s="1554" t="s">
        <v>11</v>
      </c>
      <c r="V158" s="1554" t="s">
        <v>511</v>
      </c>
      <c r="W158" s="1554" t="s">
        <v>512</v>
      </c>
      <c r="X158" s="1578" t="s">
        <v>513</v>
      </c>
      <c r="Y158" s="1553" t="s">
        <v>514</v>
      </c>
      <c r="Z158" s="1578" t="s">
        <v>515</v>
      </c>
      <c r="AA158" s="1553" t="s">
        <v>9</v>
      </c>
      <c r="AB158" s="1554" t="s">
        <v>10</v>
      </c>
      <c r="AC158" s="1554" t="s">
        <v>226</v>
      </c>
      <c r="AD158" s="1554" t="s">
        <v>206</v>
      </c>
      <c r="AE158" s="1578" t="s">
        <v>5</v>
      </c>
    </row>
    <row r="159" spans="1:31" x14ac:dyDescent="0.3">
      <c r="A159" s="154"/>
      <c r="B159" s="462"/>
      <c r="C159" s="462"/>
      <c r="D159" s="462"/>
      <c r="E159" s="462"/>
      <c r="F159" s="463"/>
      <c r="G159" s="462"/>
      <c r="H159" s="462"/>
      <c r="I159" s="465"/>
      <c r="J159" s="465"/>
      <c r="K159" s="465"/>
      <c r="L159" s="465"/>
      <c r="M159" s="462"/>
      <c r="N159" s="468"/>
      <c r="O159" s="469"/>
      <c r="P159" s="468"/>
      <c r="Q159" s="468"/>
      <c r="R159" s="469"/>
      <c r="S159" s="166"/>
      <c r="X159" s="286"/>
      <c r="Z159" s="286"/>
      <c r="AA159" s="464"/>
      <c r="AB159" s="465"/>
      <c r="AC159" s="465"/>
      <c r="AD159" s="465"/>
      <c r="AE159" s="466"/>
    </row>
    <row r="160" spans="1:31" x14ac:dyDescent="0.3">
      <c r="A160" s="157" t="s">
        <v>1059</v>
      </c>
      <c r="B160" s="157" t="s">
        <v>215</v>
      </c>
      <c r="C160" s="157" t="s">
        <v>1037</v>
      </c>
      <c r="D160" s="157" t="s">
        <v>89</v>
      </c>
      <c r="E160" s="157" t="s">
        <v>520</v>
      </c>
      <c r="F160" s="158" t="s">
        <v>519</v>
      </c>
      <c r="G160" s="157">
        <v>8</v>
      </c>
      <c r="H160" s="157" t="s">
        <v>63</v>
      </c>
      <c r="I160" s="188"/>
      <c r="K160" s="176">
        <v>8</v>
      </c>
      <c r="L160" s="177"/>
      <c r="M160" s="163">
        <v>1</v>
      </c>
      <c r="N160" s="166">
        <v>2800</v>
      </c>
      <c r="O160" s="173">
        <v>0.3</v>
      </c>
      <c r="P160" s="166">
        <f t="shared" ref="P160:P167" si="40">N160*(1-O160)</f>
        <v>1959.9999999999998</v>
      </c>
      <c r="Q160" s="166">
        <f t="shared" ref="Q160:Q167" si="41">P160*M160*G160</f>
        <v>15679.999999999998</v>
      </c>
      <c r="R160" s="184">
        <f t="shared" ref="R160:R167" si="42">Q160/$Q$172</f>
        <v>0.27005424363272895</v>
      </c>
      <c r="S160" s="503">
        <f>Q160*3</f>
        <v>47039.999999999993</v>
      </c>
      <c r="T160" s="394">
        <f t="shared" ref="T160:T162" si="43">S160</f>
        <v>47039.999999999993</v>
      </c>
      <c r="X160" s="286"/>
      <c r="Y160" s="394">
        <f>S160</f>
        <v>47039.999999999993</v>
      </c>
      <c r="Z160" s="395"/>
      <c r="AA160" s="394">
        <f>S160</f>
        <v>47039.999999999993</v>
      </c>
      <c r="AE160" s="286"/>
    </row>
    <row r="161" spans="1:31" x14ac:dyDescent="0.3">
      <c r="A161" s="157" t="s">
        <v>1059</v>
      </c>
      <c r="B161" s="157" t="s">
        <v>216</v>
      </c>
      <c r="C161" s="157" t="s">
        <v>1037</v>
      </c>
      <c r="D161" s="157" t="s">
        <v>102</v>
      </c>
      <c r="E161" s="157" t="s">
        <v>518</v>
      </c>
      <c r="F161" s="158" t="s">
        <v>588</v>
      </c>
      <c r="G161" s="157">
        <v>1</v>
      </c>
      <c r="H161" s="157" t="s">
        <v>63</v>
      </c>
      <c r="I161" s="182">
        <v>1</v>
      </c>
      <c r="J161" s="183"/>
      <c r="K161" s="183"/>
      <c r="L161" s="2239"/>
      <c r="M161" s="163">
        <v>1</v>
      </c>
      <c r="N161" s="166">
        <v>47500</v>
      </c>
      <c r="O161" s="173">
        <v>0.92</v>
      </c>
      <c r="P161" s="166">
        <f t="shared" si="40"/>
        <v>3799.9999999999982</v>
      </c>
      <c r="Q161" s="166">
        <f t="shared" si="41"/>
        <v>3799.9999999999982</v>
      </c>
      <c r="R161" s="167">
        <f t="shared" si="42"/>
        <v>6.5446819247727647E-2</v>
      </c>
      <c r="S161" s="503">
        <f t="shared" ref="S161:S167" si="44">Q161*3</f>
        <v>11399.999999999995</v>
      </c>
      <c r="T161" s="394">
        <f t="shared" si="43"/>
        <v>11399.999999999995</v>
      </c>
      <c r="X161" s="286"/>
      <c r="Y161" s="394"/>
      <c r="Z161" s="395">
        <f>S161</f>
        <v>11399.999999999995</v>
      </c>
      <c r="AA161" s="188"/>
      <c r="AB161" s="169">
        <f>S161</f>
        <v>11399.999999999995</v>
      </c>
      <c r="AE161" s="286"/>
    </row>
    <row r="162" spans="1:31" x14ac:dyDescent="0.3">
      <c r="A162" s="157" t="s">
        <v>1059</v>
      </c>
      <c r="B162" s="157" t="s">
        <v>216</v>
      </c>
      <c r="C162" s="157" t="s">
        <v>1037</v>
      </c>
      <c r="D162" s="157" t="s">
        <v>231</v>
      </c>
      <c r="E162" s="157" t="s">
        <v>520</v>
      </c>
      <c r="F162" s="158" t="s">
        <v>519</v>
      </c>
      <c r="G162" s="157">
        <v>8</v>
      </c>
      <c r="H162" s="157" t="s">
        <v>63</v>
      </c>
      <c r="I162" s="175">
        <v>8</v>
      </c>
      <c r="J162" s="688"/>
      <c r="L162" s="286"/>
      <c r="M162" s="163">
        <v>1</v>
      </c>
      <c r="N162" s="166">
        <v>5250</v>
      </c>
      <c r="O162" s="173">
        <v>0.8</v>
      </c>
      <c r="P162" s="166">
        <f t="shared" si="40"/>
        <v>1049.9999999999998</v>
      </c>
      <c r="Q162" s="166">
        <f t="shared" si="41"/>
        <v>8399.9999999999982</v>
      </c>
      <c r="R162" s="184">
        <f t="shared" si="42"/>
        <v>0.14467191623181905</v>
      </c>
      <c r="S162" s="503">
        <f t="shared" si="44"/>
        <v>25199.999999999993</v>
      </c>
      <c r="T162" s="394">
        <f t="shared" si="43"/>
        <v>25199.999999999993</v>
      </c>
      <c r="X162" s="286"/>
      <c r="Y162" s="394">
        <f>S162</f>
        <v>25199.999999999993</v>
      </c>
      <c r="Z162" s="395"/>
      <c r="AA162" s="188"/>
      <c r="AB162" s="169">
        <f t="shared" ref="AB162:AB163" si="45">S162</f>
        <v>25199.999999999993</v>
      </c>
      <c r="AE162" s="286"/>
    </row>
    <row r="163" spans="1:31" x14ac:dyDescent="0.3">
      <c r="A163" s="157" t="s">
        <v>1059</v>
      </c>
      <c r="B163" s="157" t="s">
        <v>216</v>
      </c>
      <c r="C163" s="157" t="s">
        <v>1037</v>
      </c>
      <c r="D163" s="157" t="s">
        <v>26</v>
      </c>
      <c r="E163" s="157" t="s">
        <v>520</v>
      </c>
      <c r="F163" s="158" t="s">
        <v>43</v>
      </c>
      <c r="G163" s="157">
        <v>1</v>
      </c>
      <c r="H163" s="157" t="s">
        <v>24</v>
      </c>
      <c r="I163" s="182">
        <v>1</v>
      </c>
      <c r="J163" s="183"/>
      <c r="K163" s="183"/>
      <c r="L163" s="2239"/>
      <c r="M163" s="163">
        <v>1</v>
      </c>
      <c r="N163" s="166">
        <v>30000</v>
      </c>
      <c r="O163" s="173">
        <v>0.8</v>
      </c>
      <c r="P163" s="166">
        <f t="shared" si="40"/>
        <v>5999.9999999999991</v>
      </c>
      <c r="Q163" s="166">
        <f t="shared" si="41"/>
        <v>5999.9999999999991</v>
      </c>
      <c r="R163" s="184">
        <f t="shared" si="42"/>
        <v>0.1033370830227279</v>
      </c>
      <c r="S163" s="503">
        <f t="shared" si="44"/>
        <v>17999.999999999996</v>
      </c>
      <c r="T163" s="394">
        <f>S163</f>
        <v>17999.999999999996</v>
      </c>
      <c r="U163" s="169"/>
      <c r="X163" s="286"/>
      <c r="Y163" s="394">
        <f>S163</f>
        <v>17999.999999999996</v>
      </c>
      <c r="Z163" s="286"/>
      <c r="AA163" s="188"/>
      <c r="AB163" s="169">
        <f t="shared" si="45"/>
        <v>17999.999999999996</v>
      </c>
      <c r="AE163" s="286"/>
    </row>
    <row r="164" spans="1:31" x14ac:dyDescent="0.3">
      <c r="A164" s="157" t="s">
        <v>1059</v>
      </c>
      <c r="B164" s="157" t="s">
        <v>227</v>
      </c>
      <c r="C164" s="157" t="s">
        <v>1037</v>
      </c>
      <c r="D164" s="157" t="s">
        <v>102</v>
      </c>
      <c r="E164" s="157" t="s">
        <v>518</v>
      </c>
      <c r="F164" s="158" t="s">
        <v>588</v>
      </c>
      <c r="G164" s="157">
        <v>1</v>
      </c>
      <c r="H164" s="157" t="s">
        <v>22</v>
      </c>
      <c r="K164" s="183">
        <v>1</v>
      </c>
      <c r="L164" s="286"/>
      <c r="M164" s="163">
        <v>1</v>
      </c>
      <c r="N164" s="166">
        <v>8132.89</v>
      </c>
      <c r="O164" s="173">
        <v>0.72</v>
      </c>
      <c r="P164" s="166">
        <f t="shared" si="40"/>
        <v>2277.2092000000002</v>
      </c>
      <c r="Q164" s="166">
        <f t="shared" si="41"/>
        <v>2277.2092000000002</v>
      </c>
      <c r="R164" s="167">
        <f t="shared" si="42"/>
        <v>3.9220026026753306E-2</v>
      </c>
      <c r="S164" s="503">
        <f t="shared" si="44"/>
        <v>6831.6276000000007</v>
      </c>
      <c r="T164" s="394">
        <f>S164</f>
        <v>6831.6276000000007</v>
      </c>
      <c r="X164" s="286"/>
      <c r="Y164" s="394"/>
      <c r="Z164" s="395">
        <f>S164</f>
        <v>6831.6276000000007</v>
      </c>
      <c r="AA164" s="188"/>
      <c r="AC164" s="169">
        <f>S164</f>
        <v>6831.6276000000007</v>
      </c>
      <c r="AE164" s="286"/>
    </row>
    <row r="165" spans="1:31" x14ac:dyDescent="0.3">
      <c r="A165" s="157" t="s">
        <v>1059</v>
      </c>
      <c r="B165" s="157" t="s">
        <v>210</v>
      </c>
      <c r="C165" s="157" t="s">
        <v>1037</v>
      </c>
      <c r="D165" s="157" t="s">
        <v>102</v>
      </c>
      <c r="E165" s="157" t="s">
        <v>518</v>
      </c>
      <c r="F165" s="158" t="s">
        <v>588</v>
      </c>
      <c r="G165" s="157">
        <v>1</v>
      </c>
      <c r="H165" s="157" t="s">
        <v>147</v>
      </c>
      <c r="I165" s="175">
        <v>1</v>
      </c>
      <c r="J165" s="176"/>
      <c r="L165" s="286"/>
      <c r="M165" s="163">
        <v>1</v>
      </c>
      <c r="N165" s="166">
        <v>5463</v>
      </c>
      <c r="O165" s="173">
        <v>0.6</v>
      </c>
      <c r="P165" s="166">
        <f t="shared" si="40"/>
        <v>2185.2000000000003</v>
      </c>
      <c r="Q165" s="166">
        <f t="shared" si="41"/>
        <v>2185.2000000000003</v>
      </c>
      <c r="R165" s="167">
        <f t="shared" si="42"/>
        <v>3.7635365636877513E-2</v>
      </c>
      <c r="S165" s="503">
        <f t="shared" si="44"/>
        <v>6555.6</v>
      </c>
      <c r="T165" s="394">
        <f>S165</f>
        <v>6555.6</v>
      </c>
      <c r="U165" s="169"/>
      <c r="X165" s="286"/>
      <c r="Y165" s="394"/>
      <c r="Z165" s="395">
        <f>S165</f>
        <v>6555.6</v>
      </c>
      <c r="AA165" s="188"/>
      <c r="AD165" s="169">
        <f>S165</f>
        <v>6555.6</v>
      </c>
      <c r="AE165" s="286"/>
    </row>
    <row r="166" spans="1:31" x14ac:dyDescent="0.3">
      <c r="A166" s="157" t="s">
        <v>1059</v>
      </c>
      <c r="B166" s="157" t="s">
        <v>216</v>
      </c>
      <c r="C166" s="157" t="s">
        <v>1041</v>
      </c>
      <c r="D166" s="157" t="s">
        <v>180</v>
      </c>
      <c r="E166" s="157" t="s">
        <v>520</v>
      </c>
      <c r="F166" s="158" t="s">
        <v>654</v>
      </c>
      <c r="G166" s="157">
        <v>3</v>
      </c>
      <c r="H166" s="157" t="s">
        <v>24</v>
      </c>
      <c r="I166" s="182">
        <v>3</v>
      </c>
      <c r="J166" s="183"/>
      <c r="K166" s="183"/>
      <c r="L166" s="2239"/>
      <c r="M166" s="163">
        <v>1</v>
      </c>
      <c r="N166" s="166">
        <v>9000</v>
      </c>
      <c r="O166" s="173">
        <v>0.8</v>
      </c>
      <c r="P166" s="166">
        <f t="shared" si="40"/>
        <v>1799.9999999999995</v>
      </c>
      <c r="Q166" s="166">
        <f t="shared" si="41"/>
        <v>5399.9999999999982</v>
      </c>
      <c r="R166" s="184">
        <f t="shared" si="42"/>
        <v>9.3003374720455098E-2</v>
      </c>
      <c r="S166" s="503">
        <f t="shared" si="44"/>
        <v>16199.999999999995</v>
      </c>
      <c r="T166" s="394"/>
      <c r="V166" s="169">
        <f>S166</f>
        <v>16199.999999999995</v>
      </c>
      <c r="X166" s="286"/>
      <c r="Y166" s="394">
        <f>S166</f>
        <v>16199.999999999995</v>
      </c>
      <c r="Z166" s="286"/>
      <c r="AA166" s="188"/>
      <c r="AB166" s="169">
        <f>S166</f>
        <v>16199.999999999995</v>
      </c>
      <c r="AE166" s="286"/>
    </row>
    <row r="167" spans="1:31" x14ac:dyDescent="0.3">
      <c r="A167" s="157" t="s">
        <v>1059</v>
      </c>
      <c r="B167" s="157" t="s">
        <v>220</v>
      </c>
      <c r="C167" s="157" t="s">
        <v>1037</v>
      </c>
      <c r="D167" s="157" t="s">
        <v>232</v>
      </c>
      <c r="E167" s="157" t="s">
        <v>520</v>
      </c>
      <c r="F167" s="158" t="s">
        <v>38</v>
      </c>
      <c r="G167" s="157">
        <v>1</v>
      </c>
      <c r="H167" s="157" t="s">
        <v>24</v>
      </c>
      <c r="I167" s="182">
        <v>3</v>
      </c>
      <c r="J167" s="183"/>
      <c r="K167" s="183"/>
      <c r="L167" s="2239"/>
      <c r="M167" s="163">
        <v>1</v>
      </c>
      <c r="N167" s="166">
        <v>5400</v>
      </c>
      <c r="O167" s="173">
        <v>0.2</v>
      </c>
      <c r="P167" s="166">
        <f t="shared" si="40"/>
        <v>4320</v>
      </c>
      <c r="Q167" s="166">
        <f t="shared" si="41"/>
        <v>4320</v>
      </c>
      <c r="R167" s="178">
        <f t="shared" si="42"/>
        <v>7.4402699776364101E-2</v>
      </c>
      <c r="S167" s="503">
        <f t="shared" si="44"/>
        <v>12960</v>
      </c>
      <c r="T167" s="188"/>
      <c r="V167" s="169">
        <f>S167</f>
        <v>12960</v>
      </c>
      <c r="X167" s="286"/>
      <c r="Y167" s="206">
        <f>S167</f>
        <v>12960</v>
      </c>
      <c r="Z167" s="286"/>
      <c r="AA167" s="188"/>
      <c r="AE167" s="395">
        <f>S167</f>
        <v>12960</v>
      </c>
    </row>
    <row r="168" spans="1:31" x14ac:dyDescent="0.3">
      <c r="A168" s="172"/>
      <c r="B168" s="157"/>
      <c r="C168" s="157"/>
      <c r="D168" s="157"/>
      <c r="E168" s="157"/>
      <c r="F168" s="157"/>
      <c r="G168" s="157"/>
      <c r="H168" s="157"/>
      <c r="I168" s="192"/>
      <c r="J168" s="193"/>
      <c r="K168" s="193"/>
      <c r="L168" s="630"/>
      <c r="M168" s="157"/>
      <c r="N168" s="157"/>
      <c r="O168" s="157"/>
      <c r="P168" s="186"/>
      <c r="Q168" s="166"/>
      <c r="R168" s="393"/>
      <c r="S168" s="503"/>
      <c r="T168" s="188"/>
      <c r="X168" s="286"/>
      <c r="Y168" s="188"/>
      <c r="Z168" s="286"/>
      <c r="AA168" s="188"/>
      <c r="AE168" s="286"/>
    </row>
    <row r="169" spans="1:31" x14ac:dyDescent="0.3">
      <c r="A169" s="108" t="s">
        <v>1059</v>
      </c>
      <c r="B169" s="108" t="s">
        <v>528</v>
      </c>
      <c r="C169" s="289"/>
      <c r="D169" s="252"/>
      <c r="E169" s="252"/>
      <c r="F169" s="253"/>
      <c r="G169" s="252"/>
      <c r="H169" s="252"/>
      <c r="I169" s="254"/>
      <c r="J169" s="254"/>
      <c r="K169" s="254"/>
      <c r="L169" s="254"/>
      <c r="M169" s="252"/>
      <c r="N169" s="255"/>
      <c r="O169" s="256"/>
      <c r="P169" s="290"/>
      <c r="Q169" s="257"/>
      <c r="R169" s="291"/>
      <c r="S169" s="503"/>
      <c r="T169" s="188"/>
      <c r="W169" s="169">
        <f>S169</f>
        <v>0</v>
      </c>
      <c r="X169" s="286"/>
      <c r="Y169" s="188"/>
      <c r="Z169" s="286"/>
      <c r="AA169" s="188"/>
      <c r="AE169" s="286"/>
    </row>
    <row r="170" spans="1:31" x14ac:dyDescent="0.3">
      <c r="A170" s="108" t="s">
        <v>1059</v>
      </c>
      <c r="B170" s="108" t="s">
        <v>529</v>
      </c>
      <c r="C170" s="289"/>
      <c r="D170" s="252"/>
      <c r="E170" s="252"/>
      <c r="F170" s="253"/>
      <c r="G170" s="252"/>
      <c r="H170" s="252"/>
      <c r="I170" s="254"/>
      <c r="J170" s="254"/>
      <c r="K170" s="254"/>
      <c r="L170" s="254"/>
      <c r="M170" s="252"/>
      <c r="N170" s="255"/>
      <c r="O170" s="256"/>
      <c r="P170" s="290"/>
      <c r="Q170" s="257">
        <v>10000</v>
      </c>
      <c r="R170" s="291">
        <f>Q170/Q172</f>
        <v>0.17222847170454653</v>
      </c>
      <c r="S170" s="503">
        <f>Q170*3</f>
        <v>30000</v>
      </c>
      <c r="T170" s="188"/>
      <c r="X170" s="395">
        <f>S170</f>
        <v>30000</v>
      </c>
      <c r="Y170" s="188"/>
      <c r="Z170" s="286"/>
      <c r="AA170" s="188"/>
      <c r="AE170" s="286"/>
    </row>
    <row r="171" spans="1:31" x14ac:dyDescent="0.3">
      <c r="S171" s="166"/>
      <c r="T171" s="188"/>
      <c r="X171" s="286"/>
      <c r="Y171" s="188"/>
      <c r="Z171" s="286"/>
      <c r="AA171" s="243"/>
      <c r="AB171" s="245"/>
      <c r="AC171" s="245"/>
      <c r="AD171" s="245"/>
      <c r="AE171" s="287"/>
    </row>
    <row r="172" spans="1:31" x14ac:dyDescent="0.3">
      <c r="A172" s="1404" t="s">
        <v>531</v>
      </c>
      <c r="B172" s="1405"/>
      <c r="C172" s="1405"/>
      <c r="D172" s="1405"/>
      <c r="E172" s="1405"/>
      <c r="F172" s="1614"/>
      <c r="G172" s="1405"/>
      <c r="H172" s="1405"/>
      <c r="I172" s="1615">
        <f>I167+I166+I165+I163+I162+I161</f>
        <v>17</v>
      </c>
      <c r="J172" s="1615"/>
      <c r="K172" s="1615">
        <f>K164+K160</f>
        <v>9</v>
      </c>
      <c r="L172" s="1615"/>
      <c r="M172" s="1405">
        <f>SUM(I172:L172)</f>
        <v>26</v>
      </c>
      <c r="N172" s="1616"/>
      <c r="O172" s="1617"/>
      <c r="P172" s="1616"/>
      <c r="Q172" s="1618">
        <f>SUM(Q159:Q171)</f>
        <v>58062.409199999987</v>
      </c>
      <c r="R172" s="1617">
        <f>SUM(R159:R170)</f>
        <v>1.0000000000000002</v>
      </c>
      <c r="S172" s="1619">
        <f>SUM(S159:S171)</f>
        <v>174187.22759999998</v>
      </c>
      <c r="T172" s="1620">
        <f t="shared" ref="T172:Z172" si="46">SUM(T159:T170)</f>
        <v>115027.22759999998</v>
      </c>
      <c r="U172" s="798">
        <f t="shared" si="46"/>
        <v>0</v>
      </c>
      <c r="V172" s="798">
        <f t="shared" si="46"/>
        <v>29159.999999999993</v>
      </c>
      <c r="W172" s="798">
        <f t="shared" si="46"/>
        <v>0</v>
      </c>
      <c r="X172" s="798">
        <f t="shared" si="46"/>
        <v>30000</v>
      </c>
      <c r="Y172" s="1621">
        <f t="shared" si="46"/>
        <v>119399.99999999999</v>
      </c>
      <c r="Z172" s="1622">
        <f t="shared" si="46"/>
        <v>24787.227599999998</v>
      </c>
      <c r="AA172" s="1640">
        <f>SUM(AA159:AA171)</f>
        <v>47039.999999999993</v>
      </c>
      <c r="AB172" s="652">
        <f>SUM(AB159:AB171)</f>
        <v>70799.999999999985</v>
      </c>
      <c r="AC172" s="652">
        <f t="shared" ref="AC172:AE172" si="47">SUM(AC159:AC171)</f>
        <v>6831.6276000000007</v>
      </c>
      <c r="AD172" s="652">
        <f t="shared" si="47"/>
        <v>6555.6</v>
      </c>
      <c r="AE172" s="1622">
        <f t="shared" si="47"/>
        <v>12960</v>
      </c>
    </row>
    <row r="173" spans="1:31" x14ac:dyDescent="0.3">
      <c r="A173" s="1404" t="s">
        <v>532</v>
      </c>
      <c r="B173" s="1405"/>
      <c r="C173" s="1405"/>
      <c r="D173" s="1405"/>
      <c r="E173" s="1405"/>
      <c r="F173" s="1614"/>
      <c r="G173" s="1405"/>
      <c r="H173" s="1405"/>
      <c r="I173" s="1615">
        <f>I167+I166+I165+I163+I162+I161</f>
        <v>17</v>
      </c>
      <c r="J173" s="1615">
        <f>I167+I166+I165+I163+I162+I161</f>
        <v>17</v>
      </c>
      <c r="K173" s="1615">
        <f>I167+I166+K164+I163+I161+K160</f>
        <v>17</v>
      </c>
      <c r="L173" s="1615">
        <f>I167+I166+I163+I161+K160</f>
        <v>16</v>
      </c>
      <c r="M173" s="1405">
        <f>SUM(I173:L173)</f>
        <v>67</v>
      </c>
      <c r="N173" s="1616"/>
      <c r="O173" s="1617"/>
      <c r="P173" s="1616"/>
      <c r="Q173" s="1616"/>
      <c r="R173" s="1617"/>
      <c r="S173" s="1626"/>
      <c r="T173" s="1627">
        <f>T172/S172</f>
        <v>0.66036545379863432</v>
      </c>
      <c r="U173" s="1628">
        <f>U172/S172</f>
        <v>0</v>
      </c>
      <c r="V173" s="1629">
        <f>V172/S172</f>
        <v>0.16740607449681916</v>
      </c>
      <c r="W173" s="1628">
        <f>W172/S172</f>
        <v>0</v>
      </c>
      <c r="X173" s="1628">
        <f>X172/S172</f>
        <v>0.1722284717045465</v>
      </c>
      <c r="Y173" s="381">
        <f>Y172/S172</f>
        <v>0.685469317384095</v>
      </c>
      <c r="Z173" s="1630">
        <f>Z172/S172</f>
        <v>0.14230221091135847</v>
      </c>
      <c r="AA173" s="1631"/>
      <c r="AB173" s="1632"/>
      <c r="AC173" s="1632"/>
      <c r="AD173" s="1632"/>
      <c r="AE173" s="1633"/>
    </row>
    <row r="174" spans="1:31" x14ac:dyDescent="0.3">
      <c r="A174" s="251" t="s">
        <v>533</v>
      </c>
      <c r="B174" s="252"/>
      <c r="C174" s="252"/>
      <c r="D174" s="252"/>
      <c r="E174" s="252"/>
      <c r="F174" s="253"/>
      <c r="G174" s="252"/>
      <c r="H174" s="252"/>
      <c r="I174" s="254"/>
      <c r="J174" s="254"/>
      <c r="K174" s="254"/>
      <c r="L174" s="254"/>
      <c r="M174" s="252"/>
      <c r="N174" s="255"/>
      <c r="O174" s="256"/>
      <c r="P174" s="255"/>
      <c r="Q174" s="257">
        <f>T172/3</f>
        <v>38342.409199999995</v>
      </c>
      <c r="R174" s="262">
        <f>Q174/Q178</f>
        <v>0.66036545379863432</v>
      </c>
      <c r="X174" s="248"/>
      <c r="Y174" s="357">
        <f>K160+I162+I163+I166+I167</f>
        <v>23</v>
      </c>
      <c r="Z174" s="358">
        <f>I161+I164+K164+I165</f>
        <v>3</v>
      </c>
      <c r="AA174" s="4"/>
    </row>
    <row r="175" spans="1:31" x14ac:dyDescent="0.3">
      <c r="A175" s="251" t="s">
        <v>11</v>
      </c>
      <c r="B175" s="252"/>
      <c r="C175" s="252"/>
      <c r="D175" s="252"/>
      <c r="E175" s="252"/>
      <c r="F175" s="253"/>
      <c r="G175" s="252"/>
      <c r="H175" s="252"/>
      <c r="I175" s="254"/>
      <c r="J175" s="254"/>
      <c r="K175" s="254"/>
      <c r="L175" s="254"/>
      <c r="M175" s="252"/>
      <c r="N175" s="255"/>
      <c r="O175" s="256"/>
      <c r="P175" s="255"/>
      <c r="Q175" s="257">
        <f>U172/3</f>
        <v>0</v>
      </c>
      <c r="R175" s="262"/>
      <c r="S175" s="1077">
        <f>Q172/M172</f>
        <v>2233.1695846153843</v>
      </c>
      <c r="T175" s="1078" t="s">
        <v>535</v>
      </c>
      <c r="X175" s="263"/>
      <c r="Y175" s="195">
        <f>Y174/M172</f>
        <v>0.88461538461538458</v>
      </c>
      <c r="Z175" s="247">
        <f>Z174/M172</f>
        <v>0.11538461538461539</v>
      </c>
    </row>
    <row r="176" spans="1:31" x14ac:dyDescent="0.3">
      <c r="A176" s="251" t="s">
        <v>536</v>
      </c>
      <c r="B176" s="252"/>
      <c r="C176" s="252"/>
      <c r="D176" s="252"/>
      <c r="E176" s="252"/>
      <c r="F176" s="253"/>
      <c r="G176" s="252"/>
      <c r="H176" s="252"/>
      <c r="I176" s="254"/>
      <c r="J176" s="254"/>
      <c r="K176" s="254"/>
      <c r="L176" s="254"/>
      <c r="M176" s="252"/>
      <c r="N176" s="255"/>
      <c r="O176" s="256"/>
      <c r="P176" s="255"/>
      <c r="Q176" s="257">
        <f>V172/3</f>
        <v>9719.9999999999982</v>
      </c>
      <c r="R176" s="262">
        <f>Q176/Q178</f>
        <v>0.16740607449681918</v>
      </c>
      <c r="W176" s="99"/>
      <c r="Y176" s="2551" t="s">
        <v>537</v>
      </c>
      <c r="Z176" s="2551"/>
    </row>
    <row r="177" spans="1:31" x14ac:dyDescent="0.3">
      <c r="A177" s="251" t="s">
        <v>529</v>
      </c>
      <c r="B177" s="252"/>
      <c r="C177" s="252"/>
      <c r="D177" s="252"/>
      <c r="E177" s="252"/>
      <c r="F177" s="253"/>
      <c r="G177" s="252"/>
      <c r="H177" s="252"/>
      <c r="I177" s="254"/>
      <c r="J177" s="254"/>
      <c r="K177" s="254"/>
      <c r="L177" s="254"/>
      <c r="M177" s="252"/>
      <c r="N177" s="255"/>
      <c r="O177" s="256"/>
      <c r="P177" s="255"/>
      <c r="Q177" s="257">
        <f>X170/3</f>
        <v>10000</v>
      </c>
      <c r="R177" s="262">
        <f>Q177/Q178</f>
        <v>0.1722284717045465</v>
      </c>
    </row>
    <row r="178" spans="1:31" x14ac:dyDescent="0.3">
      <c r="A178" s="243"/>
      <c r="B178" s="193"/>
      <c r="C178" s="193"/>
      <c r="D178" s="193"/>
      <c r="E178" s="193"/>
      <c r="F178" s="244"/>
      <c r="G178" s="193"/>
      <c r="H178" s="193"/>
      <c r="I178" s="245"/>
      <c r="J178" s="245"/>
      <c r="K178" s="245"/>
      <c r="L178" s="245"/>
      <c r="M178" s="193"/>
      <c r="N178" s="246"/>
      <c r="O178" s="196"/>
      <c r="P178" s="246"/>
      <c r="Q178" s="194">
        <f>SUM(Q174:Q177)</f>
        <v>58062.409199999995</v>
      </c>
      <c r="R178" s="247">
        <f>SUM(R174:R177)</f>
        <v>1</v>
      </c>
      <c r="S178" s="600"/>
    </row>
    <row r="179" spans="1:31" x14ac:dyDescent="0.3">
      <c r="N179" s="5"/>
      <c r="O179" s="6"/>
      <c r="P179" s="5"/>
      <c r="Q179" s="5"/>
      <c r="R179" s="6"/>
      <c r="S179" s="701"/>
      <c r="Z179" s="303">
        <f>SUM(AA180:AE180)</f>
        <v>1350069.1955999997</v>
      </c>
      <c r="AA179" s="498" t="s">
        <v>9</v>
      </c>
      <c r="AB179" s="496" t="s">
        <v>10</v>
      </c>
      <c r="AC179" s="496" t="s">
        <v>226</v>
      </c>
      <c r="AD179" s="496" t="s">
        <v>206</v>
      </c>
      <c r="AE179" s="497" t="s">
        <v>5</v>
      </c>
    </row>
    <row r="180" spans="1:31" x14ac:dyDescent="0.3">
      <c r="A180" s="1568" t="s">
        <v>878</v>
      </c>
      <c r="B180" s="1641"/>
      <c r="C180" s="1641"/>
      <c r="D180" s="1641"/>
      <c r="E180" s="1641"/>
      <c r="F180" s="1642"/>
      <c r="G180" s="1641"/>
      <c r="H180" s="1641"/>
      <c r="I180" s="1643"/>
      <c r="J180" s="1643"/>
      <c r="K180" s="1643"/>
      <c r="L180" s="1643"/>
      <c r="M180" s="1641"/>
      <c r="N180" s="1035"/>
      <c r="O180" s="1644"/>
      <c r="P180" s="1035"/>
      <c r="Q180" s="1645"/>
      <c r="R180" s="1646"/>
      <c r="S180" s="1647">
        <f>S172+S139+S112+S77+S47</f>
        <v>1521069.1956000002</v>
      </c>
      <c r="Z180" t="s">
        <v>601</v>
      </c>
      <c r="AA180" s="1645">
        <f>AA172+AA139+AA112+AA77+AA47</f>
        <v>547400</v>
      </c>
      <c r="AB180" s="1645">
        <f t="shared" ref="AB180:AE180" si="48">AB172+AB139+AB112+AB77+AB47</f>
        <v>464699.99999999988</v>
      </c>
      <c r="AC180" s="1645">
        <f t="shared" si="48"/>
        <v>97919.995599999995</v>
      </c>
      <c r="AD180" s="1645">
        <f t="shared" si="48"/>
        <v>45889.200000000004</v>
      </c>
      <c r="AE180" s="1645">
        <f t="shared" si="48"/>
        <v>194160</v>
      </c>
    </row>
    <row r="181" spans="1:31" x14ac:dyDescent="0.3">
      <c r="R181" s="3" t="s">
        <v>571</v>
      </c>
      <c r="S181" s="120">
        <f>D18-S180</f>
        <v>-196265.7331000003</v>
      </c>
    </row>
    <row r="182" spans="1:31" x14ac:dyDescent="0.3">
      <c r="Q182" s="116"/>
      <c r="R182" s="626"/>
    </row>
    <row r="183" spans="1:31" x14ac:dyDescent="0.3">
      <c r="A183" s="4"/>
      <c r="R183" s="98"/>
    </row>
    <row r="184" spans="1:31" x14ac:dyDescent="0.3">
      <c r="Q184" s="116"/>
      <c r="R184" s="626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F78"/>
  <sheetViews>
    <sheetView topLeftCell="A35" workbookViewId="0">
      <selection activeCell="H42" sqref="H42:H49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360</v>
      </c>
      <c r="C2" t="s">
        <v>366</v>
      </c>
      <c r="D2" t="s">
        <v>365</v>
      </c>
      <c r="E2" s="1" t="s">
        <v>215</v>
      </c>
      <c r="F2" s="1" t="s">
        <v>166</v>
      </c>
      <c r="G2" s="2186">
        <v>1</v>
      </c>
      <c r="H2" s="2186">
        <f>VLOOKUP(G2,Pesos!A:B,2,0)</f>
        <v>0.9</v>
      </c>
      <c r="I2" s="1" t="s">
        <v>308</v>
      </c>
      <c r="J2" s="1"/>
      <c r="K2" s="1">
        <v>10</v>
      </c>
      <c r="L2" s="1">
        <v>20</v>
      </c>
      <c r="M2" s="1">
        <v>12</v>
      </c>
      <c r="N2" s="1" t="s">
        <v>63</v>
      </c>
      <c r="O2" s="1"/>
      <c r="P2" s="1"/>
      <c r="Q2" s="1">
        <v>12</v>
      </c>
      <c r="R2" s="1"/>
      <c r="S2" s="1">
        <v>1</v>
      </c>
      <c r="T2" s="5">
        <v>4600</v>
      </c>
      <c r="U2" s="24">
        <v>0.3</v>
      </c>
      <c r="V2" s="25">
        <f>T2*(1-U2)</f>
        <v>3220</v>
      </c>
      <c r="W2" s="25">
        <f t="shared" ref="W2:W10" si="0">V2*S2*M2</f>
        <v>38640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360</v>
      </c>
      <c r="C3" t="s">
        <v>366</v>
      </c>
      <c r="D3" t="s">
        <v>365</v>
      </c>
      <c r="E3" s="1" t="s">
        <v>215</v>
      </c>
      <c r="F3" s="1" t="s">
        <v>102</v>
      </c>
      <c r="G3" s="2186">
        <v>2</v>
      </c>
      <c r="H3" s="2186">
        <f>VLOOKUP(G3,Pesos!A:B,2,0)</f>
        <v>0.8</v>
      </c>
      <c r="J3" s="1" t="s">
        <v>308</v>
      </c>
      <c r="K3" s="1">
        <v>5</v>
      </c>
      <c r="L3" s="1">
        <v>10</v>
      </c>
      <c r="M3" s="1">
        <v>1</v>
      </c>
      <c r="N3" s="1" t="s">
        <v>24</v>
      </c>
      <c r="O3" s="1">
        <v>1</v>
      </c>
      <c r="S3" s="1">
        <v>1</v>
      </c>
      <c r="T3" s="5">
        <v>13100</v>
      </c>
      <c r="U3" s="24">
        <v>0.3</v>
      </c>
      <c r="V3" s="26">
        <f>T3*(1-U3)</f>
        <v>9170</v>
      </c>
      <c r="W3" s="26">
        <f t="shared" si="0"/>
        <v>9170</v>
      </c>
      <c r="X3" s="6"/>
      <c r="Y3" s="22"/>
      <c r="Z3" s="1"/>
    </row>
    <row r="4" spans="1:32" x14ac:dyDescent="0.3">
      <c r="A4" t="s">
        <v>327</v>
      </c>
      <c r="B4" t="s">
        <v>360</v>
      </c>
      <c r="C4" t="s">
        <v>366</v>
      </c>
      <c r="D4" t="s">
        <v>365</v>
      </c>
      <c r="E4" s="1" t="s">
        <v>215</v>
      </c>
      <c r="F4" s="1" t="s">
        <v>26</v>
      </c>
      <c r="G4" s="2186">
        <v>4</v>
      </c>
      <c r="H4" s="2186">
        <f>VLOOKUP(G4,Pesos!A:B,2,0)</f>
        <v>0.6</v>
      </c>
      <c r="I4" s="1" t="s">
        <v>308</v>
      </c>
      <c r="K4" s="1">
        <v>3</v>
      </c>
      <c r="L4" s="1">
        <v>6</v>
      </c>
      <c r="M4" s="1">
        <v>3</v>
      </c>
      <c r="N4" s="1" t="s">
        <v>63</v>
      </c>
      <c r="O4" s="1">
        <v>3</v>
      </c>
      <c r="S4" s="1">
        <v>1</v>
      </c>
      <c r="T4" s="5">
        <v>13400</v>
      </c>
      <c r="U4" s="24">
        <v>0.3</v>
      </c>
      <c r="V4" s="26">
        <f t="shared" ref="V4" si="1">T4*(1-U4)</f>
        <v>9380</v>
      </c>
      <c r="W4" s="26">
        <f t="shared" si="0"/>
        <v>28140</v>
      </c>
      <c r="X4" s="6"/>
      <c r="Y4" s="22"/>
      <c r="Z4" s="1"/>
    </row>
    <row r="5" spans="1:32" x14ac:dyDescent="0.3">
      <c r="A5" t="s">
        <v>327</v>
      </c>
      <c r="B5" t="s">
        <v>360</v>
      </c>
      <c r="C5" t="s">
        <v>366</v>
      </c>
      <c r="D5" t="s">
        <v>365</v>
      </c>
      <c r="E5" s="1" t="s">
        <v>216</v>
      </c>
      <c r="F5" s="1" t="s">
        <v>102</v>
      </c>
      <c r="G5" s="2186">
        <v>2</v>
      </c>
      <c r="H5" s="2186">
        <f>VLOOKUP(G5,Pesos!A:B,2,0)</f>
        <v>0.8</v>
      </c>
      <c r="J5" s="1" t="s">
        <v>308</v>
      </c>
      <c r="K5" s="1">
        <v>5</v>
      </c>
      <c r="L5" s="2" t="s">
        <v>203</v>
      </c>
      <c r="M5" s="1">
        <v>3</v>
      </c>
      <c r="N5" s="1" t="s">
        <v>63</v>
      </c>
      <c r="O5" s="1">
        <v>3</v>
      </c>
      <c r="S5" s="1">
        <v>1</v>
      </c>
      <c r="T5" s="5">
        <v>47500</v>
      </c>
      <c r="U5" s="24">
        <v>0.92</v>
      </c>
      <c r="V5" s="26">
        <f t="shared" ref="V5:V10" si="2">T5*(1-U5)</f>
        <v>3799.9999999999982</v>
      </c>
      <c r="W5" s="26">
        <f t="shared" si="0"/>
        <v>11399.999999999995</v>
      </c>
      <c r="X5" s="18"/>
      <c r="Y5" s="22"/>
      <c r="Z5" s="1"/>
    </row>
    <row r="6" spans="1:32" x14ac:dyDescent="0.3">
      <c r="A6" t="s">
        <v>327</v>
      </c>
      <c r="B6" t="s">
        <v>360</v>
      </c>
      <c r="C6" t="s">
        <v>366</v>
      </c>
      <c r="D6" t="s">
        <v>365</v>
      </c>
      <c r="E6" s="1" t="s">
        <v>216</v>
      </c>
      <c r="F6" s="1" t="s">
        <v>166</v>
      </c>
      <c r="G6" s="2186">
        <v>1</v>
      </c>
      <c r="H6" s="2186">
        <f>VLOOKUP(G6,Pesos!A:B,2,0)</f>
        <v>0.9</v>
      </c>
      <c r="I6" s="1" t="s">
        <v>308</v>
      </c>
      <c r="K6" s="1">
        <v>10</v>
      </c>
      <c r="L6" s="2" t="s">
        <v>51</v>
      </c>
      <c r="M6" s="1">
        <v>10</v>
      </c>
      <c r="N6" s="1" t="s">
        <v>63</v>
      </c>
      <c r="O6" s="1">
        <v>10</v>
      </c>
      <c r="S6" s="1">
        <v>1</v>
      </c>
      <c r="T6" s="5">
        <v>7500</v>
      </c>
      <c r="U6" s="24">
        <v>0.8</v>
      </c>
      <c r="V6" s="26">
        <f t="shared" si="2"/>
        <v>1499.9999999999998</v>
      </c>
      <c r="W6" s="26">
        <f t="shared" si="0"/>
        <v>14999.999999999998</v>
      </c>
      <c r="X6" s="6"/>
      <c r="Y6" s="22"/>
      <c r="Z6" s="1"/>
    </row>
    <row r="7" spans="1:32" x14ac:dyDescent="0.3">
      <c r="A7" t="s">
        <v>327</v>
      </c>
      <c r="B7" t="s">
        <v>360</v>
      </c>
      <c r="C7" t="s">
        <v>366</v>
      </c>
      <c r="D7" t="s">
        <v>365</v>
      </c>
      <c r="E7" s="1" t="s">
        <v>216</v>
      </c>
      <c r="F7" s="1" t="s">
        <v>26</v>
      </c>
      <c r="G7" s="2186">
        <v>4</v>
      </c>
      <c r="H7" s="2186">
        <f>VLOOKUP(G7,Pesos!A:B,2,0)</f>
        <v>0.6</v>
      </c>
      <c r="I7" s="1" t="s">
        <v>308</v>
      </c>
      <c r="K7" s="1">
        <v>3</v>
      </c>
      <c r="L7" s="2" t="s">
        <v>354</v>
      </c>
      <c r="M7" s="1">
        <v>3</v>
      </c>
      <c r="N7" s="1" t="s">
        <v>24</v>
      </c>
      <c r="O7" s="1">
        <v>3</v>
      </c>
      <c r="S7" s="1">
        <v>1</v>
      </c>
      <c r="T7" s="5">
        <v>30000</v>
      </c>
      <c r="U7" s="24">
        <v>0.8</v>
      </c>
      <c r="V7" s="26">
        <f t="shared" si="2"/>
        <v>5999.9999999999991</v>
      </c>
      <c r="W7" s="26">
        <f t="shared" si="0"/>
        <v>17999.999999999996</v>
      </c>
      <c r="X7" s="6"/>
      <c r="Y7" s="22"/>
      <c r="Z7" s="1"/>
    </row>
    <row r="8" spans="1:32" x14ac:dyDescent="0.3">
      <c r="A8" t="s">
        <v>327</v>
      </c>
      <c r="B8" t="s">
        <v>360</v>
      </c>
      <c r="C8" t="s">
        <v>366</v>
      </c>
      <c r="D8" t="s">
        <v>365</v>
      </c>
      <c r="E8" s="1" t="s">
        <v>227</v>
      </c>
      <c r="F8" s="1" t="s">
        <v>102</v>
      </c>
      <c r="G8" s="2186">
        <v>2</v>
      </c>
      <c r="H8" s="2186">
        <f>VLOOKUP(G8,Pesos!A:B,2,0)</f>
        <v>0.8</v>
      </c>
      <c r="J8" s="1" t="s">
        <v>308</v>
      </c>
      <c r="K8" s="1">
        <v>5</v>
      </c>
      <c r="L8" s="2" t="s">
        <v>203</v>
      </c>
      <c r="M8" s="1">
        <v>2</v>
      </c>
      <c r="N8" s="1" t="s">
        <v>22</v>
      </c>
      <c r="O8" s="1">
        <v>2</v>
      </c>
      <c r="Q8" s="1">
        <v>2</v>
      </c>
      <c r="S8" s="1">
        <v>2</v>
      </c>
      <c r="T8" s="5">
        <v>8132.89</v>
      </c>
      <c r="U8" s="24">
        <v>0.72</v>
      </c>
      <c r="V8" s="26">
        <f t="shared" si="2"/>
        <v>2277.2092000000002</v>
      </c>
      <c r="W8" s="26">
        <f t="shared" si="0"/>
        <v>9108.8368000000009</v>
      </c>
      <c r="X8" s="6"/>
      <c r="Y8" s="22"/>
      <c r="Z8" s="1"/>
    </row>
    <row r="9" spans="1:32" x14ac:dyDescent="0.3">
      <c r="A9" t="s">
        <v>327</v>
      </c>
      <c r="B9" t="s">
        <v>360</v>
      </c>
      <c r="C9" t="s">
        <v>366</v>
      </c>
      <c r="D9" t="s">
        <v>365</v>
      </c>
      <c r="E9" s="1" t="s">
        <v>210</v>
      </c>
      <c r="F9" s="1" t="s">
        <v>102</v>
      </c>
      <c r="G9" s="2186">
        <v>2</v>
      </c>
      <c r="H9" s="2186">
        <f>VLOOKUP(G9,Pesos!A:B,2,0)</f>
        <v>0.8</v>
      </c>
      <c r="J9" s="1" t="s">
        <v>308</v>
      </c>
      <c r="K9" s="1">
        <v>5</v>
      </c>
      <c r="L9" s="2" t="s">
        <v>203</v>
      </c>
      <c r="M9" s="1">
        <v>2</v>
      </c>
      <c r="N9" s="1" t="s">
        <v>147</v>
      </c>
      <c r="O9" s="1">
        <v>2</v>
      </c>
      <c r="S9" s="1">
        <v>1</v>
      </c>
      <c r="T9" s="5">
        <v>5463</v>
      </c>
      <c r="U9" s="24">
        <v>0.6</v>
      </c>
      <c r="V9" s="26">
        <f t="shared" si="2"/>
        <v>2185.2000000000003</v>
      </c>
      <c r="W9" s="26">
        <f t="shared" si="0"/>
        <v>4370.4000000000005</v>
      </c>
      <c r="X9" s="6"/>
      <c r="Y9" s="22"/>
      <c r="Z9" s="1"/>
    </row>
    <row r="10" spans="1:32" x14ac:dyDescent="0.3">
      <c r="A10" t="s">
        <v>327</v>
      </c>
      <c r="B10" t="s">
        <v>360</v>
      </c>
      <c r="C10" t="s">
        <v>366</v>
      </c>
      <c r="D10" t="s">
        <v>365</v>
      </c>
      <c r="E10" s="1" t="s">
        <v>220</v>
      </c>
      <c r="F10" s="1" t="s">
        <v>221</v>
      </c>
      <c r="G10" s="2186">
        <v>3</v>
      </c>
      <c r="H10" s="2186">
        <f>VLOOKUP(G10,Pesos!A:B,2,0)</f>
        <v>0.7</v>
      </c>
      <c r="I10" s="1" t="s">
        <v>308</v>
      </c>
      <c r="K10" s="1">
        <v>1</v>
      </c>
      <c r="L10" s="2" t="s">
        <v>333</v>
      </c>
      <c r="M10" s="1">
        <v>1</v>
      </c>
      <c r="N10" s="1" t="s">
        <v>24</v>
      </c>
      <c r="O10" s="1">
        <v>1</v>
      </c>
      <c r="S10" s="1">
        <v>1</v>
      </c>
      <c r="T10" s="5">
        <v>45000</v>
      </c>
      <c r="U10" s="24">
        <v>0.2</v>
      </c>
      <c r="V10" s="26">
        <f t="shared" si="2"/>
        <v>36000</v>
      </c>
      <c r="W10" s="26">
        <f t="shared" si="0"/>
        <v>36000</v>
      </c>
      <c r="X10" s="6"/>
      <c r="Y10" s="22"/>
      <c r="Z10" s="1"/>
    </row>
    <row r="11" spans="1:32" x14ac:dyDescent="0.3">
      <c r="G11" s="2186"/>
      <c r="H11" s="2186"/>
      <c r="L11" s="2"/>
      <c r="M11" s="1"/>
      <c r="T11" s="26"/>
      <c r="U11" s="24"/>
      <c r="V11" s="26"/>
      <c r="W11" s="26"/>
      <c r="X11" s="6"/>
      <c r="Y11" s="22"/>
      <c r="Z11" s="1"/>
    </row>
    <row r="12" spans="1:32" x14ac:dyDescent="0.3">
      <c r="A12" t="s">
        <v>340</v>
      </c>
      <c r="B12" t="s">
        <v>360</v>
      </c>
      <c r="C12" t="s">
        <v>366</v>
      </c>
      <c r="D12" t="s">
        <v>365</v>
      </c>
      <c r="E12" s="1" t="s">
        <v>215</v>
      </c>
      <c r="F12" s="1" t="s">
        <v>166</v>
      </c>
      <c r="G12" s="2186">
        <v>2</v>
      </c>
      <c r="H12" s="2186">
        <f>VLOOKUP(G12,Pesos!A:B,2,0)</f>
        <v>0.8</v>
      </c>
      <c r="I12" s="1" t="s">
        <v>308</v>
      </c>
      <c r="K12" s="1">
        <v>10</v>
      </c>
      <c r="L12" s="2" t="s">
        <v>51</v>
      </c>
      <c r="M12" s="1">
        <v>13</v>
      </c>
      <c r="N12" s="1" t="s">
        <v>63</v>
      </c>
      <c r="Q12" s="1">
        <v>13</v>
      </c>
      <c r="S12" s="1">
        <v>1</v>
      </c>
      <c r="T12" s="5">
        <v>4600</v>
      </c>
      <c r="U12" s="24">
        <v>0.3</v>
      </c>
      <c r="V12" s="26">
        <f>T12*(1-U12)</f>
        <v>3220</v>
      </c>
      <c r="W12" s="26">
        <f>V12*S12*M12</f>
        <v>41860</v>
      </c>
      <c r="X12" s="6"/>
      <c r="Y12" s="22"/>
      <c r="Z12" s="1"/>
    </row>
    <row r="13" spans="1:32" x14ac:dyDescent="0.3">
      <c r="A13" t="s">
        <v>340</v>
      </c>
      <c r="B13" t="s">
        <v>360</v>
      </c>
      <c r="C13" t="s">
        <v>366</v>
      </c>
      <c r="D13" t="s">
        <v>365</v>
      </c>
      <c r="E13" s="1" t="s">
        <v>215</v>
      </c>
      <c r="F13" s="1" t="s">
        <v>102</v>
      </c>
      <c r="G13" s="2186">
        <v>1</v>
      </c>
      <c r="H13" s="2186">
        <f>VLOOKUP(G13,Pesos!A:B,2,0)</f>
        <v>0.9</v>
      </c>
      <c r="J13" s="1" t="s">
        <v>308</v>
      </c>
      <c r="K13" s="1">
        <v>5</v>
      </c>
      <c r="L13" s="2" t="s">
        <v>203</v>
      </c>
      <c r="M13" s="1">
        <v>1</v>
      </c>
      <c r="N13" s="1" t="s">
        <v>24</v>
      </c>
      <c r="O13" s="1">
        <v>1</v>
      </c>
      <c r="S13" s="1">
        <v>1</v>
      </c>
      <c r="T13" s="5">
        <v>13100</v>
      </c>
      <c r="U13" s="24">
        <v>0.3</v>
      </c>
      <c r="V13" s="26">
        <f>T13*(1-U13)</f>
        <v>9170</v>
      </c>
      <c r="W13" s="26">
        <f>V13*S13*M13</f>
        <v>9170</v>
      </c>
      <c r="X13" s="6"/>
      <c r="Y13" s="22"/>
      <c r="Z13" s="1"/>
    </row>
    <row r="14" spans="1:32" x14ac:dyDescent="0.3">
      <c r="A14" t="s">
        <v>340</v>
      </c>
      <c r="B14" t="s">
        <v>360</v>
      </c>
      <c r="C14" t="s">
        <v>366</v>
      </c>
      <c r="D14" t="s">
        <v>365</v>
      </c>
      <c r="E14" s="1" t="s">
        <v>215</v>
      </c>
      <c r="F14" s="1" t="s">
        <v>26</v>
      </c>
      <c r="G14" s="2186">
        <v>5</v>
      </c>
      <c r="H14" s="2186">
        <f>VLOOKUP(G14,Pesos!A:B,2,0)</f>
        <v>0.5</v>
      </c>
      <c r="I14" s="1" t="s">
        <v>308</v>
      </c>
      <c r="K14" s="1">
        <v>3</v>
      </c>
      <c r="L14" s="2" t="s">
        <v>354</v>
      </c>
      <c r="M14" s="1">
        <v>1</v>
      </c>
      <c r="N14" s="1" t="s">
        <v>63</v>
      </c>
      <c r="O14" s="1">
        <v>1</v>
      </c>
      <c r="S14" s="1">
        <v>1</v>
      </c>
      <c r="T14" s="5">
        <v>13400</v>
      </c>
      <c r="U14" s="24">
        <v>0.3</v>
      </c>
      <c r="V14" s="26">
        <f t="shared" ref="V14:V17" si="3">T14*(1-U14)</f>
        <v>9380</v>
      </c>
      <c r="W14" s="26">
        <f t="shared" ref="W14:W17" si="4">V14*S14*M14</f>
        <v>9380</v>
      </c>
      <c r="X14" s="6"/>
      <c r="Y14" s="22"/>
      <c r="Z14" s="1"/>
    </row>
    <row r="15" spans="1:32" x14ac:dyDescent="0.3">
      <c r="A15" t="s">
        <v>340</v>
      </c>
      <c r="B15" t="s">
        <v>360</v>
      </c>
      <c r="C15" t="s">
        <v>366</v>
      </c>
      <c r="D15" t="s">
        <v>365</v>
      </c>
      <c r="E15" s="1" t="s">
        <v>216</v>
      </c>
      <c r="F15" s="1" t="s">
        <v>102</v>
      </c>
      <c r="G15" s="2186">
        <v>1</v>
      </c>
      <c r="H15" s="2186">
        <f>VLOOKUP(G15,Pesos!A:B,2,0)</f>
        <v>0.9</v>
      </c>
      <c r="J15" s="1" t="s">
        <v>308</v>
      </c>
      <c r="K15" s="1">
        <v>5</v>
      </c>
      <c r="L15" s="2" t="s">
        <v>203</v>
      </c>
      <c r="M15" s="1">
        <v>4</v>
      </c>
      <c r="N15" s="1" t="s">
        <v>63</v>
      </c>
      <c r="O15" s="1">
        <v>4</v>
      </c>
      <c r="S15" s="1">
        <v>1</v>
      </c>
      <c r="T15" s="5">
        <v>47500</v>
      </c>
      <c r="U15" s="24">
        <v>0.92</v>
      </c>
      <c r="V15" s="26">
        <f t="shared" si="3"/>
        <v>3799.9999999999982</v>
      </c>
      <c r="W15" s="26">
        <f t="shared" si="4"/>
        <v>15199.999999999993</v>
      </c>
      <c r="X15" s="6"/>
      <c r="Y15" s="22"/>
      <c r="Z15" s="1"/>
    </row>
    <row r="16" spans="1:32" x14ac:dyDescent="0.3">
      <c r="A16" t="s">
        <v>340</v>
      </c>
      <c r="B16" t="s">
        <v>360</v>
      </c>
      <c r="C16" t="s">
        <v>366</v>
      </c>
      <c r="D16" t="s">
        <v>365</v>
      </c>
      <c r="E16" s="1" t="s">
        <v>216</v>
      </c>
      <c r="F16" s="1" t="s">
        <v>166</v>
      </c>
      <c r="G16" s="2186">
        <v>2</v>
      </c>
      <c r="H16" s="2186">
        <f>VLOOKUP(G16,Pesos!A:B,2,0)</f>
        <v>0.8</v>
      </c>
      <c r="I16" s="1" t="s">
        <v>308</v>
      </c>
      <c r="K16" s="1">
        <v>10</v>
      </c>
      <c r="L16" s="2" t="s">
        <v>51</v>
      </c>
      <c r="M16" s="1">
        <v>13</v>
      </c>
      <c r="N16" s="1" t="s">
        <v>63</v>
      </c>
      <c r="O16" s="1">
        <v>13</v>
      </c>
      <c r="S16" s="1">
        <v>1</v>
      </c>
      <c r="T16" s="5">
        <v>7500</v>
      </c>
      <c r="U16" s="24">
        <v>0.8</v>
      </c>
      <c r="V16" s="26">
        <f t="shared" si="3"/>
        <v>1499.9999999999998</v>
      </c>
      <c r="W16" s="26">
        <f t="shared" si="4"/>
        <v>19499.999999999996</v>
      </c>
      <c r="X16" s="6"/>
      <c r="Y16" s="22"/>
      <c r="Z16" s="1"/>
    </row>
    <row r="17" spans="1:26" x14ac:dyDescent="0.3">
      <c r="A17" t="s">
        <v>340</v>
      </c>
      <c r="B17" t="s">
        <v>360</v>
      </c>
      <c r="C17" t="s">
        <v>366</v>
      </c>
      <c r="D17" t="s">
        <v>365</v>
      </c>
      <c r="E17" s="1" t="s">
        <v>216</v>
      </c>
      <c r="F17" s="1" t="s">
        <v>26</v>
      </c>
      <c r="G17" s="2186">
        <v>5</v>
      </c>
      <c r="H17" s="2186">
        <f>VLOOKUP(G17,Pesos!A:B,2,0)</f>
        <v>0.5</v>
      </c>
      <c r="I17" s="1" t="s">
        <v>308</v>
      </c>
      <c r="K17" s="1">
        <v>3</v>
      </c>
      <c r="L17" s="2" t="s">
        <v>354</v>
      </c>
      <c r="M17" s="1">
        <v>1</v>
      </c>
      <c r="N17" s="1" t="s">
        <v>24</v>
      </c>
      <c r="O17" s="1">
        <v>1</v>
      </c>
      <c r="S17" s="1">
        <v>1</v>
      </c>
      <c r="T17" s="5">
        <v>30000</v>
      </c>
      <c r="U17" s="24">
        <v>0.8</v>
      </c>
      <c r="V17" s="26">
        <f t="shared" si="3"/>
        <v>5999.9999999999991</v>
      </c>
      <c r="W17" s="26">
        <f t="shared" si="4"/>
        <v>5999.9999999999991</v>
      </c>
      <c r="X17" s="6"/>
      <c r="Y17" s="22"/>
      <c r="Z17" s="1"/>
    </row>
    <row r="18" spans="1:26" x14ac:dyDescent="0.3">
      <c r="A18" t="s">
        <v>340</v>
      </c>
      <c r="B18" t="s">
        <v>360</v>
      </c>
      <c r="C18" t="s">
        <v>366</v>
      </c>
      <c r="D18" t="s">
        <v>365</v>
      </c>
      <c r="E18" s="1" t="s">
        <v>227</v>
      </c>
      <c r="F18" s="1" t="s">
        <v>102</v>
      </c>
      <c r="G18" s="2186">
        <v>1</v>
      </c>
      <c r="H18" s="2186">
        <f>VLOOKUP(G18,Pesos!A:B,2,0)</f>
        <v>0.9</v>
      </c>
      <c r="J18" s="1" t="s">
        <v>308</v>
      </c>
      <c r="K18" s="1">
        <v>5</v>
      </c>
      <c r="L18" s="1">
        <v>10</v>
      </c>
      <c r="M18" s="1">
        <v>3</v>
      </c>
      <c r="N18" s="1" t="s">
        <v>22</v>
      </c>
      <c r="O18" s="1">
        <v>3</v>
      </c>
      <c r="Q18" s="1">
        <v>3</v>
      </c>
      <c r="S18" s="1">
        <v>2</v>
      </c>
      <c r="T18" s="5">
        <v>8132.89</v>
      </c>
      <c r="U18" s="24">
        <v>0.72</v>
      </c>
      <c r="V18" s="25">
        <f>T18*(1-U18)</f>
        <v>2277.2092000000002</v>
      </c>
      <c r="W18" s="25">
        <f>V18*S18*M18</f>
        <v>13663.255200000001</v>
      </c>
      <c r="X18" s="18"/>
    </row>
    <row r="19" spans="1:26" x14ac:dyDescent="0.3">
      <c r="A19" t="s">
        <v>340</v>
      </c>
      <c r="B19" t="s">
        <v>360</v>
      </c>
      <c r="C19" t="s">
        <v>366</v>
      </c>
      <c r="D19" t="s">
        <v>365</v>
      </c>
      <c r="E19" s="1" t="s">
        <v>210</v>
      </c>
      <c r="F19" s="1" t="s">
        <v>102</v>
      </c>
      <c r="G19" s="2186">
        <v>1</v>
      </c>
      <c r="H19" s="2186">
        <f>VLOOKUP(G19,Pesos!A:B,2,0)</f>
        <v>0.9</v>
      </c>
      <c r="J19" s="1" t="s">
        <v>308</v>
      </c>
      <c r="K19" s="1">
        <v>5</v>
      </c>
      <c r="L19" s="1">
        <v>10</v>
      </c>
      <c r="M19" s="1">
        <v>2</v>
      </c>
      <c r="N19" s="1" t="s">
        <v>147</v>
      </c>
      <c r="O19" s="1">
        <v>2</v>
      </c>
      <c r="S19" s="1">
        <v>1</v>
      </c>
      <c r="T19" s="5">
        <v>5463</v>
      </c>
      <c r="U19" s="24">
        <v>0.6</v>
      </c>
      <c r="V19" s="26">
        <f>T19*(1-U19)</f>
        <v>2185.2000000000003</v>
      </c>
      <c r="W19" s="26">
        <f>V19*S19*M19</f>
        <v>4370.4000000000005</v>
      </c>
      <c r="X19" s="6"/>
    </row>
    <row r="20" spans="1:26" x14ac:dyDescent="0.3">
      <c r="A20" t="s">
        <v>340</v>
      </c>
      <c r="B20" t="s">
        <v>360</v>
      </c>
      <c r="C20" t="s">
        <v>366</v>
      </c>
      <c r="D20" t="s">
        <v>365</v>
      </c>
      <c r="E20" s="1" t="s">
        <v>216</v>
      </c>
      <c r="F20" s="1" t="s">
        <v>180</v>
      </c>
      <c r="G20" s="2186">
        <v>3</v>
      </c>
      <c r="H20" s="2186">
        <f>VLOOKUP(G20,Pesos!A:B,2,0)</f>
        <v>0.7</v>
      </c>
      <c r="I20" s="1" t="s">
        <v>308</v>
      </c>
      <c r="K20" s="1">
        <v>8</v>
      </c>
      <c r="L20" s="2" t="s">
        <v>52</v>
      </c>
      <c r="M20" s="1">
        <v>15</v>
      </c>
      <c r="N20" s="1" t="s">
        <v>24</v>
      </c>
      <c r="O20" s="1">
        <v>15</v>
      </c>
      <c r="S20" s="1">
        <v>1</v>
      </c>
      <c r="T20" s="5">
        <v>9000</v>
      </c>
      <c r="U20" s="24">
        <v>0.8</v>
      </c>
      <c r="V20" s="26">
        <f t="shared" ref="V20" si="5">T20*(1-U20)</f>
        <v>1799.9999999999995</v>
      </c>
      <c r="W20" s="26">
        <f t="shared" ref="W20:W29" si="6">V20*S20*M20</f>
        <v>26999.999999999993</v>
      </c>
      <c r="X20" s="6"/>
    </row>
    <row r="21" spans="1:26" x14ac:dyDescent="0.3">
      <c r="A21" t="s">
        <v>340</v>
      </c>
      <c r="B21" t="s">
        <v>360</v>
      </c>
      <c r="C21" t="s">
        <v>366</v>
      </c>
      <c r="D21" t="s">
        <v>365</v>
      </c>
      <c r="E21" s="1" t="s">
        <v>220</v>
      </c>
      <c r="F21" s="1" t="s">
        <v>228</v>
      </c>
      <c r="G21" s="2186">
        <v>4</v>
      </c>
      <c r="H21" s="2186">
        <f>VLOOKUP(G21,Pesos!A:B,2,0)</f>
        <v>0.6</v>
      </c>
      <c r="I21" s="1" t="s">
        <v>308</v>
      </c>
      <c r="K21" s="1">
        <v>5</v>
      </c>
      <c r="L21" s="2" t="s">
        <v>229</v>
      </c>
      <c r="M21" s="1">
        <v>1</v>
      </c>
      <c r="N21" s="1" t="s">
        <v>24</v>
      </c>
      <c r="O21" s="1">
        <v>5</v>
      </c>
      <c r="S21" s="1">
        <v>1</v>
      </c>
      <c r="T21" s="5">
        <v>25500</v>
      </c>
      <c r="U21" s="24">
        <v>0.2</v>
      </c>
      <c r="V21" s="26">
        <f t="shared" ref="V21" si="7">T21*(1-U21)</f>
        <v>20400</v>
      </c>
      <c r="W21" s="26">
        <f t="shared" ref="W21" si="8">V21*S21*M21</f>
        <v>20400</v>
      </c>
      <c r="X21" s="6"/>
    </row>
    <row r="22" spans="1:26" x14ac:dyDescent="0.3">
      <c r="G22" s="2186"/>
      <c r="H22" s="2186"/>
      <c r="L22" s="2"/>
      <c r="M22" s="1"/>
      <c r="T22" s="5"/>
      <c r="U22" s="24"/>
      <c r="V22" s="26"/>
      <c r="W22" s="26"/>
      <c r="X22" s="6"/>
    </row>
    <row r="23" spans="1:26" x14ac:dyDescent="0.3">
      <c r="A23" t="s">
        <v>342</v>
      </c>
      <c r="B23" t="s">
        <v>360</v>
      </c>
      <c r="C23" t="s">
        <v>366</v>
      </c>
      <c r="D23" t="s">
        <v>365</v>
      </c>
      <c r="E23" s="1" t="s">
        <v>215</v>
      </c>
      <c r="F23" s="1" t="s">
        <v>166</v>
      </c>
      <c r="G23" s="2186">
        <v>1</v>
      </c>
      <c r="H23" s="2186">
        <f>VLOOKUP(G23,Pesos!A:B,2,0)</f>
        <v>0.9</v>
      </c>
      <c r="I23" s="1" t="s">
        <v>308</v>
      </c>
      <c r="K23" s="1">
        <v>7</v>
      </c>
      <c r="L23" s="2" t="s">
        <v>256</v>
      </c>
      <c r="M23" s="1">
        <v>7</v>
      </c>
      <c r="N23" s="1" t="s">
        <v>63</v>
      </c>
      <c r="Q23" s="1">
        <v>7</v>
      </c>
      <c r="S23" s="1">
        <v>1</v>
      </c>
      <c r="T23" s="5">
        <v>4600</v>
      </c>
      <c r="U23" s="24">
        <v>0.3</v>
      </c>
      <c r="V23" s="26">
        <f>T23*(1-U23)</f>
        <v>3220</v>
      </c>
      <c r="W23" s="26">
        <f t="shared" si="6"/>
        <v>22540</v>
      </c>
      <c r="X23" s="6"/>
    </row>
    <row r="24" spans="1:26" x14ac:dyDescent="0.3">
      <c r="A24" t="s">
        <v>342</v>
      </c>
      <c r="B24" t="s">
        <v>360</v>
      </c>
      <c r="C24" t="s">
        <v>366</v>
      </c>
      <c r="D24" t="s">
        <v>365</v>
      </c>
      <c r="E24" s="1" t="s">
        <v>215</v>
      </c>
      <c r="F24" s="1" t="s">
        <v>102</v>
      </c>
      <c r="G24" s="2186">
        <v>2</v>
      </c>
      <c r="H24" s="2186">
        <f>VLOOKUP(G24,Pesos!A:B,2,0)</f>
        <v>0.8</v>
      </c>
      <c r="J24" s="1" t="s">
        <v>308</v>
      </c>
      <c r="K24" s="1">
        <v>4</v>
      </c>
      <c r="L24" s="1">
        <v>8</v>
      </c>
      <c r="M24" s="1">
        <v>1</v>
      </c>
      <c r="N24" s="1" t="s">
        <v>24</v>
      </c>
      <c r="O24" s="1">
        <v>1</v>
      </c>
      <c r="S24" s="1">
        <v>1</v>
      </c>
      <c r="T24" s="5">
        <v>13100</v>
      </c>
      <c r="U24" s="24">
        <v>0.3</v>
      </c>
      <c r="V24" s="26">
        <f>T24*(1-U24)</f>
        <v>9170</v>
      </c>
      <c r="W24" s="26">
        <f t="shared" si="6"/>
        <v>9170</v>
      </c>
      <c r="X24" s="6"/>
    </row>
    <row r="25" spans="1:26" x14ac:dyDescent="0.3">
      <c r="A25" t="s">
        <v>342</v>
      </c>
      <c r="B25" t="s">
        <v>360</v>
      </c>
      <c r="C25" t="s">
        <v>366</v>
      </c>
      <c r="D25" t="s">
        <v>365</v>
      </c>
      <c r="E25" s="1" t="s">
        <v>215</v>
      </c>
      <c r="F25" s="1" t="s">
        <v>26</v>
      </c>
      <c r="G25" s="2186"/>
      <c r="H25" s="2186"/>
      <c r="I25" s="1" t="s">
        <v>308</v>
      </c>
      <c r="K25" s="1">
        <v>2</v>
      </c>
      <c r="L25" s="1">
        <v>4</v>
      </c>
      <c r="M25" s="1">
        <v>2</v>
      </c>
      <c r="N25" s="1" t="s">
        <v>63</v>
      </c>
      <c r="O25" s="1">
        <v>2</v>
      </c>
      <c r="S25" s="1">
        <v>1</v>
      </c>
      <c r="T25" s="5">
        <v>13400</v>
      </c>
      <c r="U25" s="24">
        <v>0.3</v>
      </c>
      <c r="V25" s="26">
        <f t="shared" ref="V25:V29" si="9">T25*(1-U25)</f>
        <v>9380</v>
      </c>
      <c r="W25" s="26">
        <f t="shared" si="6"/>
        <v>18760</v>
      </c>
      <c r="X25" s="6"/>
    </row>
    <row r="26" spans="1:26" x14ac:dyDescent="0.3">
      <c r="A26" t="s">
        <v>342</v>
      </c>
      <c r="B26" t="s">
        <v>360</v>
      </c>
      <c r="C26" t="s">
        <v>366</v>
      </c>
      <c r="D26" t="s">
        <v>365</v>
      </c>
      <c r="E26" s="1" t="s">
        <v>216</v>
      </c>
      <c r="F26" s="1" t="s">
        <v>102</v>
      </c>
      <c r="G26" s="2186">
        <v>2</v>
      </c>
      <c r="H26" s="2186">
        <f>VLOOKUP(G26,Pesos!A:B,2,0)</f>
        <v>0.8</v>
      </c>
      <c r="J26" s="1" t="s">
        <v>308</v>
      </c>
      <c r="K26" s="1">
        <v>4</v>
      </c>
      <c r="L26" s="1">
        <v>8</v>
      </c>
      <c r="M26" s="1">
        <v>2</v>
      </c>
      <c r="N26" s="1" t="s">
        <v>63</v>
      </c>
      <c r="O26" s="1">
        <v>2</v>
      </c>
      <c r="R26" s="18"/>
      <c r="S26" s="1">
        <v>1</v>
      </c>
      <c r="T26" s="5">
        <v>47500</v>
      </c>
      <c r="U26" s="24">
        <v>0.92</v>
      </c>
      <c r="V26" s="26">
        <f t="shared" si="9"/>
        <v>3799.9999999999982</v>
      </c>
      <c r="W26" s="26">
        <f t="shared" si="6"/>
        <v>7599.9999999999964</v>
      </c>
      <c r="X26" s="6"/>
    </row>
    <row r="27" spans="1:26" x14ac:dyDescent="0.3">
      <c r="A27" t="s">
        <v>342</v>
      </c>
      <c r="B27" t="s">
        <v>360</v>
      </c>
      <c r="C27" t="s">
        <v>366</v>
      </c>
      <c r="D27" t="s">
        <v>365</v>
      </c>
      <c r="E27" s="1" t="s">
        <v>216</v>
      </c>
      <c r="F27" s="1" t="s">
        <v>166</v>
      </c>
      <c r="G27" s="2186">
        <v>1</v>
      </c>
      <c r="H27" s="2186">
        <f>VLOOKUP(G27,Pesos!A:B,2,0)</f>
        <v>0.9</v>
      </c>
      <c r="I27" s="1" t="s">
        <v>308</v>
      </c>
      <c r="K27" s="1">
        <v>7</v>
      </c>
      <c r="L27" s="1">
        <v>15</v>
      </c>
      <c r="M27" s="1">
        <v>8</v>
      </c>
      <c r="N27" s="1" t="s">
        <v>63</v>
      </c>
      <c r="O27" s="1">
        <v>8</v>
      </c>
      <c r="R27" s="6"/>
      <c r="S27" s="1">
        <v>1</v>
      </c>
      <c r="T27" s="5">
        <v>7500</v>
      </c>
      <c r="U27" s="24">
        <v>0.8</v>
      </c>
      <c r="V27" s="26">
        <f t="shared" si="9"/>
        <v>1499.9999999999998</v>
      </c>
      <c r="W27" s="26">
        <f t="shared" si="6"/>
        <v>11999.999999999998</v>
      </c>
      <c r="X27" s="6"/>
    </row>
    <row r="28" spans="1:26" x14ac:dyDescent="0.3">
      <c r="A28" t="s">
        <v>342</v>
      </c>
      <c r="B28" t="s">
        <v>360</v>
      </c>
      <c r="C28" t="s">
        <v>366</v>
      </c>
      <c r="D28" t="s">
        <v>365</v>
      </c>
      <c r="E28" s="1" t="s">
        <v>216</v>
      </c>
      <c r="F28" s="1" t="s">
        <v>26</v>
      </c>
      <c r="G28" s="2186"/>
      <c r="H28" s="2186"/>
      <c r="I28" s="1" t="s">
        <v>308</v>
      </c>
      <c r="K28" s="1">
        <v>2</v>
      </c>
      <c r="L28" s="1">
        <v>4</v>
      </c>
      <c r="M28" s="1">
        <v>2</v>
      </c>
      <c r="N28" s="1" t="s">
        <v>24</v>
      </c>
      <c r="O28" s="1">
        <v>2</v>
      </c>
      <c r="R28" s="6"/>
      <c r="S28" s="1">
        <v>1</v>
      </c>
      <c r="T28" s="5">
        <v>30000</v>
      </c>
      <c r="U28" s="24">
        <v>0.8</v>
      </c>
      <c r="V28" s="26">
        <f t="shared" si="9"/>
        <v>5999.9999999999991</v>
      </c>
      <c r="W28" s="26">
        <f t="shared" si="6"/>
        <v>11999.999999999998</v>
      </c>
      <c r="X28" s="6"/>
    </row>
    <row r="29" spans="1:26" x14ac:dyDescent="0.3">
      <c r="A29" t="s">
        <v>342</v>
      </c>
      <c r="B29" t="s">
        <v>360</v>
      </c>
      <c r="C29" t="s">
        <v>366</v>
      </c>
      <c r="D29" t="s">
        <v>365</v>
      </c>
      <c r="E29" s="1" t="s">
        <v>227</v>
      </c>
      <c r="F29" s="1" t="s">
        <v>102</v>
      </c>
      <c r="G29" s="2186">
        <v>2</v>
      </c>
      <c r="H29" s="2186">
        <f>VLOOKUP(G29,Pesos!A:B,2,0)</f>
        <v>0.8</v>
      </c>
      <c r="J29" s="1" t="s">
        <v>308</v>
      </c>
      <c r="K29" s="1">
        <v>4</v>
      </c>
      <c r="L29" s="1">
        <v>8</v>
      </c>
      <c r="M29" s="1">
        <v>2</v>
      </c>
      <c r="N29" s="1" t="s">
        <v>22</v>
      </c>
      <c r="O29" s="1">
        <v>2</v>
      </c>
      <c r="Q29" s="1">
        <v>2</v>
      </c>
      <c r="R29" s="18"/>
      <c r="S29" s="1">
        <v>2</v>
      </c>
      <c r="T29" s="5">
        <v>8132.89</v>
      </c>
      <c r="U29" s="24">
        <v>0.72</v>
      </c>
      <c r="V29" s="26">
        <f t="shared" si="9"/>
        <v>2277.2092000000002</v>
      </c>
      <c r="W29" s="26">
        <f t="shared" si="6"/>
        <v>9108.8368000000009</v>
      </c>
      <c r="X29" s="6"/>
    </row>
    <row r="30" spans="1:26" x14ac:dyDescent="0.3">
      <c r="A30" t="s">
        <v>342</v>
      </c>
      <c r="B30" t="s">
        <v>360</v>
      </c>
      <c r="C30" t="s">
        <v>366</v>
      </c>
      <c r="D30" t="s">
        <v>365</v>
      </c>
      <c r="E30" s="1" t="s">
        <v>210</v>
      </c>
      <c r="F30" s="1" t="s">
        <v>102</v>
      </c>
      <c r="G30" s="2186">
        <v>2</v>
      </c>
      <c r="H30" s="2186">
        <f>VLOOKUP(G30,Pesos!A:B,2,0)</f>
        <v>0.8</v>
      </c>
      <c r="J30" s="1" t="s">
        <v>308</v>
      </c>
      <c r="K30" s="1">
        <v>4</v>
      </c>
      <c r="L30" s="1">
        <v>8</v>
      </c>
      <c r="M30" s="1">
        <v>2</v>
      </c>
      <c r="N30" s="1" t="s">
        <v>147</v>
      </c>
      <c r="O30" s="1">
        <v>2</v>
      </c>
      <c r="R30" s="18"/>
      <c r="S30" s="1">
        <v>1</v>
      </c>
      <c r="T30" s="5">
        <v>5463</v>
      </c>
      <c r="U30" s="24">
        <v>0.6</v>
      </c>
      <c r="V30" s="26">
        <f t="shared" ref="V30" si="10">T30*(1-U30)</f>
        <v>2185.2000000000003</v>
      </c>
      <c r="W30" s="26">
        <f t="shared" ref="W30" si="11">V30*S30*M30</f>
        <v>4370.4000000000005</v>
      </c>
      <c r="X30" s="6"/>
    </row>
    <row r="31" spans="1:26" x14ac:dyDescent="0.3">
      <c r="A31" t="s">
        <v>342</v>
      </c>
      <c r="B31" t="s">
        <v>360</v>
      </c>
      <c r="C31" t="s">
        <v>366</v>
      </c>
      <c r="D31" t="s">
        <v>365</v>
      </c>
      <c r="E31" s="1" t="s">
        <v>220</v>
      </c>
      <c r="F31" s="1" t="s">
        <v>230</v>
      </c>
      <c r="G31" s="2186"/>
      <c r="H31" s="2186"/>
      <c r="I31" s="1" t="s">
        <v>308</v>
      </c>
      <c r="K31" s="1">
        <v>1</v>
      </c>
      <c r="L31" s="1">
        <v>2</v>
      </c>
      <c r="M31" s="1">
        <v>1</v>
      </c>
      <c r="N31" s="1" t="s">
        <v>24</v>
      </c>
      <c r="O31" s="1">
        <v>1</v>
      </c>
      <c r="R31" s="18"/>
      <c r="S31" s="1">
        <v>1</v>
      </c>
      <c r="T31" s="5">
        <v>15000</v>
      </c>
      <c r="U31" s="24">
        <v>0.2</v>
      </c>
      <c r="V31" s="26">
        <f t="shared" ref="V31:V39" si="12">T31*(1-U31)</f>
        <v>12000</v>
      </c>
      <c r="W31" s="26">
        <f t="shared" ref="W31:W39" si="13">V31*S31*M31</f>
        <v>12000</v>
      </c>
      <c r="X31" s="6"/>
    </row>
    <row r="32" spans="1:26" x14ac:dyDescent="0.3">
      <c r="G32" s="2186"/>
      <c r="H32" s="2186"/>
      <c r="K32" s="2"/>
      <c r="M32" s="1"/>
      <c r="T32" s="5"/>
      <c r="U32" s="24"/>
      <c r="V32" s="26"/>
      <c r="W32" s="26"/>
    </row>
    <row r="33" spans="1:23" x14ac:dyDescent="0.3">
      <c r="A33" t="s">
        <v>343</v>
      </c>
      <c r="B33" t="s">
        <v>360</v>
      </c>
      <c r="C33" t="s">
        <v>366</v>
      </c>
      <c r="D33" t="s">
        <v>365</v>
      </c>
      <c r="E33" s="1" t="s">
        <v>215</v>
      </c>
      <c r="F33" s="1" t="s">
        <v>166</v>
      </c>
      <c r="G33" s="2186">
        <v>2</v>
      </c>
      <c r="H33" s="2186">
        <f>VLOOKUP(G33,Pesos!A:B,2,0)</f>
        <v>0.8</v>
      </c>
      <c r="I33" s="1" t="s">
        <v>308</v>
      </c>
      <c r="K33" s="2" t="s">
        <v>263</v>
      </c>
      <c r="L33" s="1">
        <v>15</v>
      </c>
      <c r="M33" s="1">
        <v>8</v>
      </c>
      <c r="N33" s="1" t="s">
        <v>63</v>
      </c>
      <c r="Q33" s="1">
        <v>8</v>
      </c>
      <c r="S33" s="1">
        <v>1</v>
      </c>
      <c r="T33" s="5">
        <v>4600</v>
      </c>
      <c r="U33" s="24">
        <v>0.3</v>
      </c>
      <c r="V33" s="26">
        <f t="shared" si="12"/>
        <v>3220</v>
      </c>
      <c r="W33" s="26">
        <f t="shared" si="13"/>
        <v>25760</v>
      </c>
    </row>
    <row r="34" spans="1:23" x14ac:dyDescent="0.3">
      <c r="A34" t="s">
        <v>343</v>
      </c>
      <c r="B34" t="s">
        <v>360</v>
      </c>
      <c r="C34" t="s">
        <v>366</v>
      </c>
      <c r="D34" t="s">
        <v>365</v>
      </c>
      <c r="E34" s="1" t="s">
        <v>216</v>
      </c>
      <c r="F34" s="1" t="s">
        <v>102</v>
      </c>
      <c r="G34" s="2186">
        <v>1</v>
      </c>
      <c r="H34" s="2186">
        <f>VLOOKUP(G34,Pesos!A:B,2,0)</f>
        <v>0.9</v>
      </c>
      <c r="J34" s="1" t="s">
        <v>308</v>
      </c>
      <c r="K34" s="2" t="s">
        <v>346</v>
      </c>
      <c r="L34" s="1">
        <v>8</v>
      </c>
      <c r="M34" s="1">
        <v>2</v>
      </c>
      <c r="N34" s="1" t="s">
        <v>63</v>
      </c>
      <c r="O34" s="1">
        <v>2</v>
      </c>
      <c r="S34" s="1">
        <v>1</v>
      </c>
      <c r="T34" s="5">
        <v>47500</v>
      </c>
      <c r="U34" s="24">
        <v>0.92</v>
      </c>
      <c r="V34" s="26">
        <f t="shared" si="12"/>
        <v>3799.9999999999982</v>
      </c>
      <c r="W34" s="26">
        <f t="shared" si="13"/>
        <v>7599.9999999999964</v>
      </c>
    </row>
    <row r="35" spans="1:23" x14ac:dyDescent="0.3">
      <c r="A35" t="s">
        <v>343</v>
      </c>
      <c r="B35" t="s">
        <v>360</v>
      </c>
      <c r="C35" t="s">
        <v>366</v>
      </c>
      <c r="D35" t="s">
        <v>365</v>
      </c>
      <c r="E35" s="1" t="s">
        <v>216</v>
      </c>
      <c r="F35" s="1" t="s">
        <v>166</v>
      </c>
      <c r="G35" s="2186">
        <v>2</v>
      </c>
      <c r="H35" s="2186">
        <f>VLOOKUP(G35,Pesos!A:B,2,0)</f>
        <v>0.8</v>
      </c>
      <c r="I35" s="1" t="s">
        <v>308</v>
      </c>
      <c r="K35" s="2" t="s">
        <v>263</v>
      </c>
      <c r="L35" s="1">
        <v>15</v>
      </c>
      <c r="M35" s="1">
        <v>9</v>
      </c>
      <c r="N35" s="1" t="s">
        <v>63</v>
      </c>
      <c r="O35" s="1">
        <v>9</v>
      </c>
      <c r="S35" s="1">
        <v>1</v>
      </c>
      <c r="T35" s="5">
        <v>7500</v>
      </c>
      <c r="U35" s="24">
        <v>0.8</v>
      </c>
      <c r="V35" s="26">
        <f t="shared" si="12"/>
        <v>1499.9999999999998</v>
      </c>
      <c r="W35" s="26">
        <f t="shared" si="13"/>
        <v>13499.999999999998</v>
      </c>
    </row>
    <row r="36" spans="1:23" x14ac:dyDescent="0.3">
      <c r="A36" t="s">
        <v>343</v>
      </c>
      <c r="B36" t="s">
        <v>360</v>
      </c>
      <c r="C36" t="s">
        <v>366</v>
      </c>
      <c r="D36" t="s">
        <v>365</v>
      </c>
      <c r="E36" s="1" t="s">
        <v>216</v>
      </c>
      <c r="F36" s="1" t="s">
        <v>26</v>
      </c>
      <c r="G36" s="2186">
        <v>5</v>
      </c>
      <c r="H36" s="2186">
        <f>VLOOKUP(G36,Pesos!A:B,2,0)</f>
        <v>0.5</v>
      </c>
      <c r="I36" s="1" t="s">
        <v>308</v>
      </c>
      <c r="K36" s="1">
        <v>2</v>
      </c>
      <c r="L36" s="1">
        <v>4</v>
      </c>
      <c r="M36" s="1">
        <v>1</v>
      </c>
      <c r="N36" s="1" t="s">
        <v>24</v>
      </c>
      <c r="O36" s="1">
        <v>1</v>
      </c>
      <c r="S36" s="1">
        <v>1</v>
      </c>
      <c r="T36" s="5">
        <v>30000</v>
      </c>
      <c r="U36" s="24">
        <v>0.8</v>
      </c>
      <c r="V36" s="26">
        <f t="shared" si="12"/>
        <v>5999.9999999999991</v>
      </c>
      <c r="W36" s="26">
        <f t="shared" si="13"/>
        <v>5999.9999999999991</v>
      </c>
    </row>
    <row r="37" spans="1:23" x14ac:dyDescent="0.3">
      <c r="A37" t="s">
        <v>343</v>
      </c>
      <c r="B37" t="s">
        <v>360</v>
      </c>
      <c r="C37" t="s">
        <v>366</v>
      </c>
      <c r="D37" t="s">
        <v>365</v>
      </c>
      <c r="E37" s="1" t="s">
        <v>227</v>
      </c>
      <c r="F37" s="1" t="s">
        <v>102</v>
      </c>
      <c r="G37" s="2186">
        <v>1</v>
      </c>
      <c r="H37" s="2186">
        <f>VLOOKUP(G37,Pesos!A:B,2,0)</f>
        <v>0.9</v>
      </c>
      <c r="J37" s="1" t="s">
        <v>308</v>
      </c>
      <c r="K37" s="1">
        <v>4</v>
      </c>
      <c r="L37" s="1">
        <v>8</v>
      </c>
      <c r="M37" s="1">
        <v>2</v>
      </c>
      <c r="N37" s="1" t="s">
        <v>22</v>
      </c>
      <c r="O37" s="1">
        <v>2</v>
      </c>
      <c r="Q37" s="1">
        <v>2</v>
      </c>
      <c r="S37" s="1">
        <v>2</v>
      </c>
      <c r="T37" s="5">
        <v>8132.89</v>
      </c>
      <c r="U37" s="24">
        <v>0.72</v>
      </c>
      <c r="V37" s="26">
        <f t="shared" si="12"/>
        <v>2277.2092000000002</v>
      </c>
      <c r="W37" s="26">
        <f t="shared" si="13"/>
        <v>9108.8368000000009</v>
      </c>
    </row>
    <row r="38" spans="1:23" x14ac:dyDescent="0.3">
      <c r="A38" t="s">
        <v>343</v>
      </c>
      <c r="B38" t="s">
        <v>360</v>
      </c>
      <c r="C38" t="s">
        <v>366</v>
      </c>
      <c r="D38" t="s">
        <v>365</v>
      </c>
      <c r="E38" s="1" t="s">
        <v>210</v>
      </c>
      <c r="F38" s="1" t="s">
        <v>102</v>
      </c>
      <c r="G38" s="2186">
        <v>1</v>
      </c>
      <c r="H38" s="2186">
        <f>VLOOKUP(G38,Pesos!A:B,2,0)</f>
        <v>0.9</v>
      </c>
      <c r="J38" s="1" t="s">
        <v>308</v>
      </c>
      <c r="K38" s="1">
        <v>4</v>
      </c>
      <c r="L38" s="1">
        <v>8</v>
      </c>
      <c r="M38" s="1">
        <v>2</v>
      </c>
      <c r="N38" s="1" t="s">
        <v>147</v>
      </c>
      <c r="O38" s="1">
        <v>2</v>
      </c>
      <c r="S38" s="1">
        <v>1</v>
      </c>
      <c r="T38" s="5">
        <v>5463</v>
      </c>
      <c r="U38" s="24">
        <v>0.6</v>
      </c>
      <c r="V38" s="26">
        <f t="shared" si="12"/>
        <v>2185.2000000000003</v>
      </c>
      <c r="W38" s="26">
        <f t="shared" si="13"/>
        <v>4370.4000000000005</v>
      </c>
    </row>
    <row r="39" spans="1:23" x14ac:dyDescent="0.3">
      <c r="A39" t="s">
        <v>343</v>
      </c>
      <c r="B39" t="s">
        <v>360</v>
      </c>
      <c r="C39" t="s">
        <v>366</v>
      </c>
      <c r="D39" t="s">
        <v>365</v>
      </c>
      <c r="E39" s="1" t="s">
        <v>216</v>
      </c>
      <c r="F39" s="1" t="s">
        <v>180</v>
      </c>
      <c r="G39" s="2186">
        <v>3</v>
      </c>
      <c r="H39" s="2186">
        <f>VLOOKUP(G39,Pesos!A:B,2,0)</f>
        <v>0.7</v>
      </c>
      <c r="I39" s="1" t="s">
        <v>308</v>
      </c>
      <c r="K39" s="1">
        <v>6</v>
      </c>
      <c r="L39" s="1">
        <v>14</v>
      </c>
      <c r="M39" s="1">
        <v>9</v>
      </c>
      <c r="N39" s="1" t="s">
        <v>24</v>
      </c>
      <c r="O39" s="1">
        <v>9</v>
      </c>
      <c r="S39" s="1">
        <v>1</v>
      </c>
      <c r="T39" s="5">
        <v>9000</v>
      </c>
      <c r="U39" s="24">
        <v>0.8</v>
      </c>
      <c r="V39" s="26">
        <f t="shared" si="12"/>
        <v>1799.9999999999995</v>
      </c>
      <c r="W39" s="26">
        <f t="shared" si="13"/>
        <v>16199.999999999996</v>
      </c>
    </row>
    <row r="40" spans="1:23" x14ac:dyDescent="0.3">
      <c r="A40" t="s">
        <v>343</v>
      </c>
      <c r="B40" t="s">
        <v>360</v>
      </c>
      <c r="C40" t="s">
        <v>366</v>
      </c>
      <c r="D40" t="s">
        <v>365</v>
      </c>
      <c r="E40" s="1" t="s">
        <v>220</v>
      </c>
      <c r="F40" s="1" t="s">
        <v>228</v>
      </c>
      <c r="G40" s="2186">
        <v>4</v>
      </c>
      <c r="H40" s="2186">
        <f>VLOOKUP(G40,Pesos!A:B,2,0)</f>
        <v>0.6</v>
      </c>
      <c r="I40" s="1" t="s">
        <v>308</v>
      </c>
      <c r="K40" s="1">
        <v>5</v>
      </c>
      <c r="L40" s="1">
        <v>5</v>
      </c>
      <c r="M40" s="1">
        <v>1</v>
      </c>
      <c r="N40" s="1" t="s">
        <v>24</v>
      </c>
      <c r="O40" s="1">
        <v>5</v>
      </c>
      <c r="S40" s="1">
        <v>1</v>
      </c>
      <c r="T40" s="5">
        <v>25500</v>
      </c>
      <c r="U40" s="24">
        <v>0.2</v>
      </c>
      <c r="V40" s="26">
        <f t="shared" ref="V40" si="14">T40*(1-U40)</f>
        <v>20400</v>
      </c>
      <c r="W40" s="26">
        <f t="shared" ref="W40" si="15">V40*S40*M40</f>
        <v>20400</v>
      </c>
    </row>
    <row r="41" spans="1:23" x14ac:dyDescent="0.3">
      <c r="G41" s="2186"/>
      <c r="H41" s="2186"/>
      <c r="M41" s="1"/>
      <c r="T41" s="5"/>
      <c r="U41" s="24"/>
      <c r="V41" s="26"/>
      <c r="W41" s="26"/>
    </row>
    <row r="42" spans="1:23" x14ac:dyDescent="0.3">
      <c r="A42" t="s">
        <v>326</v>
      </c>
      <c r="B42" t="s">
        <v>360</v>
      </c>
      <c r="C42" t="s">
        <v>366</v>
      </c>
      <c r="D42" t="s">
        <v>365</v>
      </c>
      <c r="E42" s="1" t="s">
        <v>215</v>
      </c>
      <c r="F42" s="1" t="s">
        <v>89</v>
      </c>
      <c r="G42" s="2186">
        <v>2</v>
      </c>
      <c r="H42" s="2186">
        <f>VLOOKUP(G42,Pesos!A:B,2,0)</f>
        <v>0.8</v>
      </c>
      <c r="I42" s="1" t="s">
        <v>308</v>
      </c>
      <c r="K42" s="1">
        <v>6</v>
      </c>
      <c r="L42" s="1">
        <v>12</v>
      </c>
      <c r="M42" s="1">
        <v>8</v>
      </c>
      <c r="N42" s="1" t="s">
        <v>63</v>
      </c>
      <c r="Q42" s="1">
        <v>8</v>
      </c>
      <c r="S42" s="1">
        <v>1</v>
      </c>
      <c r="T42" s="5">
        <v>2800</v>
      </c>
      <c r="U42" s="24">
        <v>0.3</v>
      </c>
      <c r="V42" s="26">
        <f t="shared" ref="V42:V45" si="16">T42*(1-U42)</f>
        <v>1959.9999999999998</v>
      </c>
      <c r="W42" s="26">
        <f t="shared" ref="W42:W45" si="17">V42*S42*M42</f>
        <v>15679.999999999998</v>
      </c>
    </row>
    <row r="43" spans="1:23" x14ac:dyDescent="0.3">
      <c r="A43" t="s">
        <v>326</v>
      </c>
      <c r="B43" t="s">
        <v>360</v>
      </c>
      <c r="C43" t="s">
        <v>366</v>
      </c>
      <c r="D43" t="s">
        <v>365</v>
      </c>
      <c r="E43" s="1" t="s">
        <v>216</v>
      </c>
      <c r="F43" s="1" t="s">
        <v>102</v>
      </c>
      <c r="G43" s="2186">
        <v>1</v>
      </c>
      <c r="H43" s="2186">
        <f>VLOOKUP(G43,Pesos!A:B,2,0)</f>
        <v>0.9</v>
      </c>
      <c r="J43" s="1" t="s">
        <v>308</v>
      </c>
      <c r="K43" s="1">
        <v>2</v>
      </c>
      <c r="L43" s="1">
        <v>4</v>
      </c>
      <c r="M43" s="1">
        <v>1</v>
      </c>
      <c r="N43" s="1" t="s">
        <v>63</v>
      </c>
      <c r="O43" s="1">
        <v>1</v>
      </c>
      <c r="S43" s="1">
        <v>1</v>
      </c>
      <c r="T43" s="5">
        <v>47500</v>
      </c>
      <c r="U43" s="24">
        <v>0.92</v>
      </c>
      <c r="V43" s="26">
        <f t="shared" si="16"/>
        <v>3799.9999999999982</v>
      </c>
      <c r="W43" s="26">
        <f t="shared" si="17"/>
        <v>3799.9999999999982</v>
      </c>
    </row>
    <row r="44" spans="1:23" x14ac:dyDescent="0.3">
      <c r="A44" t="s">
        <v>326</v>
      </c>
      <c r="B44" t="s">
        <v>360</v>
      </c>
      <c r="C44" t="s">
        <v>366</v>
      </c>
      <c r="D44" t="s">
        <v>365</v>
      </c>
      <c r="E44" s="1" t="s">
        <v>216</v>
      </c>
      <c r="F44" s="1" t="s">
        <v>231</v>
      </c>
      <c r="G44" s="2186">
        <v>2</v>
      </c>
      <c r="H44" s="2186">
        <f>VLOOKUP(G44,Pesos!A:B,2,0)</f>
        <v>0.8</v>
      </c>
      <c r="I44" s="1" t="s">
        <v>308</v>
      </c>
      <c r="K44" s="1">
        <v>6</v>
      </c>
      <c r="L44" s="1">
        <v>12</v>
      </c>
      <c r="M44" s="1">
        <v>8</v>
      </c>
      <c r="N44" s="1" t="s">
        <v>63</v>
      </c>
      <c r="O44" s="1">
        <v>8</v>
      </c>
      <c r="S44" s="1">
        <v>1</v>
      </c>
      <c r="T44" s="5">
        <v>5250</v>
      </c>
      <c r="U44" s="24">
        <v>0.8</v>
      </c>
      <c r="V44" s="26">
        <f>T44*(1-U44)</f>
        <v>1049.9999999999998</v>
      </c>
      <c r="W44" s="26">
        <f t="shared" si="17"/>
        <v>8399.9999999999982</v>
      </c>
    </row>
    <row r="45" spans="1:23" x14ac:dyDescent="0.3">
      <c r="A45" t="s">
        <v>326</v>
      </c>
      <c r="B45" t="s">
        <v>360</v>
      </c>
      <c r="C45" t="s">
        <v>366</v>
      </c>
      <c r="D45" t="s">
        <v>365</v>
      </c>
      <c r="E45" s="1" t="s">
        <v>216</v>
      </c>
      <c r="F45" s="1" t="s">
        <v>26</v>
      </c>
      <c r="G45" s="2186">
        <v>4</v>
      </c>
      <c r="H45" s="2186">
        <f>VLOOKUP(G45,Pesos!A:B,2,0)</f>
        <v>0.6</v>
      </c>
      <c r="I45" s="1" t="s">
        <v>308</v>
      </c>
      <c r="K45" s="1">
        <v>1</v>
      </c>
      <c r="L45" s="1">
        <v>3</v>
      </c>
      <c r="M45" s="1">
        <v>1</v>
      </c>
      <c r="N45" s="1" t="s">
        <v>24</v>
      </c>
      <c r="O45" s="1">
        <v>1</v>
      </c>
      <c r="S45" s="1">
        <v>1</v>
      </c>
      <c r="T45" s="5">
        <v>30000</v>
      </c>
      <c r="U45" s="24">
        <v>0.8</v>
      </c>
      <c r="V45" s="26">
        <f t="shared" si="16"/>
        <v>5999.9999999999991</v>
      </c>
      <c r="W45" s="26">
        <f t="shared" si="17"/>
        <v>5999.9999999999991</v>
      </c>
    </row>
    <row r="46" spans="1:23" x14ac:dyDescent="0.3">
      <c r="A46" t="s">
        <v>326</v>
      </c>
      <c r="B46" t="s">
        <v>360</v>
      </c>
      <c r="C46" t="s">
        <v>366</v>
      </c>
      <c r="D46" t="s">
        <v>365</v>
      </c>
      <c r="E46" s="1" t="s">
        <v>227</v>
      </c>
      <c r="F46" s="1" t="s">
        <v>102</v>
      </c>
      <c r="G46" s="2186">
        <v>1</v>
      </c>
      <c r="H46" s="2186">
        <f>VLOOKUP(G46,Pesos!A:B,2,0)</f>
        <v>0.9</v>
      </c>
      <c r="J46" s="1" t="s">
        <v>308</v>
      </c>
      <c r="K46" s="1">
        <v>2</v>
      </c>
      <c r="L46" s="1">
        <v>4</v>
      </c>
      <c r="M46" s="1">
        <v>1</v>
      </c>
      <c r="N46" s="1" t="s">
        <v>22</v>
      </c>
      <c r="Q46" s="1">
        <v>1</v>
      </c>
      <c r="S46" s="1">
        <v>1</v>
      </c>
      <c r="T46" s="5">
        <v>8132.89</v>
      </c>
      <c r="U46" s="24">
        <v>0.72</v>
      </c>
      <c r="V46" s="26">
        <f t="shared" ref="V46:V49" si="18">T46*(1-U46)</f>
        <v>2277.2092000000002</v>
      </c>
      <c r="W46" s="26">
        <f t="shared" ref="W46:W49" si="19">V46*S46*M46</f>
        <v>2277.2092000000002</v>
      </c>
    </row>
    <row r="47" spans="1:23" x14ac:dyDescent="0.3">
      <c r="A47" t="s">
        <v>326</v>
      </c>
      <c r="B47" t="s">
        <v>360</v>
      </c>
      <c r="C47" t="s">
        <v>366</v>
      </c>
      <c r="D47" t="s">
        <v>365</v>
      </c>
      <c r="E47" s="1" t="s">
        <v>210</v>
      </c>
      <c r="F47" s="1" t="s">
        <v>102</v>
      </c>
      <c r="G47" s="2186">
        <v>1</v>
      </c>
      <c r="H47" s="2186">
        <f>VLOOKUP(G47,Pesos!A:B,2,0)</f>
        <v>0.9</v>
      </c>
      <c r="J47" s="1" t="s">
        <v>308</v>
      </c>
      <c r="K47" s="1">
        <v>2</v>
      </c>
      <c r="L47" s="1">
        <v>4</v>
      </c>
      <c r="M47" s="1">
        <v>1</v>
      </c>
      <c r="N47" s="1" t="s">
        <v>147</v>
      </c>
      <c r="O47" s="1">
        <v>1</v>
      </c>
      <c r="S47" s="1">
        <v>1</v>
      </c>
      <c r="T47" s="5">
        <v>5463</v>
      </c>
      <c r="U47" s="24">
        <v>0.6</v>
      </c>
      <c r="V47" s="26">
        <f t="shared" si="18"/>
        <v>2185.2000000000003</v>
      </c>
      <c r="W47" s="26">
        <f t="shared" si="19"/>
        <v>2185.2000000000003</v>
      </c>
    </row>
    <row r="48" spans="1:23" x14ac:dyDescent="0.3">
      <c r="A48" t="s">
        <v>326</v>
      </c>
      <c r="B48" t="s">
        <v>360</v>
      </c>
      <c r="C48" t="s">
        <v>366</v>
      </c>
      <c r="D48" t="s">
        <v>365</v>
      </c>
      <c r="E48" s="1" t="s">
        <v>216</v>
      </c>
      <c r="F48" s="1" t="s">
        <v>180</v>
      </c>
      <c r="G48" s="2186">
        <v>3</v>
      </c>
      <c r="H48" s="2186">
        <f>VLOOKUP(G48,Pesos!A:B,2,0)</f>
        <v>0.7</v>
      </c>
      <c r="I48" s="1" t="s">
        <v>308</v>
      </c>
      <c r="K48" s="1">
        <v>3</v>
      </c>
      <c r="L48" s="1">
        <v>7</v>
      </c>
      <c r="M48" s="1">
        <v>3</v>
      </c>
      <c r="N48" s="1" t="s">
        <v>24</v>
      </c>
      <c r="O48" s="1">
        <v>3</v>
      </c>
      <c r="S48" s="1">
        <v>1</v>
      </c>
      <c r="T48" s="5">
        <v>9000</v>
      </c>
      <c r="U48" s="24">
        <v>0.8</v>
      </c>
      <c r="V48" s="26">
        <f t="shared" si="18"/>
        <v>1799.9999999999995</v>
      </c>
      <c r="W48" s="26">
        <f t="shared" si="19"/>
        <v>5399.9999999999982</v>
      </c>
    </row>
    <row r="49" spans="1:23" x14ac:dyDescent="0.3">
      <c r="A49" t="s">
        <v>326</v>
      </c>
      <c r="B49" t="s">
        <v>360</v>
      </c>
      <c r="C49" t="s">
        <v>366</v>
      </c>
      <c r="D49" t="s">
        <v>365</v>
      </c>
      <c r="E49" s="1" t="s">
        <v>220</v>
      </c>
      <c r="F49" s="1" t="s">
        <v>232</v>
      </c>
      <c r="G49" s="2186">
        <v>4</v>
      </c>
      <c r="H49" s="2186">
        <f>VLOOKUP(G49,Pesos!A:B,2,0)</f>
        <v>0.6</v>
      </c>
      <c r="I49" s="1" t="s">
        <v>308</v>
      </c>
      <c r="K49" s="1">
        <v>1</v>
      </c>
      <c r="L49" s="1">
        <v>1</v>
      </c>
      <c r="M49" s="1">
        <v>1</v>
      </c>
      <c r="N49" s="1" t="s">
        <v>24</v>
      </c>
      <c r="O49" s="1">
        <v>3</v>
      </c>
      <c r="S49" s="1">
        <v>1</v>
      </c>
      <c r="T49" s="5">
        <v>5400</v>
      </c>
      <c r="U49" s="24">
        <v>0.2</v>
      </c>
      <c r="V49" s="26">
        <f t="shared" si="18"/>
        <v>4320</v>
      </c>
      <c r="W49" s="26">
        <f t="shared" si="19"/>
        <v>4320</v>
      </c>
    </row>
    <row r="50" spans="1:23" x14ac:dyDescent="0.3">
      <c r="M50" s="1"/>
      <c r="T50" s="28"/>
      <c r="U50" s="29"/>
      <c r="V50" s="26"/>
      <c r="W50" s="26"/>
    </row>
    <row r="51" spans="1:23" x14ac:dyDescent="0.3">
      <c r="M51" s="1"/>
      <c r="T51" s="28"/>
      <c r="U51" s="29"/>
      <c r="V51" s="26"/>
      <c r="W51" s="26"/>
    </row>
    <row r="52" spans="1:23" x14ac:dyDescent="0.3">
      <c r="M52" s="1"/>
      <c r="T52" s="28"/>
      <c r="U52" s="29"/>
      <c r="V52" s="26"/>
      <c r="W52" s="26"/>
    </row>
    <row r="54" spans="1:23" x14ac:dyDescent="0.3">
      <c r="M54" s="1"/>
      <c r="T54" s="28"/>
      <c r="U54" s="29"/>
      <c r="V54" s="26"/>
      <c r="W54" s="26"/>
    </row>
    <row r="55" spans="1:23" x14ac:dyDescent="0.3">
      <c r="A55" s="47"/>
      <c r="D55" s="43" t="s">
        <v>1158</v>
      </c>
      <c r="E55" s="43" t="s">
        <v>1159</v>
      </c>
      <c r="F55" s="43" t="s">
        <v>1160</v>
      </c>
      <c r="G55" s="43"/>
    </row>
    <row r="56" spans="1:23" x14ac:dyDescent="0.3">
      <c r="A56" s="47" t="s">
        <v>1161</v>
      </c>
      <c r="B56" s="2174"/>
      <c r="C56" s="2174"/>
      <c r="D56" s="2181">
        <f>E56*(1-10%)</f>
        <v>4311.4439261538464</v>
      </c>
      <c r="E56" s="427">
        <f>NATAL!S50</f>
        <v>4790.4932512820515</v>
      </c>
      <c r="F56" s="427">
        <f>E56*(1+15%)</f>
        <v>5509.0672389743586</v>
      </c>
      <c r="G56" s="427"/>
    </row>
    <row r="57" spans="1:23" x14ac:dyDescent="0.3">
      <c r="A57" s="47" t="s">
        <v>1162</v>
      </c>
      <c r="B57" s="2174"/>
      <c r="C57" s="2174"/>
      <c r="D57" s="2181">
        <f>E57*(1-25%)</f>
        <v>2281.2744491803273</v>
      </c>
      <c r="E57" s="427">
        <f>NATAL!S80</f>
        <v>3041.6992655737699</v>
      </c>
      <c r="F57" s="427">
        <f>E57*(1+5%)</f>
        <v>3193.7842288524585</v>
      </c>
      <c r="G57" s="427"/>
    </row>
    <row r="58" spans="1:23" x14ac:dyDescent="0.3">
      <c r="A58" s="47" t="s">
        <v>550</v>
      </c>
      <c r="B58" s="2174"/>
      <c r="C58" s="2174"/>
      <c r="D58" s="2181">
        <f>E58*(1-15%)</f>
        <v>3533.3396993103447</v>
      </c>
      <c r="E58" s="427">
        <f>NATAL!S115</f>
        <v>4156.8702344827589</v>
      </c>
      <c r="F58" s="427">
        <f>E58*(1+15%)</f>
        <v>4780.4007696551726</v>
      </c>
      <c r="G58" s="427"/>
    </row>
    <row r="59" spans="1:23" x14ac:dyDescent="0.3">
      <c r="A59" s="47" t="s">
        <v>679</v>
      </c>
      <c r="B59" s="2174"/>
      <c r="C59" s="2174"/>
      <c r="D59" s="2181">
        <f>E59*(1-25%)</f>
        <v>2248.86069</v>
      </c>
      <c r="E59" s="427">
        <f>NATAL!S142</f>
        <v>2998.48092</v>
      </c>
      <c r="F59" s="427">
        <f>E59*(1+5%)</f>
        <v>3148.4049660000001</v>
      </c>
      <c r="G59" s="427"/>
    </row>
    <row r="60" spans="1:23" x14ac:dyDescent="0.3">
      <c r="A60" s="47" t="s">
        <v>568</v>
      </c>
      <c r="B60" s="2174"/>
      <c r="C60" s="2174"/>
      <c r="D60" s="2181">
        <f>E60*(1-25%)</f>
        <v>1674.8771884615383</v>
      </c>
      <c r="E60" s="427">
        <f>NATAL!S175</f>
        <v>2233.1695846153843</v>
      </c>
      <c r="F60" s="427">
        <f>E60*(1+5%)</f>
        <v>2344.8280638461538</v>
      </c>
      <c r="G60" s="427"/>
    </row>
    <row r="61" spans="1:23" x14ac:dyDescent="0.3">
      <c r="A61" s="47"/>
      <c r="B61" s="47"/>
      <c r="C61" s="47"/>
      <c r="D61" s="48"/>
    </row>
    <row r="62" spans="1:23" x14ac:dyDescent="0.3">
      <c r="A62" s="47"/>
      <c r="B62" s="46"/>
      <c r="C62" s="46"/>
      <c r="D62" s="2314" t="s">
        <v>1163</v>
      </c>
      <c r="E62" s="2315"/>
      <c r="F62" s="2315"/>
      <c r="G62" s="2316"/>
    </row>
    <row r="63" spans="1:23" x14ac:dyDescent="0.3">
      <c r="A63" s="47" t="s">
        <v>1161</v>
      </c>
      <c r="B63" s="2175"/>
      <c r="C63" s="2175"/>
      <c r="D63" s="3">
        <v>0.64102564102564108</v>
      </c>
      <c r="E63" s="3"/>
      <c r="F63" s="3">
        <v>0.35897435897435898</v>
      </c>
      <c r="G63" s="3"/>
    </row>
    <row r="64" spans="1:23" x14ac:dyDescent="0.3">
      <c r="A64" s="47" t="s">
        <v>1162</v>
      </c>
      <c r="B64" s="2175"/>
      <c r="C64" s="2175"/>
      <c r="D64" s="2175">
        <v>0.73770491803278693</v>
      </c>
      <c r="E64" s="304"/>
      <c r="F64" s="304">
        <v>0.26229508196721313</v>
      </c>
      <c r="G64" s="304"/>
    </row>
    <row r="65" spans="1:30" x14ac:dyDescent="0.3">
      <c r="A65" s="47" t="s">
        <v>550</v>
      </c>
      <c r="B65" s="2175"/>
      <c r="C65" s="2175"/>
      <c r="D65" s="2175">
        <v>0.68965517241379315</v>
      </c>
      <c r="E65" s="304"/>
      <c r="F65" s="304">
        <v>0.31034482758620691</v>
      </c>
      <c r="G65" s="304"/>
    </row>
    <row r="66" spans="1:30" x14ac:dyDescent="0.3">
      <c r="A66" s="47" t="s">
        <v>679</v>
      </c>
      <c r="B66" s="2175"/>
      <c r="C66" s="2175"/>
      <c r="D66" s="2175">
        <v>0.75</v>
      </c>
      <c r="E66" s="304"/>
      <c r="F66" s="304">
        <v>0.25</v>
      </c>
      <c r="G66" s="304"/>
    </row>
    <row r="67" spans="1:30" x14ac:dyDescent="0.3">
      <c r="A67" s="47" t="s">
        <v>568</v>
      </c>
      <c r="B67" s="47"/>
      <c r="C67" s="47"/>
      <c r="D67" s="2175"/>
      <c r="E67" s="3"/>
      <c r="F67" s="304"/>
    </row>
    <row r="68" spans="1:30" x14ac:dyDescent="0.3">
      <c r="A68" s="47"/>
      <c r="B68" s="47"/>
      <c r="C68" s="47"/>
      <c r="D68" s="48"/>
    </row>
    <row r="69" spans="1:30" x14ac:dyDescent="0.3">
      <c r="A69" s="47"/>
      <c r="B69" s="47"/>
      <c r="C69" s="47"/>
      <c r="D69" s="48"/>
    </row>
    <row r="70" spans="1:30" x14ac:dyDescent="0.3">
      <c r="A70" s="47"/>
      <c r="B70" s="47"/>
      <c r="C70" s="47"/>
      <c r="D70" s="48"/>
    </row>
    <row r="71" spans="1:30" x14ac:dyDescent="0.3">
      <c r="A71" s="47"/>
      <c r="B71" s="46"/>
      <c r="C71" s="46"/>
      <c r="D71" s="2314" t="s">
        <v>1164</v>
      </c>
      <c r="E71" s="2315"/>
      <c r="F71" s="2315"/>
      <c r="G71" s="2316"/>
    </row>
    <row r="72" spans="1:30" x14ac:dyDescent="0.3">
      <c r="A72" s="47" t="s">
        <v>1161</v>
      </c>
      <c r="B72" s="2175"/>
      <c r="C72" s="2175"/>
      <c r="D72" s="2175">
        <v>0.26041666666666669</v>
      </c>
      <c r="E72" s="2175">
        <v>0.23958333333333334</v>
      </c>
      <c r="F72" s="2175">
        <v>0.26041666666666669</v>
      </c>
      <c r="G72" s="2175">
        <v>0.23958333333333334</v>
      </c>
    </row>
    <row r="73" spans="1:30" x14ac:dyDescent="0.3">
      <c r="A73" s="47" t="s">
        <v>1162</v>
      </c>
      <c r="B73" s="6"/>
      <c r="C73" s="6"/>
      <c r="D73" s="6">
        <v>0.26470588235294118</v>
      </c>
      <c r="E73" s="2175">
        <v>0.24705882352941178</v>
      </c>
      <c r="F73" s="2175">
        <v>0.25294117647058822</v>
      </c>
      <c r="G73" s="2175">
        <v>0.23529411764705882</v>
      </c>
    </row>
    <row r="74" spans="1:30" x14ac:dyDescent="0.3">
      <c r="A74" s="47" t="s">
        <v>550</v>
      </c>
      <c r="B74" s="2175"/>
      <c r="C74" s="2175"/>
      <c r="D74" s="2175">
        <v>0.36363636363636365</v>
      </c>
      <c r="E74" s="2175">
        <v>0.32727272727272727</v>
      </c>
      <c r="F74" s="2175">
        <v>0.30909090909090908</v>
      </c>
      <c r="G74" s="2175"/>
    </row>
    <row r="75" spans="1:30" x14ac:dyDescent="0.3">
      <c r="A75" s="47" t="s">
        <v>679</v>
      </c>
      <c r="B75" s="2175"/>
      <c r="C75" s="2175"/>
      <c r="D75" s="6">
        <v>0.35294117647058826</v>
      </c>
      <c r="E75" s="6">
        <v>0.32941176470588235</v>
      </c>
      <c r="F75" s="6">
        <v>0.31764705882352939</v>
      </c>
      <c r="G75" s="2200"/>
    </row>
    <row r="76" spans="1:30" x14ac:dyDescent="0.3">
      <c r="A76" s="47" t="s">
        <v>568</v>
      </c>
      <c r="B76" s="47"/>
      <c r="C76" s="47"/>
      <c r="D76" s="6"/>
      <c r="E76" s="2175"/>
      <c r="F76" s="2175"/>
      <c r="G76" s="2175"/>
    </row>
    <row r="78" spans="1:30" x14ac:dyDescent="0.3">
      <c r="E78" s="48"/>
      <c r="F78" s="48"/>
      <c r="G78" s="48"/>
      <c r="H78" s="48"/>
      <c r="I78" s="48"/>
      <c r="J78" s="48"/>
      <c r="K78" s="48"/>
      <c r="L78" s="48"/>
      <c r="N78" s="48"/>
      <c r="O78" s="48"/>
      <c r="P78" s="48"/>
      <c r="Q78" s="48"/>
      <c r="R78" s="48"/>
      <c r="S78" s="48"/>
      <c r="T78" s="49"/>
      <c r="U78" s="48"/>
      <c r="V78" s="49"/>
      <c r="W78" s="49"/>
      <c r="X78" s="51"/>
      <c r="Y78" s="51"/>
      <c r="AB78" s="48"/>
      <c r="AD78" s="48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G188"/>
  <sheetViews>
    <sheetView workbookViewId="0"/>
  </sheetViews>
  <sheetFormatPr defaultRowHeight="14.4" x14ac:dyDescent="0.3"/>
  <sheetData>
    <row r="1" spans="1:5" ht="21" x14ac:dyDescent="0.4">
      <c r="A1" s="92" t="s">
        <v>1066</v>
      </c>
    </row>
    <row r="2" spans="1:5" x14ac:dyDescent="0.3">
      <c r="A2" t="s">
        <v>452</v>
      </c>
    </row>
    <row r="4" spans="1:5" x14ac:dyDescent="0.3">
      <c r="B4" s="95"/>
    </row>
    <row r="5" spans="1:5" x14ac:dyDescent="0.3">
      <c r="B5" s="96"/>
      <c r="C5" s="603"/>
    </row>
    <row r="6" spans="1:5" x14ac:dyDescent="0.3">
      <c r="A6" s="100" t="s">
        <v>1067</v>
      </c>
      <c r="B6" s="101">
        <v>378911.28</v>
      </c>
      <c r="C6" s="102"/>
    </row>
    <row r="7" spans="1:5" x14ac:dyDescent="0.3">
      <c r="A7" s="100" t="s">
        <v>1068</v>
      </c>
      <c r="B7" s="101">
        <v>378911.28</v>
      </c>
      <c r="C7" s="97"/>
    </row>
    <row r="8" spans="1:5" x14ac:dyDescent="0.3">
      <c r="C8" s="97"/>
    </row>
    <row r="9" spans="1:5" x14ac:dyDescent="0.3">
      <c r="A9" s="103" t="s">
        <v>1069</v>
      </c>
      <c r="B9" s="104">
        <v>1733118.75</v>
      </c>
      <c r="C9" s="105"/>
    </row>
    <row r="10" spans="1:5" x14ac:dyDescent="0.3">
      <c r="A10" s="100" t="s">
        <v>1070</v>
      </c>
      <c r="B10" s="101">
        <v>1733118.75</v>
      </c>
      <c r="C10" s="3"/>
    </row>
    <row r="13" spans="1:5" x14ac:dyDescent="0.3">
      <c r="A13" s="4" t="s">
        <v>457</v>
      </c>
    </row>
    <row r="14" spans="1:5" x14ac:dyDescent="0.3">
      <c r="A14" s="106" t="s">
        <v>458</v>
      </c>
      <c r="B14" s="106"/>
      <c r="C14" s="106" t="s">
        <v>459</v>
      </c>
      <c r="D14" s="106" t="s">
        <v>460</v>
      </c>
      <c r="E14" s="106" t="s">
        <v>461</v>
      </c>
    </row>
    <row r="15" spans="1:5" x14ac:dyDescent="0.3">
      <c r="A15" s="107" t="s">
        <v>606</v>
      </c>
      <c r="B15" s="108" t="s">
        <v>463</v>
      </c>
      <c r="C15" s="109">
        <v>0.36</v>
      </c>
      <c r="D15" s="110">
        <v>623922.75</v>
      </c>
      <c r="E15" s="110">
        <v>207974.25</v>
      </c>
    </row>
    <row r="16" spans="1:5" x14ac:dyDescent="0.3">
      <c r="A16" s="107" t="s">
        <v>607</v>
      </c>
      <c r="B16" s="108" t="s">
        <v>465</v>
      </c>
      <c r="C16" s="109">
        <v>0.44</v>
      </c>
      <c r="D16" s="110">
        <v>762572.25</v>
      </c>
      <c r="E16" s="110">
        <v>152514.45000000001</v>
      </c>
    </row>
    <row r="17" spans="1:32" x14ac:dyDescent="0.3">
      <c r="A17" s="107" t="s">
        <v>608</v>
      </c>
      <c r="B17" s="108">
        <v>3</v>
      </c>
      <c r="C17" s="109">
        <v>0.2</v>
      </c>
      <c r="D17" s="110">
        <v>346623.75</v>
      </c>
      <c r="E17" s="110">
        <v>115541.25</v>
      </c>
    </row>
    <row r="18" spans="1:32" x14ac:dyDescent="0.3">
      <c r="B18" s="1" t="s">
        <v>467</v>
      </c>
      <c r="C18" s="3">
        <v>1</v>
      </c>
      <c r="D18" s="112">
        <v>1733118.75</v>
      </c>
      <c r="F18" s="16"/>
    </row>
    <row r="21" spans="1:32" x14ac:dyDescent="0.3">
      <c r="A21" s="100" t="s">
        <v>769</v>
      </c>
      <c r="B21" s="769">
        <v>866300</v>
      </c>
      <c r="Q21" s="115"/>
    </row>
    <row r="22" spans="1:32" x14ac:dyDescent="0.3">
      <c r="A22" s="714" t="s">
        <v>579</v>
      </c>
      <c r="B22" s="770">
        <v>408977</v>
      </c>
      <c r="E22" s="1" t="s">
        <v>470</v>
      </c>
      <c r="F22" s="2" t="s">
        <v>1071</v>
      </c>
      <c r="H22" s="1" t="s">
        <v>472</v>
      </c>
      <c r="J22" s="304">
        <v>0.36</v>
      </c>
      <c r="K22" s="304"/>
      <c r="L22" s="304"/>
    </row>
    <row r="23" spans="1:32" x14ac:dyDescent="0.3">
      <c r="E23" s="1" t="s">
        <v>473</v>
      </c>
      <c r="F23" s="2" t="s">
        <v>53</v>
      </c>
      <c r="H23" s="1" t="s">
        <v>473</v>
      </c>
      <c r="J23" s="1">
        <v>24</v>
      </c>
      <c r="K23" s="1"/>
      <c r="L23" s="1"/>
    </row>
    <row r="24" spans="1:32" x14ac:dyDescent="0.3">
      <c r="E24" s="1" t="s">
        <v>475</v>
      </c>
      <c r="F24" s="2" t="s">
        <v>1072</v>
      </c>
      <c r="H24" s="1" t="s">
        <v>475</v>
      </c>
      <c r="J24" s="95">
        <v>877</v>
      </c>
      <c r="K24" s="95"/>
      <c r="L24" s="95"/>
      <c r="P24" s="115"/>
    </row>
    <row r="25" spans="1:32" x14ac:dyDescent="0.3">
      <c r="E25" s="1" t="s">
        <v>477</v>
      </c>
      <c r="F25" s="2" t="s">
        <v>1073</v>
      </c>
      <c r="H25" s="1" t="s">
        <v>477</v>
      </c>
      <c r="J25" s="95">
        <v>3588088</v>
      </c>
      <c r="K25" s="95"/>
      <c r="L25" s="95"/>
      <c r="O25" s="98"/>
      <c r="S25" s="116"/>
    </row>
    <row r="26" spans="1:32" ht="18" x14ac:dyDescent="0.35">
      <c r="A26" s="1037" t="s">
        <v>479</v>
      </c>
      <c r="O26" s="98"/>
      <c r="P26" s="117"/>
    </row>
    <row r="27" spans="1:32" x14ac:dyDescent="0.3">
      <c r="O27" s="119"/>
    </row>
    <row r="28" spans="1:32" x14ac:dyDescent="0.3">
      <c r="A28" s="2587" t="s">
        <v>480</v>
      </c>
      <c r="B28" s="2588"/>
      <c r="C28" s="2588"/>
      <c r="D28" s="2588"/>
      <c r="E28" s="2588"/>
      <c r="F28" s="2588"/>
      <c r="G28" s="2588"/>
      <c r="H28" s="2588"/>
      <c r="I28" s="2588"/>
      <c r="J28" s="2588"/>
      <c r="K28" s="2588"/>
      <c r="L28" s="2588"/>
      <c r="M28" s="2588"/>
      <c r="N28" s="2588"/>
      <c r="O28" s="2588"/>
      <c r="P28" s="2588"/>
      <c r="Q28" s="2588"/>
      <c r="R28" s="2589"/>
      <c r="S28" s="2563" t="s">
        <v>584</v>
      </c>
      <c r="T28" s="2564"/>
      <c r="U28" s="2564"/>
      <c r="V28" s="2564"/>
      <c r="W28" s="2564"/>
      <c r="X28" s="2564"/>
      <c r="Y28" s="2564"/>
      <c r="Z28" s="2564"/>
      <c r="AA28" s="2564"/>
      <c r="AB28" s="2564"/>
      <c r="AC28" s="2564"/>
      <c r="AD28" s="2564"/>
      <c r="AE28" s="2564"/>
      <c r="AF28" s="2576"/>
    </row>
    <row r="29" spans="1:32" ht="18" x14ac:dyDescent="0.3">
      <c r="A29" s="2722" t="s">
        <v>482</v>
      </c>
      <c r="B29" s="2723" t="s">
        <v>483</v>
      </c>
      <c r="C29" s="2723" t="s">
        <v>484</v>
      </c>
      <c r="D29" s="2723" t="s">
        <v>485</v>
      </c>
      <c r="E29" s="2723" t="s">
        <v>486</v>
      </c>
      <c r="F29" s="2724" t="s">
        <v>487</v>
      </c>
      <c r="G29" s="2723" t="s">
        <v>488</v>
      </c>
      <c r="H29" s="2723" t="s">
        <v>489</v>
      </c>
      <c r="I29" s="1381" t="s">
        <v>490</v>
      </c>
      <c r="J29" s="1381"/>
      <c r="K29" s="1381"/>
      <c r="L29" s="1381"/>
      <c r="M29" s="1382" t="s">
        <v>491</v>
      </c>
      <c r="N29" s="1383" t="s">
        <v>492</v>
      </c>
      <c r="O29" s="1384" t="s">
        <v>493</v>
      </c>
      <c r="P29" s="1383" t="s">
        <v>492</v>
      </c>
      <c r="Q29" s="1383" t="s">
        <v>494</v>
      </c>
      <c r="R29" s="1385" t="s">
        <v>495</v>
      </c>
      <c r="S29" s="1052" t="s">
        <v>496</v>
      </c>
      <c r="T29" s="2582" t="s">
        <v>497</v>
      </c>
      <c r="U29" s="2581"/>
      <c r="V29" s="2581"/>
      <c r="W29" s="2581"/>
      <c r="X29" s="2581"/>
      <c r="Y29" s="2582" t="s">
        <v>498</v>
      </c>
      <c r="Z29" s="2581"/>
      <c r="AA29" s="2608" t="s">
        <v>499</v>
      </c>
      <c r="AB29" s="2607"/>
      <c r="AC29" s="2607"/>
      <c r="AD29" s="2607"/>
      <c r="AE29" s="2607"/>
      <c r="AF29" s="2609"/>
    </row>
    <row r="30" spans="1:32" ht="18" x14ac:dyDescent="0.3">
      <c r="A30" s="2722"/>
      <c r="B30" s="2723"/>
      <c r="C30" s="2723"/>
      <c r="D30" s="2723"/>
      <c r="E30" s="2723"/>
      <c r="F30" s="2724"/>
      <c r="G30" s="2723"/>
      <c r="H30" s="2723"/>
      <c r="I30" s="1386" t="s">
        <v>500</v>
      </c>
      <c r="J30" s="1386" t="s">
        <v>501</v>
      </c>
      <c r="K30" s="1386" t="s">
        <v>502</v>
      </c>
      <c r="L30" s="1386" t="s">
        <v>503</v>
      </c>
      <c r="M30" s="1382" t="s">
        <v>504</v>
      </c>
      <c r="N30" s="1383" t="s">
        <v>505</v>
      </c>
      <c r="O30" s="1384" t="s">
        <v>506</v>
      </c>
      <c r="P30" s="1383" t="s">
        <v>507</v>
      </c>
      <c r="Q30" s="1383" t="s">
        <v>507</v>
      </c>
      <c r="R30" s="1385"/>
      <c r="S30" s="1052" t="s">
        <v>508</v>
      </c>
      <c r="T30" s="2787"/>
      <c r="U30" s="2788"/>
      <c r="V30" s="2788"/>
      <c r="W30" s="2788"/>
      <c r="X30" s="2788"/>
      <c r="Y30" s="2787"/>
      <c r="Z30" s="2788"/>
      <c r="AA30" s="2787"/>
      <c r="AB30" s="2788"/>
      <c r="AC30" s="2788"/>
      <c r="AD30" s="2788"/>
      <c r="AE30" s="2788"/>
      <c r="AF30" s="2789"/>
    </row>
    <row r="31" spans="1:32" ht="15.6" x14ac:dyDescent="0.3">
      <c r="A31" s="2796" t="s">
        <v>509</v>
      </c>
      <c r="B31" s="2797"/>
      <c r="C31" s="2797"/>
      <c r="D31" s="2797"/>
      <c r="E31" s="2797"/>
      <c r="F31" s="2797"/>
      <c r="G31" s="2797"/>
      <c r="H31" s="2797"/>
      <c r="I31" s="2797"/>
      <c r="J31" s="2797"/>
      <c r="K31" s="2797"/>
      <c r="L31" s="2797"/>
      <c r="M31" s="2797"/>
      <c r="N31" s="2797"/>
      <c r="O31" s="2797"/>
      <c r="P31" s="2797"/>
      <c r="Q31" s="2797"/>
      <c r="R31" s="2797"/>
      <c r="S31" s="1577"/>
      <c r="T31" s="1553" t="s">
        <v>510</v>
      </c>
      <c r="U31" s="1554" t="s">
        <v>11</v>
      </c>
      <c r="V31" s="1554" t="s">
        <v>511</v>
      </c>
      <c r="W31" s="1554" t="s">
        <v>512</v>
      </c>
      <c r="X31" s="1578" t="s">
        <v>513</v>
      </c>
      <c r="Y31" s="1553" t="s">
        <v>514</v>
      </c>
      <c r="Z31" s="1578" t="s">
        <v>515</v>
      </c>
      <c r="AA31" s="1553" t="s">
        <v>233</v>
      </c>
      <c r="AB31" s="1554" t="s">
        <v>234</v>
      </c>
      <c r="AC31" s="1554" t="s">
        <v>1</v>
      </c>
      <c r="AD31" s="1554" t="s">
        <v>235</v>
      </c>
      <c r="AE31" s="1554" t="s">
        <v>139</v>
      </c>
      <c r="AF31" s="1578" t="s">
        <v>5</v>
      </c>
    </row>
    <row r="32" spans="1:32" x14ac:dyDescent="0.3">
      <c r="A32" s="154"/>
      <c r="B32" s="462"/>
      <c r="C32" s="462"/>
      <c r="D32" s="462"/>
      <c r="E32" s="462"/>
      <c r="F32" s="463"/>
      <c r="G32" s="462"/>
      <c r="H32" s="462"/>
      <c r="I32" s="464"/>
      <c r="J32" s="465"/>
      <c r="K32" s="465"/>
      <c r="L32" s="466"/>
      <c r="M32" s="467"/>
      <c r="N32" s="468"/>
      <c r="O32" s="469"/>
      <c r="P32" s="468"/>
      <c r="Q32" s="468"/>
      <c r="R32" s="501"/>
      <c r="S32" s="166"/>
      <c r="T32" s="188"/>
      <c r="X32" s="286"/>
      <c r="Y32" s="188"/>
      <c r="Z32" s="286"/>
      <c r="AF32" s="286"/>
    </row>
    <row r="33" spans="1:32" x14ac:dyDescent="0.3">
      <c r="A33" s="157"/>
      <c r="B33" s="157"/>
      <c r="C33" s="157"/>
      <c r="D33" s="157"/>
      <c r="E33" s="157"/>
      <c r="F33" s="158"/>
      <c r="G33" s="157"/>
      <c r="H33" s="157"/>
      <c r="I33" s="188"/>
      <c r="L33" s="286"/>
      <c r="M33" s="163"/>
      <c r="N33" s="164"/>
      <c r="O33" s="165"/>
      <c r="P33" s="164"/>
      <c r="Q33" s="164"/>
      <c r="R33" s="1046"/>
      <c r="S33" s="164"/>
      <c r="T33" s="394"/>
      <c r="U33" s="169"/>
      <c r="V33" s="169"/>
      <c r="W33" s="169"/>
      <c r="X33" s="395"/>
      <c r="Y33" s="394"/>
      <c r="Z33" s="395"/>
      <c r="AA33" s="169"/>
      <c r="AF33" s="286"/>
    </row>
    <row r="34" spans="1:32" x14ac:dyDescent="0.3">
      <c r="A34" s="157" t="s">
        <v>1074</v>
      </c>
      <c r="B34" s="157" t="s">
        <v>236</v>
      </c>
      <c r="C34" s="157" t="s">
        <v>1075</v>
      </c>
      <c r="D34" s="157" t="s">
        <v>208</v>
      </c>
      <c r="E34" s="157" t="s">
        <v>520</v>
      </c>
      <c r="F34" s="158" t="s">
        <v>796</v>
      </c>
      <c r="G34" s="157">
        <v>25</v>
      </c>
      <c r="H34" s="157" t="s">
        <v>63</v>
      </c>
      <c r="I34" s="175">
        <v>25</v>
      </c>
      <c r="J34" s="688"/>
      <c r="L34" s="286"/>
      <c r="M34" s="163">
        <v>1</v>
      </c>
      <c r="N34" s="166">
        <v>1152</v>
      </c>
      <c r="O34" s="173">
        <v>0.16</v>
      </c>
      <c r="P34" s="166">
        <f>N34*(1-O34)</f>
        <v>967.68</v>
      </c>
      <c r="Q34" s="166">
        <f t="shared" ref="Q34:Q39" si="0">P34*M34*G34</f>
        <v>24192</v>
      </c>
      <c r="R34" s="184">
        <f t="shared" ref="R34:R39" si="1">Q34/$Q$46</f>
        <v>0.13004419148039603</v>
      </c>
      <c r="S34" s="503">
        <f t="shared" ref="S34:S44" si="2">Q34*2</f>
        <v>48384</v>
      </c>
      <c r="T34" s="394">
        <f t="shared" ref="T34:T36" si="3">S34</f>
        <v>48384</v>
      </c>
      <c r="X34" s="286"/>
      <c r="Y34" s="394">
        <f>S34</f>
        <v>48384</v>
      </c>
      <c r="Z34" s="395"/>
      <c r="AA34" s="169">
        <f>S34</f>
        <v>48384</v>
      </c>
      <c r="AF34" s="286"/>
    </row>
    <row r="35" spans="1:32" x14ac:dyDescent="0.3">
      <c r="A35" s="157" t="s">
        <v>1074</v>
      </c>
      <c r="B35" s="157" t="s">
        <v>236</v>
      </c>
      <c r="C35" s="157" t="s">
        <v>1075</v>
      </c>
      <c r="D35" s="157" t="s">
        <v>102</v>
      </c>
      <c r="E35" s="157" t="s">
        <v>518</v>
      </c>
      <c r="F35" s="158" t="s">
        <v>1076</v>
      </c>
      <c r="G35" s="157">
        <v>7</v>
      </c>
      <c r="H35" s="157" t="s">
        <v>24</v>
      </c>
      <c r="I35" s="2445">
        <v>7</v>
      </c>
      <c r="J35" s="726"/>
      <c r="K35" s="726"/>
      <c r="L35" s="727"/>
      <c r="M35" s="163">
        <v>1</v>
      </c>
      <c r="N35" s="166">
        <v>4199</v>
      </c>
      <c r="O35" s="173">
        <v>0.17</v>
      </c>
      <c r="P35" s="166">
        <f>N35*(1-O35)</f>
        <v>3485.1699999999996</v>
      </c>
      <c r="Q35" s="166">
        <f t="shared" si="0"/>
        <v>24396.19</v>
      </c>
      <c r="R35" s="167">
        <f t="shared" si="1"/>
        <v>0.13114181563128816</v>
      </c>
      <c r="S35" s="503">
        <f t="shared" si="2"/>
        <v>48792.38</v>
      </c>
      <c r="T35" s="394">
        <f t="shared" si="3"/>
        <v>48792.38</v>
      </c>
      <c r="X35" s="286"/>
      <c r="Y35" s="394"/>
      <c r="Z35" s="395">
        <f>S35</f>
        <v>48792.38</v>
      </c>
      <c r="AA35" s="169">
        <f>S35</f>
        <v>48792.38</v>
      </c>
      <c r="AF35" s="286"/>
    </row>
    <row r="36" spans="1:32" x14ac:dyDescent="0.3">
      <c r="A36" s="157" t="s">
        <v>1074</v>
      </c>
      <c r="B36" s="157" t="s">
        <v>236</v>
      </c>
      <c r="C36" s="157" t="s">
        <v>1075</v>
      </c>
      <c r="D36" s="157" t="s">
        <v>26</v>
      </c>
      <c r="E36" s="157" t="s">
        <v>520</v>
      </c>
      <c r="F36" s="158" t="s">
        <v>1077</v>
      </c>
      <c r="G36" s="157">
        <v>7</v>
      </c>
      <c r="H36" s="157" t="s">
        <v>24</v>
      </c>
      <c r="I36" s="175">
        <v>7</v>
      </c>
      <c r="J36" s="176"/>
      <c r="K36" s="176"/>
      <c r="L36" s="177"/>
      <c r="M36" s="163">
        <v>1</v>
      </c>
      <c r="N36" s="166">
        <v>4680</v>
      </c>
      <c r="O36" s="173">
        <v>0.17</v>
      </c>
      <c r="P36" s="166">
        <f t="shared" ref="P36:P39" si="4">N36*(1-O36)</f>
        <v>3884.3999999999996</v>
      </c>
      <c r="Q36" s="166">
        <f t="shared" si="0"/>
        <v>27190.799999999996</v>
      </c>
      <c r="R36" s="184">
        <f t="shared" si="1"/>
        <v>0.14616425271598679</v>
      </c>
      <c r="S36" s="503">
        <f t="shared" si="2"/>
        <v>54381.599999999991</v>
      </c>
      <c r="T36" s="394">
        <f t="shared" si="3"/>
        <v>54381.599999999991</v>
      </c>
      <c r="X36" s="286"/>
      <c r="Y36" s="394">
        <f>S36</f>
        <v>54381.599999999991</v>
      </c>
      <c r="Z36" s="395"/>
      <c r="AA36" s="169">
        <f>S36</f>
        <v>54381.599999999991</v>
      </c>
      <c r="AB36" s="169"/>
      <c r="AF36" s="286"/>
    </row>
    <row r="37" spans="1:32" x14ac:dyDescent="0.3">
      <c r="A37" s="157" t="s">
        <v>1074</v>
      </c>
      <c r="B37" s="157" t="s">
        <v>237</v>
      </c>
      <c r="C37" s="157" t="s">
        <v>1075</v>
      </c>
      <c r="D37" s="157" t="s">
        <v>102</v>
      </c>
      <c r="E37" s="157" t="s">
        <v>518</v>
      </c>
      <c r="F37" s="158" t="s">
        <v>1076</v>
      </c>
      <c r="G37" s="157">
        <v>2</v>
      </c>
      <c r="H37" s="157" t="s">
        <v>24</v>
      </c>
      <c r="I37" s="175">
        <v>2</v>
      </c>
      <c r="J37" s="688"/>
      <c r="K37" s="1648"/>
      <c r="L37" s="1649"/>
      <c r="M37" s="163">
        <v>1</v>
      </c>
      <c r="N37" s="166">
        <v>4740</v>
      </c>
      <c r="O37" s="173">
        <v>0.2</v>
      </c>
      <c r="P37" s="166">
        <f t="shared" si="4"/>
        <v>3792</v>
      </c>
      <c r="Q37" s="166">
        <f t="shared" si="0"/>
        <v>7584</v>
      </c>
      <c r="R37" s="167">
        <f t="shared" si="1"/>
        <v>4.0767821932346376E-2</v>
      </c>
      <c r="S37" s="503">
        <f>Q37*2</f>
        <v>15168</v>
      </c>
      <c r="T37" s="394">
        <f>S37</f>
        <v>15168</v>
      </c>
      <c r="X37" s="286"/>
      <c r="Y37" s="394"/>
      <c r="Z37" s="395">
        <f>S37</f>
        <v>15168</v>
      </c>
      <c r="AB37" s="169">
        <f>S37</f>
        <v>15168</v>
      </c>
      <c r="AF37" s="286"/>
    </row>
    <row r="38" spans="1:32" x14ac:dyDescent="0.3">
      <c r="A38" s="157" t="s">
        <v>1074</v>
      </c>
      <c r="B38" s="157" t="s">
        <v>20</v>
      </c>
      <c r="C38" s="157" t="s">
        <v>1075</v>
      </c>
      <c r="D38" s="157" t="s">
        <v>161</v>
      </c>
      <c r="E38" s="157" t="s">
        <v>518</v>
      </c>
      <c r="F38" s="158" t="s">
        <v>541</v>
      </c>
      <c r="G38" s="157">
        <v>5</v>
      </c>
      <c r="H38" s="157" t="s">
        <v>24</v>
      </c>
      <c r="I38" s="182">
        <v>5</v>
      </c>
      <c r="J38" s="1648"/>
      <c r="K38" s="176">
        <v>5</v>
      </c>
      <c r="L38" s="1649"/>
      <c r="M38" s="163">
        <v>2</v>
      </c>
      <c r="N38" s="166">
        <v>5929</v>
      </c>
      <c r="O38" s="173">
        <v>0.6</v>
      </c>
      <c r="P38" s="166">
        <f t="shared" si="4"/>
        <v>2371.6</v>
      </c>
      <c r="Q38" s="166">
        <f t="shared" si="0"/>
        <v>23716</v>
      </c>
      <c r="R38" s="167">
        <f t="shared" si="1"/>
        <v>0.12748545160173083</v>
      </c>
      <c r="S38" s="503">
        <f>Q38*2</f>
        <v>47432</v>
      </c>
      <c r="T38" s="394"/>
      <c r="U38" s="169">
        <f>S38</f>
        <v>47432</v>
      </c>
      <c r="V38" s="169"/>
      <c r="X38" s="286"/>
      <c r="Y38" s="394"/>
      <c r="Z38" s="395">
        <f>S38</f>
        <v>47432</v>
      </c>
      <c r="AB38" s="169"/>
      <c r="AC38" s="169">
        <f>S38</f>
        <v>47432</v>
      </c>
      <c r="AF38" s="286"/>
    </row>
    <row r="39" spans="1:32" x14ac:dyDescent="0.3">
      <c r="A39" s="157" t="s">
        <v>1074</v>
      </c>
      <c r="B39" s="157" t="s">
        <v>238</v>
      </c>
      <c r="C39" s="157" t="s">
        <v>1075</v>
      </c>
      <c r="D39" s="157" t="s">
        <v>208</v>
      </c>
      <c r="E39" s="157" t="s">
        <v>520</v>
      </c>
      <c r="F39" s="158" t="s">
        <v>796</v>
      </c>
      <c r="G39" s="157">
        <v>18</v>
      </c>
      <c r="H39" s="157" t="s">
        <v>63</v>
      </c>
      <c r="I39" s="1650"/>
      <c r="J39" s="1651"/>
      <c r="K39" s="725">
        <v>18</v>
      </c>
      <c r="L39" s="2209"/>
      <c r="M39" s="163">
        <v>1</v>
      </c>
      <c r="N39" s="166">
        <v>1584</v>
      </c>
      <c r="O39" s="173">
        <v>0.16</v>
      </c>
      <c r="P39" s="166">
        <f t="shared" si="4"/>
        <v>1330.56</v>
      </c>
      <c r="Q39" s="166">
        <f t="shared" si="0"/>
        <v>23950.079999999998</v>
      </c>
      <c r="R39" s="184">
        <f t="shared" si="1"/>
        <v>0.12874374956559206</v>
      </c>
      <c r="S39" s="503">
        <f t="shared" ref="S39" si="5">Q39*2</f>
        <v>47900.159999999996</v>
      </c>
      <c r="T39" s="394">
        <f t="shared" ref="T39" si="6">S39</f>
        <v>47900.159999999996</v>
      </c>
      <c r="X39" s="286"/>
      <c r="Y39" s="394">
        <f>S39</f>
        <v>47900.159999999996</v>
      </c>
      <c r="Z39" s="395"/>
      <c r="AC39" s="169"/>
      <c r="AD39" s="169">
        <f>S39</f>
        <v>47900.159999999996</v>
      </c>
      <c r="AF39" s="286"/>
    </row>
    <row r="40" spans="1:32" x14ac:dyDescent="0.3">
      <c r="A40" s="157"/>
      <c r="B40" s="157"/>
      <c r="C40" s="157"/>
      <c r="D40" s="157"/>
      <c r="E40" s="157"/>
      <c r="F40" s="158"/>
      <c r="G40" s="157"/>
      <c r="H40" s="157"/>
      <c r="L40" s="286"/>
      <c r="M40" s="163"/>
      <c r="N40" s="166"/>
      <c r="O40" s="173"/>
      <c r="P40" s="166"/>
      <c r="Q40" s="166"/>
      <c r="R40" s="184"/>
      <c r="S40" s="503"/>
      <c r="T40" s="394"/>
      <c r="V40" s="169"/>
      <c r="X40" s="286"/>
      <c r="Y40" s="394"/>
      <c r="Z40" s="286"/>
      <c r="AD40" s="169"/>
      <c r="AF40" s="286"/>
    </row>
    <row r="41" spans="1:32" x14ac:dyDescent="0.3">
      <c r="A41" s="172"/>
      <c r="B41" s="157"/>
      <c r="C41" s="157"/>
      <c r="D41" s="157"/>
      <c r="E41" s="157"/>
      <c r="F41" s="158"/>
      <c r="G41" s="157"/>
      <c r="H41" s="157"/>
      <c r="L41" s="286"/>
      <c r="M41" s="157"/>
      <c r="N41" s="166"/>
      <c r="O41" s="173"/>
      <c r="P41" s="166"/>
      <c r="Q41" s="166"/>
      <c r="R41" s="393"/>
      <c r="S41" s="503"/>
      <c r="T41" s="188"/>
      <c r="X41" s="286"/>
      <c r="Y41" s="188"/>
      <c r="Z41" s="286"/>
      <c r="AE41" s="169"/>
      <c r="AF41" s="395"/>
    </row>
    <row r="42" spans="1:32" x14ac:dyDescent="0.3">
      <c r="A42" s="172"/>
      <c r="B42" s="157"/>
      <c r="C42" s="190"/>
      <c r="D42" s="190"/>
      <c r="E42" s="190"/>
      <c r="F42" s="191"/>
      <c r="G42" s="190"/>
      <c r="H42" s="190"/>
      <c r="I42" s="245"/>
      <c r="J42" s="245"/>
      <c r="K42" s="245"/>
      <c r="L42" s="287"/>
      <c r="M42" s="190"/>
      <c r="N42" s="194"/>
      <c r="O42" s="195"/>
      <c r="P42" s="194"/>
      <c r="Q42" s="166"/>
      <c r="R42" s="393"/>
      <c r="S42" s="503"/>
      <c r="T42" s="188"/>
      <c r="X42" s="286"/>
      <c r="Y42" s="188"/>
      <c r="Z42" s="286"/>
      <c r="AF42" s="286"/>
    </row>
    <row r="43" spans="1:32" x14ac:dyDescent="0.3">
      <c r="A43" s="108" t="s">
        <v>1074</v>
      </c>
      <c r="B43" s="108" t="s">
        <v>528</v>
      </c>
      <c r="C43" s="289"/>
      <c r="D43" s="252"/>
      <c r="E43" s="252"/>
      <c r="F43" s="253"/>
      <c r="G43" s="252"/>
      <c r="H43" s="252"/>
      <c r="I43" s="254"/>
      <c r="J43" s="254"/>
      <c r="K43" s="254"/>
      <c r="L43" s="254"/>
      <c r="M43" s="252"/>
      <c r="N43" s="255"/>
      <c r="O43" s="256"/>
      <c r="P43" s="290"/>
      <c r="Q43" s="257"/>
      <c r="R43" s="291"/>
      <c r="S43" s="503"/>
      <c r="T43" s="188"/>
      <c r="W43" s="169"/>
      <c r="X43" s="286"/>
      <c r="Y43" s="188"/>
      <c r="Z43" s="286"/>
      <c r="AF43" s="286"/>
    </row>
    <row r="44" spans="1:32" x14ac:dyDescent="0.3">
      <c r="A44" s="108" t="s">
        <v>1074</v>
      </c>
      <c r="B44" s="108" t="s">
        <v>529</v>
      </c>
      <c r="C44" s="289"/>
      <c r="D44" s="252"/>
      <c r="E44" s="252"/>
      <c r="F44" s="253"/>
      <c r="G44" s="252"/>
      <c r="H44" s="252"/>
      <c r="I44" s="254"/>
      <c r="J44" s="254"/>
      <c r="K44" s="254"/>
      <c r="L44" s="254"/>
      <c r="M44" s="252"/>
      <c r="N44" s="255"/>
      <c r="O44" s="256"/>
      <c r="P44" s="290"/>
      <c r="Q44" s="257">
        <v>55000</v>
      </c>
      <c r="R44" s="291">
        <f>Q44/Q46</f>
        <v>0.29565271707265967</v>
      </c>
      <c r="S44" s="503">
        <f t="shared" si="2"/>
        <v>110000</v>
      </c>
      <c r="T44" s="188"/>
      <c r="X44" s="395">
        <f>S44</f>
        <v>110000</v>
      </c>
      <c r="Y44" s="188"/>
      <c r="Z44" s="286"/>
      <c r="AF44" s="286"/>
    </row>
    <row r="45" spans="1:32" x14ac:dyDescent="0.3">
      <c r="I45" s="115">
        <f>I46/M46</f>
        <v>0.66666666666666663</v>
      </c>
      <c r="J45" s="115"/>
      <c r="K45" s="115">
        <f>K46/M46</f>
        <v>0.33333333333333331</v>
      </c>
      <c r="S45" s="166"/>
      <c r="T45" s="188"/>
      <c r="X45" s="286"/>
      <c r="Y45" s="188"/>
      <c r="Z45" s="286"/>
      <c r="AF45" s="286"/>
    </row>
    <row r="46" spans="1:32" x14ac:dyDescent="0.3">
      <c r="A46" s="840" t="s">
        <v>531</v>
      </c>
      <c r="B46" s="841"/>
      <c r="C46" s="841"/>
      <c r="D46" s="841"/>
      <c r="E46" s="841"/>
      <c r="F46" s="842"/>
      <c r="G46" s="841"/>
      <c r="H46" s="841"/>
      <c r="I46" s="841">
        <f>I38+I37+I36+I35+I34</f>
        <v>46</v>
      </c>
      <c r="J46" s="841"/>
      <c r="K46" s="841">
        <f>K39+K38</f>
        <v>23</v>
      </c>
      <c r="L46" s="841"/>
      <c r="M46" s="841">
        <f>SUM(I46:L46)</f>
        <v>69</v>
      </c>
      <c r="N46" s="843"/>
      <c r="O46" s="844"/>
      <c r="P46" s="843"/>
      <c r="Q46" s="845">
        <f>SUM(Q33:Q45)</f>
        <v>186029.07</v>
      </c>
      <c r="R46" s="844">
        <f>SUM(R33:R44)</f>
        <v>1</v>
      </c>
      <c r="S46" s="1580">
        <f>SUM(S33:S45)</f>
        <v>372058.14</v>
      </c>
      <c r="T46" s="1581">
        <f>SUM(T33:T44)</f>
        <v>214626.13999999998</v>
      </c>
      <c r="U46" s="570">
        <f t="shared" ref="U46:Z46" si="7">SUM(U33:U44)</f>
        <v>47432</v>
      </c>
      <c r="V46" s="570">
        <f t="shared" si="7"/>
        <v>0</v>
      </c>
      <c r="W46" s="570">
        <f t="shared" si="7"/>
        <v>0</v>
      </c>
      <c r="X46" s="570">
        <f t="shared" si="7"/>
        <v>110000</v>
      </c>
      <c r="Y46" s="1091">
        <f>SUM(Y33:Y44)</f>
        <v>150665.75999999998</v>
      </c>
      <c r="Z46" s="1056">
        <f t="shared" si="7"/>
        <v>111392.38</v>
      </c>
      <c r="AA46" s="1581">
        <f>SUM(AA32:AA45)</f>
        <v>151557.97999999998</v>
      </c>
      <c r="AB46" s="570">
        <f>SUM(AB32:AB45)</f>
        <v>15168</v>
      </c>
      <c r="AC46" s="570">
        <f t="shared" ref="AC46:AF46" si="8">SUM(AC32:AC45)</f>
        <v>47432</v>
      </c>
      <c r="AD46" s="570">
        <f t="shared" si="8"/>
        <v>47900.159999999996</v>
      </c>
      <c r="AE46" s="570">
        <f t="shared" si="8"/>
        <v>0</v>
      </c>
      <c r="AF46" s="1056">
        <f t="shared" si="8"/>
        <v>0</v>
      </c>
    </row>
    <row r="47" spans="1:32" x14ac:dyDescent="0.3">
      <c r="A47" s="840" t="s">
        <v>532</v>
      </c>
      <c r="B47" s="841"/>
      <c r="C47" s="841"/>
      <c r="D47" s="841"/>
      <c r="E47" s="841"/>
      <c r="F47" s="842"/>
      <c r="G47" s="841"/>
      <c r="H47" s="841"/>
      <c r="I47" s="841">
        <f>I38+I37+I36+I35+I34</f>
        <v>46</v>
      </c>
      <c r="J47" s="841">
        <f>I37+I35++I34+I36</f>
        <v>41</v>
      </c>
      <c r="K47" s="841">
        <f>K39+K38+I36+I35</f>
        <v>37</v>
      </c>
      <c r="L47" s="841">
        <f>K39+I36+I35</f>
        <v>32</v>
      </c>
      <c r="M47" s="841">
        <f>SUM(I47:L47)</f>
        <v>156</v>
      </c>
      <c r="N47" s="843"/>
      <c r="O47" s="844"/>
      <c r="P47" s="843"/>
      <c r="Q47" s="843"/>
      <c r="R47" s="844"/>
      <c r="S47" s="1585"/>
      <c r="T47" s="1586">
        <f>T46/S46</f>
        <v>0.57686183132560942</v>
      </c>
      <c r="U47" s="1587">
        <f>U46/S46</f>
        <v>0.12748545160173083</v>
      </c>
      <c r="V47" s="1587">
        <f>V46/S46</f>
        <v>0</v>
      </c>
      <c r="W47" s="1587">
        <f>W46/S46</f>
        <v>0</v>
      </c>
      <c r="X47" s="1587">
        <f>X46/S46</f>
        <v>0.29565271707265967</v>
      </c>
      <c r="Y47" s="1589">
        <f>Y46/S46</f>
        <v>0.40495219376197489</v>
      </c>
      <c r="Z47" s="1590">
        <f>Z46/S46</f>
        <v>0.29939508916536539</v>
      </c>
      <c r="AA47" s="1591"/>
      <c r="AB47" s="1592"/>
      <c r="AC47" s="1592"/>
      <c r="AD47" s="1592"/>
      <c r="AE47" s="1592"/>
      <c r="AF47" s="1593"/>
    </row>
    <row r="48" spans="1:32" x14ac:dyDescent="0.3">
      <c r="A48" s="251" t="s">
        <v>533</v>
      </c>
      <c r="B48" s="252"/>
      <c r="C48" s="252"/>
      <c r="D48" s="252"/>
      <c r="E48" s="252"/>
      <c r="F48" s="253"/>
      <c r="G48" s="252"/>
      <c r="H48" s="252"/>
      <c r="I48" s="2188">
        <f>I47/$M$47</f>
        <v>0.29487179487179488</v>
      </c>
      <c r="J48" s="2188">
        <f t="shared" ref="J48:L48" si="9">J47/$M$47</f>
        <v>0.26282051282051283</v>
      </c>
      <c r="K48" s="2188">
        <f t="shared" si="9"/>
        <v>0.23717948717948717</v>
      </c>
      <c r="L48" s="2188">
        <f t="shared" si="9"/>
        <v>0.20512820512820512</v>
      </c>
      <c r="M48" s="252"/>
      <c r="N48" s="255"/>
      <c r="O48" s="256"/>
      <c r="P48" s="255"/>
      <c r="Q48" s="257">
        <f>T46/2</f>
        <v>107313.06999999999</v>
      </c>
      <c r="R48" s="262">
        <f>Q48/Q53</f>
        <v>0.57686183132560942</v>
      </c>
      <c r="X48" s="248"/>
      <c r="Y48" s="357">
        <f>I34+I36+K39</f>
        <v>50</v>
      </c>
      <c r="Z48" s="358">
        <f>I35+I37+I38+K38</f>
        <v>19</v>
      </c>
      <c r="AA48" s="4"/>
    </row>
    <row r="49" spans="1:32" x14ac:dyDescent="0.3">
      <c r="A49" s="251" t="s">
        <v>11</v>
      </c>
      <c r="B49" s="252"/>
      <c r="C49" s="252"/>
      <c r="D49" s="252"/>
      <c r="E49" s="252"/>
      <c r="F49" s="253"/>
      <c r="G49" s="252"/>
      <c r="H49" s="252"/>
      <c r="I49" s="254"/>
      <c r="J49" s="254"/>
      <c r="K49" s="254"/>
      <c r="L49" s="254"/>
      <c r="M49" s="252"/>
      <c r="N49" s="255"/>
      <c r="O49" s="256"/>
      <c r="P49" s="255"/>
      <c r="Q49" s="257">
        <f>U46/2</f>
        <v>23716</v>
      </c>
      <c r="R49" s="262">
        <f>Q49/Q53</f>
        <v>0.12748545160173083</v>
      </c>
      <c r="S49" s="1050">
        <f>Q46/M46</f>
        <v>2696.0734782608697</v>
      </c>
      <c r="T49" s="1051" t="s">
        <v>535</v>
      </c>
      <c r="Y49" s="195">
        <f>Y48/M46</f>
        <v>0.72463768115942029</v>
      </c>
      <c r="Z49" s="247">
        <f>Z48/M46</f>
        <v>0.27536231884057971</v>
      </c>
    </row>
    <row r="50" spans="1:32" x14ac:dyDescent="0.3">
      <c r="A50" s="251" t="s">
        <v>536</v>
      </c>
      <c r="B50" s="252"/>
      <c r="C50" s="252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55"/>
      <c r="Q50" s="257">
        <f>V46/2</f>
        <v>0</v>
      </c>
      <c r="R50" s="262">
        <f>Q50/Q53</f>
        <v>0</v>
      </c>
      <c r="W50" s="99"/>
      <c r="Y50" s="2551" t="s">
        <v>537</v>
      </c>
      <c r="Z50" s="2551"/>
    </row>
    <row r="51" spans="1:32" x14ac:dyDescent="0.3">
      <c r="A51" s="251" t="s">
        <v>529</v>
      </c>
      <c r="B51" s="252"/>
      <c r="C51" s="252"/>
      <c r="D51" s="252"/>
      <c r="E51" s="252"/>
      <c r="F51" s="253"/>
      <c r="G51" s="252"/>
      <c r="H51" s="252"/>
      <c r="I51" s="254"/>
      <c r="J51" s="254"/>
      <c r="K51" s="254"/>
      <c r="L51" s="254"/>
      <c r="M51" s="252"/>
      <c r="N51" s="255"/>
      <c r="O51" s="256"/>
      <c r="P51" s="255"/>
      <c r="Q51" s="257">
        <f>X46/2</f>
        <v>55000</v>
      </c>
      <c r="R51" s="262">
        <f>Q51/Q53</f>
        <v>0.29565271707265967</v>
      </c>
    </row>
    <row r="52" spans="1:32" x14ac:dyDescent="0.3">
      <c r="A52" s="251" t="s">
        <v>528</v>
      </c>
      <c r="B52" s="252"/>
      <c r="C52" s="252"/>
      <c r="D52" s="252"/>
      <c r="E52" s="252"/>
      <c r="F52" s="253"/>
      <c r="G52" s="252"/>
      <c r="H52" s="252"/>
      <c r="I52" s="254"/>
      <c r="J52" s="254"/>
      <c r="K52" s="254"/>
      <c r="L52" s="254"/>
      <c r="M52" s="252"/>
      <c r="N52" s="255"/>
      <c r="O52" s="256"/>
      <c r="P52" s="255"/>
      <c r="Q52" s="257">
        <f>W46/2</f>
        <v>0</v>
      </c>
      <c r="R52" s="262">
        <f>Q52/Q53</f>
        <v>0</v>
      </c>
    </row>
    <row r="53" spans="1:32" x14ac:dyDescent="0.3">
      <c r="A53" s="251"/>
      <c r="B53" s="252"/>
      <c r="C53" s="252"/>
      <c r="D53" s="252"/>
      <c r="E53" s="252"/>
      <c r="F53" s="253"/>
      <c r="G53" s="252"/>
      <c r="H53" s="252"/>
      <c r="I53" s="254"/>
      <c r="J53" s="254"/>
      <c r="K53" s="254"/>
      <c r="L53" s="254"/>
      <c r="M53" s="252"/>
      <c r="N53" s="255"/>
      <c r="O53" s="256"/>
      <c r="P53" s="255"/>
      <c r="Q53" s="264">
        <f>SUM(Q48:Q52)</f>
        <v>186029.07</v>
      </c>
      <c r="R53" s="262">
        <f>SUM(R48:R52)</f>
        <v>1</v>
      </c>
    </row>
    <row r="55" spans="1:32" ht="18" x14ac:dyDescent="0.35">
      <c r="A55" s="1037" t="s">
        <v>538</v>
      </c>
    </row>
    <row r="56" spans="1:32" ht="18" x14ac:dyDescent="0.35">
      <c r="A56" s="1037"/>
    </row>
    <row r="57" spans="1:32" x14ac:dyDescent="0.3">
      <c r="A57" s="2587" t="s">
        <v>480</v>
      </c>
      <c r="B57" s="2588"/>
      <c r="C57" s="2588"/>
      <c r="D57" s="2588"/>
      <c r="E57" s="2588"/>
      <c r="F57" s="2588"/>
      <c r="G57" s="2588"/>
      <c r="H57" s="2588"/>
      <c r="I57" s="2588"/>
      <c r="J57" s="2588"/>
      <c r="K57" s="2588"/>
      <c r="L57" s="2588"/>
      <c r="M57" s="2588"/>
      <c r="N57" s="2588"/>
      <c r="O57" s="2588"/>
      <c r="P57" s="2588"/>
      <c r="Q57" s="2588"/>
      <c r="R57" s="2589"/>
      <c r="S57" s="2563" t="s">
        <v>584</v>
      </c>
      <c r="T57" s="2564"/>
      <c r="U57" s="2564"/>
      <c r="V57" s="2564"/>
      <c r="W57" s="2564"/>
      <c r="X57" s="2564"/>
      <c r="Y57" s="2564"/>
      <c r="Z57" s="2564"/>
      <c r="AA57" s="2564"/>
      <c r="AB57" s="2564"/>
      <c r="AC57" s="2564"/>
      <c r="AD57" s="2564"/>
      <c r="AE57" s="2564"/>
      <c r="AF57" s="2576"/>
    </row>
    <row r="58" spans="1:32" ht="18" x14ac:dyDescent="0.3">
      <c r="A58" s="2722" t="s">
        <v>482</v>
      </c>
      <c r="B58" s="2723" t="s">
        <v>483</v>
      </c>
      <c r="C58" s="2723" t="s">
        <v>484</v>
      </c>
      <c r="D58" s="2723" t="s">
        <v>485</v>
      </c>
      <c r="E58" s="2723" t="s">
        <v>486</v>
      </c>
      <c r="F58" s="2724" t="s">
        <v>487</v>
      </c>
      <c r="G58" s="2723" t="s">
        <v>488</v>
      </c>
      <c r="H58" s="2723" t="s">
        <v>489</v>
      </c>
      <c r="I58" s="1381" t="s">
        <v>490</v>
      </c>
      <c r="J58" s="1381"/>
      <c r="K58" s="1381"/>
      <c r="L58" s="1381"/>
      <c r="M58" s="1382" t="s">
        <v>491</v>
      </c>
      <c r="N58" s="1383" t="s">
        <v>492</v>
      </c>
      <c r="O58" s="1384" t="s">
        <v>493</v>
      </c>
      <c r="P58" s="1383" t="s">
        <v>492</v>
      </c>
      <c r="Q58" s="1383" t="s">
        <v>494</v>
      </c>
      <c r="R58" s="1385" t="s">
        <v>495</v>
      </c>
      <c r="S58" s="1052" t="s">
        <v>496</v>
      </c>
      <c r="T58" s="2608" t="s">
        <v>497</v>
      </c>
      <c r="U58" s="2607"/>
      <c r="V58" s="2607"/>
      <c r="W58" s="2607"/>
      <c r="X58" s="2607"/>
      <c r="Y58" s="2608" t="s">
        <v>498</v>
      </c>
      <c r="Z58" s="2607"/>
      <c r="AA58" s="2608" t="s">
        <v>499</v>
      </c>
      <c r="AB58" s="2607"/>
      <c r="AC58" s="2607"/>
      <c r="AD58" s="2607"/>
      <c r="AE58" s="2607"/>
      <c r="AF58" s="2609"/>
    </row>
    <row r="59" spans="1:32" ht="18" x14ac:dyDescent="0.3">
      <c r="A59" s="2722"/>
      <c r="B59" s="2723"/>
      <c r="C59" s="2723"/>
      <c r="D59" s="2723"/>
      <c r="E59" s="2723"/>
      <c r="F59" s="2724"/>
      <c r="G59" s="2723"/>
      <c r="H59" s="2723"/>
      <c r="I59" s="1386" t="s">
        <v>500</v>
      </c>
      <c r="J59" s="1386" t="s">
        <v>501</v>
      </c>
      <c r="K59" s="1386" t="s">
        <v>502</v>
      </c>
      <c r="L59" s="1386" t="s">
        <v>503</v>
      </c>
      <c r="M59" s="1382" t="s">
        <v>504</v>
      </c>
      <c r="N59" s="1383" t="s">
        <v>505</v>
      </c>
      <c r="O59" s="1384" t="s">
        <v>506</v>
      </c>
      <c r="P59" s="1383" t="s">
        <v>507</v>
      </c>
      <c r="Q59" s="1383" t="s">
        <v>507</v>
      </c>
      <c r="R59" s="1385"/>
      <c r="S59" s="1052" t="s">
        <v>508</v>
      </c>
      <c r="T59" s="2787"/>
      <c r="U59" s="2788"/>
      <c r="V59" s="2788"/>
      <c r="W59" s="2788"/>
      <c r="X59" s="2788"/>
      <c r="Y59" s="2787"/>
      <c r="Z59" s="2788"/>
      <c r="AA59" s="2787"/>
      <c r="AB59" s="2788"/>
      <c r="AC59" s="2788"/>
      <c r="AD59" s="2788"/>
      <c r="AE59" s="2788"/>
      <c r="AF59" s="2789"/>
    </row>
    <row r="60" spans="1:32" ht="15.6" x14ac:dyDescent="0.3">
      <c r="A60" s="2796" t="s">
        <v>509</v>
      </c>
      <c r="B60" s="2797"/>
      <c r="C60" s="2797"/>
      <c r="D60" s="2797"/>
      <c r="E60" s="2797"/>
      <c r="F60" s="2797"/>
      <c r="G60" s="2797"/>
      <c r="H60" s="2797"/>
      <c r="I60" s="2797"/>
      <c r="J60" s="2797"/>
      <c r="K60" s="2797"/>
      <c r="L60" s="2797"/>
      <c r="M60" s="2797"/>
      <c r="N60" s="2797"/>
      <c r="O60" s="2797"/>
      <c r="P60" s="2797"/>
      <c r="Q60" s="2797"/>
      <c r="R60" s="2797"/>
      <c r="S60" s="1577"/>
      <c r="T60" s="1553" t="s">
        <v>510</v>
      </c>
      <c r="U60" s="1554" t="s">
        <v>11</v>
      </c>
      <c r="V60" s="1554" t="s">
        <v>511</v>
      </c>
      <c r="W60" s="1554" t="s">
        <v>512</v>
      </c>
      <c r="X60" s="1578" t="s">
        <v>513</v>
      </c>
      <c r="Y60" s="1553" t="s">
        <v>514</v>
      </c>
      <c r="Z60" s="1578" t="s">
        <v>515</v>
      </c>
      <c r="AA60" s="1553" t="s">
        <v>233</v>
      </c>
      <c r="AB60" s="1554" t="s">
        <v>234</v>
      </c>
      <c r="AC60" s="1554" t="s">
        <v>1</v>
      </c>
      <c r="AD60" s="1554" t="s">
        <v>235</v>
      </c>
      <c r="AE60" s="1554" t="s">
        <v>139</v>
      </c>
      <c r="AF60" s="1578" t="s">
        <v>5</v>
      </c>
    </row>
    <row r="61" spans="1:32" x14ac:dyDescent="0.3">
      <c r="A61" s="154"/>
      <c r="B61" s="462"/>
      <c r="C61" s="462"/>
      <c r="D61" s="462"/>
      <c r="E61" s="462"/>
      <c r="F61" s="463"/>
      <c r="G61" s="462"/>
      <c r="H61" s="462"/>
      <c r="I61" s="465"/>
      <c r="J61" s="465"/>
      <c r="K61" s="465"/>
      <c r="L61" s="465"/>
      <c r="M61" s="462"/>
      <c r="N61" s="468"/>
      <c r="O61" s="469"/>
      <c r="P61" s="468"/>
      <c r="Q61" s="468"/>
      <c r="R61" s="501"/>
      <c r="S61" s="166"/>
      <c r="T61" s="188"/>
      <c r="X61" s="286"/>
      <c r="Y61" s="188"/>
      <c r="Z61" s="286"/>
      <c r="AE61" s="465"/>
      <c r="AF61" s="286"/>
    </row>
    <row r="62" spans="1:32" x14ac:dyDescent="0.3">
      <c r="A62" s="157" t="s">
        <v>1074</v>
      </c>
      <c r="B62" s="157" t="s">
        <v>236</v>
      </c>
      <c r="C62" s="157" t="s">
        <v>1075</v>
      </c>
      <c r="D62" s="157" t="s">
        <v>208</v>
      </c>
      <c r="E62" s="157" t="s">
        <v>520</v>
      </c>
      <c r="F62" s="158" t="s">
        <v>796</v>
      </c>
      <c r="G62" s="157">
        <v>25</v>
      </c>
      <c r="H62" s="157" t="s">
        <v>63</v>
      </c>
      <c r="I62" s="175">
        <v>25</v>
      </c>
      <c r="J62" s="688"/>
      <c r="L62" s="286"/>
      <c r="M62" s="163">
        <v>1</v>
      </c>
      <c r="N62" s="166">
        <v>1152</v>
      </c>
      <c r="O62" s="173">
        <v>0.16</v>
      </c>
      <c r="P62" s="166">
        <f>N62*(1-O62)</f>
        <v>967.68</v>
      </c>
      <c r="Q62" s="166">
        <f t="shared" ref="Q62:Q69" si="10">P62*M62*G62</f>
        <v>24192</v>
      </c>
      <c r="R62" s="184">
        <f t="shared" ref="R62:R69" si="11">Q62/$Q$74</f>
        <v>0.11788970412374208</v>
      </c>
      <c r="S62" s="503">
        <f t="shared" ref="S62:S69" si="12">Q62</f>
        <v>24192</v>
      </c>
      <c r="T62" s="394">
        <f t="shared" ref="T62:T64" si="13">S62</f>
        <v>24192</v>
      </c>
      <c r="X62" s="286"/>
      <c r="Y62" s="394">
        <f>S62</f>
        <v>24192</v>
      </c>
      <c r="Z62" s="395"/>
      <c r="AA62" s="169">
        <f>S62</f>
        <v>24192</v>
      </c>
      <c r="AF62" s="286"/>
    </row>
    <row r="63" spans="1:32" x14ac:dyDescent="0.3">
      <c r="A63" s="157" t="s">
        <v>1074</v>
      </c>
      <c r="B63" s="157" t="s">
        <v>236</v>
      </c>
      <c r="C63" s="157" t="s">
        <v>1075</v>
      </c>
      <c r="D63" s="157" t="s">
        <v>102</v>
      </c>
      <c r="E63" s="157" t="s">
        <v>518</v>
      </c>
      <c r="F63" s="158" t="s">
        <v>1076</v>
      </c>
      <c r="G63" s="157">
        <v>4</v>
      </c>
      <c r="H63" s="157" t="s">
        <v>24</v>
      </c>
      <c r="I63" s="2445">
        <v>4</v>
      </c>
      <c r="J63" s="726"/>
      <c r="K63" s="726"/>
      <c r="L63" s="727"/>
      <c r="M63" s="163">
        <v>1</v>
      </c>
      <c r="N63" s="166">
        <v>4199</v>
      </c>
      <c r="O63" s="173">
        <v>0.17</v>
      </c>
      <c r="P63" s="166">
        <f>N63*(1-O63)</f>
        <v>3485.1699999999996</v>
      </c>
      <c r="Q63" s="166">
        <f t="shared" si="10"/>
        <v>13940.679999999998</v>
      </c>
      <c r="R63" s="167">
        <f t="shared" si="11"/>
        <v>6.7934136924758956E-2</v>
      </c>
      <c r="S63" s="503">
        <f t="shared" si="12"/>
        <v>13940.679999999998</v>
      </c>
      <c r="T63" s="394">
        <f t="shared" si="13"/>
        <v>13940.679999999998</v>
      </c>
      <c r="X63" s="286"/>
      <c r="Y63" s="394"/>
      <c r="Z63" s="395">
        <f>S63</f>
        <v>13940.679999999998</v>
      </c>
      <c r="AA63" s="169">
        <f>S63</f>
        <v>13940.679999999998</v>
      </c>
      <c r="AF63" s="286"/>
    </row>
    <row r="64" spans="1:32" x14ac:dyDescent="0.3">
      <c r="A64" s="157" t="s">
        <v>1074</v>
      </c>
      <c r="B64" s="157" t="s">
        <v>236</v>
      </c>
      <c r="C64" s="157" t="s">
        <v>1075</v>
      </c>
      <c r="D64" s="157" t="s">
        <v>26</v>
      </c>
      <c r="E64" s="157" t="s">
        <v>520</v>
      </c>
      <c r="F64" s="158" t="s">
        <v>1077</v>
      </c>
      <c r="G64" s="157">
        <v>5</v>
      </c>
      <c r="H64" s="157" t="s">
        <v>24</v>
      </c>
      <c r="I64" s="175">
        <v>5</v>
      </c>
      <c r="J64" s="176"/>
      <c r="K64" s="176"/>
      <c r="L64" s="177"/>
      <c r="M64" s="163">
        <v>1</v>
      </c>
      <c r="N64" s="166">
        <v>4680</v>
      </c>
      <c r="O64" s="173">
        <v>0.17</v>
      </c>
      <c r="P64" s="166">
        <f t="shared" ref="P64:P69" si="14">N64*(1-O64)</f>
        <v>3884.3999999999996</v>
      </c>
      <c r="Q64" s="166">
        <f t="shared" si="10"/>
        <v>19422</v>
      </c>
      <c r="R64" s="184">
        <f t="shared" si="11"/>
        <v>9.4645082402914957E-2</v>
      </c>
      <c r="S64" s="503">
        <f t="shared" si="12"/>
        <v>19422</v>
      </c>
      <c r="T64" s="394">
        <f t="shared" si="13"/>
        <v>19422</v>
      </c>
      <c r="X64" s="286"/>
      <c r="Y64" s="394">
        <f>S64</f>
        <v>19422</v>
      </c>
      <c r="Z64" s="395"/>
      <c r="AA64" s="169">
        <f>S64</f>
        <v>19422</v>
      </c>
      <c r="AF64" s="286"/>
    </row>
    <row r="65" spans="1:32" x14ac:dyDescent="0.3">
      <c r="A65" s="157" t="s">
        <v>1074</v>
      </c>
      <c r="B65" s="157" t="s">
        <v>237</v>
      </c>
      <c r="C65" s="157" t="s">
        <v>1075</v>
      </c>
      <c r="D65" s="157" t="s">
        <v>102</v>
      </c>
      <c r="E65" s="157" t="s">
        <v>518</v>
      </c>
      <c r="F65" s="158" t="s">
        <v>1076</v>
      </c>
      <c r="G65" s="157">
        <v>2</v>
      </c>
      <c r="H65" s="157" t="s">
        <v>24</v>
      </c>
      <c r="I65" s="175">
        <v>2</v>
      </c>
      <c r="J65" s="688"/>
      <c r="K65" s="1648"/>
      <c r="L65" s="1649"/>
      <c r="M65" s="163">
        <v>1</v>
      </c>
      <c r="N65" s="166">
        <v>4740</v>
      </c>
      <c r="O65" s="173">
        <v>0.2</v>
      </c>
      <c r="P65" s="166">
        <f t="shared" si="14"/>
        <v>3792</v>
      </c>
      <c r="Q65" s="166">
        <f t="shared" si="10"/>
        <v>7584</v>
      </c>
      <c r="R65" s="167">
        <f t="shared" si="11"/>
        <v>3.6957486610220733E-2</v>
      </c>
      <c r="S65" s="503">
        <f t="shared" si="12"/>
        <v>7584</v>
      </c>
      <c r="T65" s="394">
        <f>S65</f>
        <v>7584</v>
      </c>
      <c r="X65" s="286"/>
      <c r="Y65" s="394"/>
      <c r="Z65" s="395">
        <f>S65</f>
        <v>7584</v>
      </c>
      <c r="AB65" s="169">
        <f>S65</f>
        <v>7584</v>
      </c>
      <c r="AF65" s="286"/>
    </row>
    <row r="66" spans="1:32" x14ac:dyDescent="0.3">
      <c r="A66" s="157" t="s">
        <v>1074</v>
      </c>
      <c r="B66" s="157" t="s">
        <v>20</v>
      </c>
      <c r="C66" s="157" t="s">
        <v>1075</v>
      </c>
      <c r="D66" s="157" t="s">
        <v>100</v>
      </c>
      <c r="E66" s="157" t="s">
        <v>518</v>
      </c>
      <c r="F66" s="158" t="s">
        <v>541</v>
      </c>
      <c r="G66" s="157">
        <v>5</v>
      </c>
      <c r="H66" s="157" t="s">
        <v>24</v>
      </c>
      <c r="I66" s="182">
        <v>5</v>
      </c>
      <c r="J66" s="1648"/>
      <c r="K66" s="183">
        <v>5</v>
      </c>
      <c r="L66" s="1649"/>
      <c r="M66" s="163">
        <v>2</v>
      </c>
      <c r="N66" s="166">
        <v>5929</v>
      </c>
      <c r="O66" s="173">
        <v>0.6</v>
      </c>
      <c r="P66" s="166">
        <f t="shared" si="14"/>
        <v>2371.6</v>
      </c>
      <c r="Q66" s="166">
        <f t="shared" si="10"/>
        <v>23716</v>
      </c>
      <c r="R66" s="167">
        <f t="shared" si="11"/>
        <v>0.11557011503797401</v>
      </c>
      <c r="S66" s="503">
        <f t="shared" si="12"/>
        <v>23716</v>
      </c>
      <c r="T66" s="394"/>
      <c r="U66" s="169">
        <f>S66</f>
        <v>23716</v>
      </c>
      <c r="V66" s="169"/>
      <c r="X66" s="286"/>
      <c r="Y66" s="394"/>
      <c r="Z66" s="395">
        <f>S66</f>
        <v>23716</v>
      </c>
      <c r="AC66" s="169">
        <f>S66</f>
        <v>23716</v>
      </c>
      <c r="AF66" s="286"/>
    </row>
    <row r="67" spans="1:32" x14ac:dyDescent="0.3">
      <c r="A67" s="157" t="s">
        <v>1074</v>
      </c>
      <c r="B67" s="157" t="s">
        <v>238</v>
      </c>
      <c r="C67" s="157" t="s">
        <v>1075</v>
      </c>
      <c r="D67" s="157" t="s">
        <v>208</v>
      </c>
      <c r="E67" s="157" t="s">
        <v>520</v>
      </c>
      <c r="F67" s="158" t="s">
        <v>796</v>
      </c>
      <c r="G67" s="157">
        <v>18</v>
      </c>
      <c r="H67" s="157" t="s">
        <v>63</v>
      </c>
      <c r="I67" s="1650"/>
      <c r="J67" s="1651"/>
      <c r="K67" s="725">
        <v>18</v>
      </c>
      <c r="L67" s="2209"/>
      <c r="M67" s="163">
        <v>1</v>
      </c>
      <c r="N67" s="166">
        <v>1584</v>
      </c>
      <c r="O67" s="173">
        <v>0.16</v>
      </c>
      <c r="P67" s="166">
        <f t="shared" si="14"/>
        <v>1330.56</v>
      </c>
      <c r="Q67" s="166">
        <f t="shared" si="10"/>
        <v>23950.079999999998</v>
      </c>
      <c r="R67" s="184">
        <f t="shared" si="11"/>
        <v>0.11671080708250466</v>
      </c>
      <c r="S67" s="503">
        <f t="shared" si="12"/>
        <v>23950.079999999998</v>
      </c>
      <c r="T67" s="394">
        <f t="shared" ref="T67" si="15">S67</f>
        <v>23950.079999999998</v>
      </c>
      <c r="X67" s="286"/>
      <c r="Y67" s="394">
        <f>S67</f>
        <v>23950.079999999998</v>
      </c>
      <c r="Z67" s="395"/>
      <c r="AD67" s="169">
        <f>S67</f>
        <v>23950.079999999998</v>
      </c>
      <c r="AF67" s="286"/>
    </row>
    <row r="68" spans="1:32" x14ac:dyDescent="0.3">
      <c r="A68" s="157" t="s">
        <v>1074</v>
      </c>
      <c r="B68" s="157" t="s">
        <v>179</v>
      </c>
      <c r="C68" s="157" t="s">
        <v>592</v>
      </c>
      <c r="D68" s="157" t="s">
        <v>50</v>
      </c>
      <c r="E68" s="157" t="s">
        <v>520</v>
      </c>
      <c r="F68" s="158" t="s">
        <v>787</v>
      </c>
      <c r="G68" s="157">
        <v>20</v>
      </c>
      <c r="H68" s="157" t="s">
        <v>24</v>
      </c>
      <c r="I68" s="175">
        <v>20</v>
      </c>
      <c r="J68" s="176"/>
      <c r="K68" s="176"/>
      <c r="L68" s="177"/>
      <c r="M68" s="163">
        <v>1</v>
      </c>
      <c r="N68" s="166">
        <v>4417</v>
      </c>
      <c r="O68" s="173">
        <v>0.4</v>
      </c>
      <c r="P68" s="166">
        <f t="shared" si="14"/>
        <v>2650.2</v>
      </c>
      <c r="Q68" s="166">
        <f t="shared" si="10"/>
        <v>53004</v>
      </c>
      <c r="R68" s="184">
        <f t="shared" si="11"/>
        <v>0.25829306702111549</v>
      </c>
      <c r="S68" s="503">
        <f t="shared" si="12"/>
        <v>53004</v>
      </c>
      <c r="T68" s="394">
        <f>S68</f>
        <v>53004</v>
      </c>
      <c r="V68" s="169"/>
      <c r="X68" s="286"/>
      <c r="Y68" s="394">
        <f>S68</f>
        <v>53004</v>
      </c>
      <c r="Z68" s="286"/>
      <c r="AE68" s="169">
        <f>S68</f>
        <v>53004</v>
      </c>
      <c r="AF68" s="286"/>
    </row>
    <row r="69" spans="1:32" x14ac:dyDescent="0.3">
      <c r="A69" s="157" t="s">
        <v>1074</v>
      </c>
      <c r="B69" s="157" t="s">
        <v>41</v>
      </c>
      <c r="C69" s="157" t="s">
        <v>525</v>
      </c>
      <c r="D69" s="157" t="s">
        <v>168</v>
      </c>
      <c r="E69" s="157" t="s">
        <v>520</v>
      </c>
      <c r="F69" s="158" t="s">
        <v>787</v>
      </c>
      <c r="G69" s="157">
        <v>15</v>
      </c>
      <c r="H69" s="157" t="s">
        <v>63</v>
      </c>
      <c r="I69" s="159">
        <v>15</v>
      </c>
      <c r="J69" s="806"/>
      <c r="K69" s="725">
        <v>15</v>
      </c>
      <c r="L69" s="2209"/>
      <c r="M69" s="163">
        <v>2</v>
      </c>
      <c r="N69" s="166">
        <v>1600</v>
      </c>
      <c r="O69" s="173">
        <v>0.7</v>
      </c>
      <c r="P69" s="166">
        <f t="shared" si="14"/>
        <v>480.00000000000006</v>
      </c>
      <c r="Q69" s="166">
        <f t="shared" si="10"/>
        <v>14400.000000000002</v>
      </c>
      <c r="R69" s="184">
        <f t="shared" si="11"/>
        <v>7.017244293079887E-2</v>
      </c>
      <c r="S69" s="503">
        <f t="shared" si="12"/>
        <v>14400.000000000002</v>
      </c>
      <c r="T69" s="394"/>
      <c r="V69" s="169">
        <f>S69</f>
        <v>14400.000000000002</v>
      </c>
      <c r="X69" s="286"/>
      <c r="Y69" s="394">
        <f>S69</f>
        <v>14400.000000000002</v>
      </c>
      <c r="Z69" s="286"/>
      <c r="AF69" s="395">
        <f>S69</f>
        <v>14400.000000000002</v>
      </c>
    </row>
    <row r="70" spans="1:32" x14ac:dyDescent="0.3">
      <c r="A70" s="172"/>
      <c r="B70" s="157"/>
      <c r="C70" s="190"/>
      <c r="D70" s="190"/>
      <c r="E70" s="190"/>
      <c r="F70" s="191"/>
      <c r="G70" s="190"/>
      <c r="H70" s="190"/>
      <c r="I70" s="245"/>
      <c r="J70" s="245"/>
      <c r="K70" s="245"/>
      <c r="L70" s="287"/>
      <c r="M70" s="190"/>
      <c r="N70" s="194"/>
      <c r="O70" s="195"/>
      <c r="P70" s="194"/>
      <c r="Q70" s="166"/>
      <c r="R70" s="393"/>
      <c r="S70" s="503"/>
      <c r="T70" s="188"/>
      <c r="X70" s="286"/>
      <c r="Y70" s="188"/>
      <c r="Z70" s="286"/>
      <c r="AF70" s="286"/>
    </row>
    <row r="71" spans="1:32" x14ac:dyDescent="0.3">
      <c r="A71" s="108" t="s">
        <v>1074</v>
      </c>
      <c r="B71" s="108" t="s">
        <v>528</v>
      </c>
      <c r="C71" s="289"/>
      <c r="D71" s="252"/>
      <c r="E71" s="252"/>
      <c r="F71" s="253"/>
      <c r="G71" s="252"/>
      <c r="H71" s="252"/>
      <c r="I71" s="254"/>
      <c r="J71" s="254"/>
      <c r="K71" s="254"/>
      <c r="L71" s="254"/>
      <c r="M71" s="252"/>
      <c r="N71" s="255"/>
      <c r="O71" s="256"/>
      <c r="P71" s="290"/>
      <c r="Q71" s="257"/>
      <c r="R71" s="291">
        <f>Q71/Q74</f>
        <v>0</v>
      </c>
      <c r="S71" s="503"/>
      <c r="T71" s="188"/>
      <c r="W71" s="169"/>
      <c r="X71" s="286"/>
      <c r="Y71" s="188"/>
      <c r="Z71" s="286"/>
      <c r="AF71" s="286"/>
    </row>
    <row r="72" spans="1:32" x14ac:dyDescent="0.3">
      <c r="A72" s="108" t="s">
        <v>1074</v>
      </c>
      <c r="B72" s="108" t="s">
        <v>529</v>
      </c>
      <c r="C72" s="289"/>
      <c r="D72" s="252"/>
      <c r="E72" s="252"/>
      <c r="F72" s="253"/>
      <c r="G72" s="252"/>
      <c r="H72" s="252"/>
      <c r="I72" s="254"/>
      <c r="J72" s="254"/>
      <c r="K72" s="254"/>
      <c r="L72" s="254"/>
      <c r="M72" s="252"/>
      <c r="N72" s="255"/>
      <c r="O72" s="256"/>
      <c r="P72" s="290"/>
      <c r="Q72" s="257">
        <v>25000</v>
      </c>
      <c r="R72" s="291">
        <f>Q72/Q74</f>
        <v>0.12182715786597025</v>
      </c>
      <c r="S72" s="503">
        <f>Q72</f>
        <v>25000</v>
      </c>
      <c r="T72" s="188"/>
      <c r="X72" s="395">
        <f>S72</f>
        <v>25000</v>
      </c>
      <c r="Y72" s="188"/>
      <c r="Z72" s="286"/>
      <c r="AF72" s="286"/>
    </row>
    <row r="73" spans="1:32" x14ac:dyDescent="0.3">
      <c r="I73" s="115">
        <f>I74/M74</f>
        <v>0.66666666666666663</v>
      </c>
      <c r="J73" s="115"/>
      <c r="K73" s="115">
        <f>K74/M74</f>
        <v>0.33333333333333331</v>
      </c>
      <c r="S73" s="166"/>
      <c r="T73" s="188"/>
      <c r="X73" s="286"/>
      <c r="Y73" s="188"/>
      <c r="Z73" s="286"/>
      <c r="AE73" s="245"/>
      <c r="AF73" s="287"/>
    </row>
    <row r="74" spans="1:32" x14ac:dyDescent="0.3">
      <c r="A74" s="840" t="s">
        <v>531</v>
      </c>
      <c r="B74" s="841"/>
      <c r="C74" s="841"/>
      <c r="D74" s="841"/>
      <c r="E74" s="841"/>
      <c r="F74" s="842"/>
      <c r="G74" s="841"/>
      <c r="H74" s="841"/>
      <c r="I74" s="841">
        <f>I68+I66+I65+I64+I63+I62+I69</f>
        <v>76</v>
      </c>
      <c r="J74" s="841"/>
      <c r="K74" s="841">
        <f>K67+K66+K69</f>
        <v>38</v>
      </c>
      <c r="L74" s="841"/>
      <c r="M74" s="841">
        <f>SUM(I74:L74)</f>
        <v>114</v>
      </c>
      <c r="N74" s="843"/>
      <c r="O74" s="844"/>
      <c r="P74" s="843"/>
      <c r="Q74" s="845">
        <f>SUM(Q61:Q73)</f>
        <v>205208.76</v>
      </c>
      <c r="R74" s="844">
        <f>SUM(R61:R72)</f>
        <v>1</v>
      </c>
      <c r="S74" s="1580">
        <f>SUM(S61:S73)</f>
        <v>205208.76</v>
      </c>
      <c r="T74" s="1581">
        <f>SUM(T61:T72)</f>
        <v>142092.76</v>
      </c>
      <c r="U74" s="570">
        <f t="shared" ref="U74:X74" si="16">SUM(U61:U72)</f>
        <v>23716</v>
      </c>
      <c r="V74" s="570">
        <f t="shared" si="16"/>
        <v>14400.000000000002</v>
      </c>
      <c r="W74" s="570">
        <f t="shared" si="16"/>
        <v>0</v>
      </c>
      <c r="X74" s="570">
        <f t="shared" si="16"/>
        <v>25000</v>
      </c>
      <c r="Y74" s="1091">
        <f>SUM(Y61:Y72)</f>
        <v>134968.08000000002</v>
      </c>
      <c r="Z74" s="1056">
        <f t="shared" ref="Z74" si="17">SUM(Z61:Z72)</f>
        <v>45240.68</v>
      </c>
      <c r="AA74" s="1581">
        <f>SUM(AA60:AA73)</f>
        <v>57554.68</v>
      </c>
      <c r="AB74" s="570">
        <f>SUM(AB60:AB73)</f>
        <v>7584</v>
      </c>
      <c r="AC74" s="570">
        <f t="shared" ref="AC74:AF74" si="18">SUM(AC60:AC73)</f>
        <v>23716</v>
      </c>
      <c r="AD74" s="570">
        <f t="shared" si="18"/>
        <v>23950.079999999998</v>
      </c>
      <c r="AE74" s="570">
        <f t="shared" si="18"/>
        <v>53004</v>
      </c>
      <c r="AF74" s="1056">
        <f t="shared" si="18"/>
        <v>14400.000000000002</v>
      </c>
    </row>
    <row r="75" spans="1:32" x14ac:dyDescent="0.3">
      <c r="A75" s="840" t="s">
        <v>532</v>
      </c>
      <c r="B75" s="841"/>
      <c r="C75" s="841"/>
      <c r="D75" s="841"/>
      <c r="E75" s="841"/>
      <c r="F75" s="842"/>
      <c r="G75" s="841"/>
      <c r="H75" s="841"/>
      <c r="I75" s="841">
        <f>I68+I66+I65+I64+I63+I62+I69</f>
        <v>76</v>
      </c>
      <c r="J75" s="841">
        <f>I68+I65+I63++I62+I64+I69</f>
        <v>71</v>
      </c>
      <c r="K75" s="841">
        <f>I68+K67+K66+I64+I63+K69</f>
        <v>67</v>
      </c>
      <c r="L75" s="841">
        <f>I68+K67+I64+I63+K69</f>
        <v>62</v>
      </c>
      <c r="M75" s="841">
        <f>SUM(I75:L75)</f>
        <v>276</v>
      </c>
      <c r="N75" s="843"/>
      <c r="O75" s="844"/>
      <c r="P75" s="843"/>
      <c r="Q75" s="843"/>
      <c r="R75" s="844"/>
      <c r="S75" s="1585"/>
      <c r="T75" s="1586">
        <f>T74/S74</f>
        <v>0.69243028416525687</v>
      </c>
      <c r="U75" s="1587">
        <f>U74/S74</f>
        <v>0.11557011503797401</v>
      </c>
      <c r="V75" s="1587">
        <f>V74/S74</f>
        <v>7.017244293079887E-2</v>
      </c>
      <c r="W75" s="1587">
        <f>W74/S74</f>
        <v>0</v>
      </c>
      <c r="X75" s="1587">
        <f>X74/S74</f>
        <v>0.12182715786597025</v>
      </c>
      <c r="Y75" s="1589">
        <f>Y74/S74</f>
        <v>0.65771110356107609</v>
      </c>
      <c r="Z75" s="1590">
        <f>Z74/S74</f>
        <v>0.2204617385729537</v>
      </c>
      <c r="AA75" s="1591"/>
      <c r="AB75" s="1592"/>
      <c r="AC75" s="1592"/>
      <c r="AD75" s="1592"/>
      <c r="AE75" s="1592"/>
      <c r="AF75" s="1593"/>
    </row>
    <row r="76" spans="1:32" x14ac:dyDescent="0.3">
      <c r="A76" s="251" t="s">
        <v>533</v>
      </c>
      <c r="B76" s="252"/>
      <c r="C76" s="252"/>
      <c r="D76" s="252"/>
      <c r="E76" s="252"/>
      <c r="F76" s="253"/>
      <c r="G76" s="252"/>
      <c r="H76" s="252"/>
      <c r="I76" s="2188">
        <f>I75/$M$75</f>
        <v>0.27536231884057971</v>
      </c>
      <c r="J76" s="2188">
        <f t="shared" ref="J76:L76" si="19">J75/$M$75</f>
        <v>0.25724637681159418</v>
      </c>
      <c r="K76" s="2188">
        <f t="shared" si="19"/>
        <v>0.24275362318840579</v>
      </c>
      <c r="L76" s="2188">
        <f t="shared" si="19"/>
        <v>0.22463768115942029</v>
      </c>
      <c r="M76" s="252"/>
      <c r="N76" s="255"/>
      <c r="O76" s="256"/>
      <c r="P76" s="255"/>
      <c r="Q76" s="257">
        <f>T74</f>
        <v>142092.76</v>
      </c>
      <c r="R76" s="262">
        <f>Q76/Q81</f>
        <v>0.69243028416525687</v>
      </c>
      <c r="X76" s="248"/>
      <c r="Y76" s="357">
        <f>I62+I64+K67</f>
        <v>48</v>
      </c>
      <c r="Z76" s="358">
        <f>I63+I65+I66+K66</f>
        <v>16</v>
      </c>
      <c r="AA76" s="4"/>
    </row>
    <row r="77" spans="1:32" x14ac:dyDescent="0.3">
      <c r="A77" s="251" t="s">
        <v>11</v>
      </c>
      <c r="B77" s="252"/>
      <c r="C77" s="252"/>
      <c r="D77" s="252"/>
      <c r="E77" s="252"/>
      <c r="F77" s="253"/>
      <c r="G77" s="252"/>
      <c r="H77" s="252"/>
      <c r="I77" s="254"/>
      <c r="J77" s="254"/>
      <c r="K77" s="254"/>
      <c r="L77" s="254"/>
      <c r="M77" s="252"/>
      <c r="N77" s="255"/>
      <c r="O77" s="256"/>
      <c r="P77" s="255"/>
      <c r="Q77" s="257">
        <f>U74</f>
        <v>23716</v>
      </c>
      <c r="R77" s="262">
        <f>Q77/Q81</f>
        <v>0.11557011503797401</v>
      </c>
      <c r="S77" s="1050">
        <f>Q74/M74</f>
        <v>1800.0768421052633</v>
      </c>
      <c r="T77" s="1051" t="s">
        <v>535</v>
      </c>
      <c r="Y77" s="195">
        <f>Y76/M74</f>
        <v>0.42105263157894735</v>
      </c>
      <c r="Z77" s="247">
        <f>Z76/M74</f>
        <v>0.14035087719298245</v>
      </c>
    </row>
    <row r="78" spans="1:32" x14ac:dyDescent="0.3">
      <c r="A78" s="251" t="s">
        <v>536</v>
      </c>
      <c r="B78" s="252"/>
      <c r="C78" s="252"/>
      <c r="D78" s="252"/>
      <c r="E78" s="252"/>
      <c r="F78" s="253"/>
      <c r="G78" s="252"/>
      <c r="H78" s="252"/>
      <c r="I78" s="254"/>
      <c r="J78" s="254"/>
      <c r="K78" s="254"/>
      <c r="L78" s="254"/>
      <c r="M78" s="252"/>
      <c r="N78" s="255"/>
      <c r="O78" s="256"/>
      <c r="P78" s="255"/>
      <c r="Q78" s="257">
        <f>V74</f>
        <v>14400.000000000002</v>
      </c>
      <c r="R78" s="262">
        <f>Q78/Q81</f>
        <v>7.017244293079887E-2</v>
      </c>
      <c r="W78" s="99"/>
      <c r="Y78" s="2551" t="s">
        <v>537</v>
      </c>
      <c r="Z78" s="2551"/>
    </row>
    <row r="79" spans="1:32" x14ac:dyDescent="0.3">
      <c r="A79" s="251" t="s">
        <v>529</v>
      </c>
      <c r="B79" s="252"/>
      <c r="C79" s="252"/>
      <c r="D79" s="252"/>
      <c r="E79" s="252"/>
      <c r="F79" s="253"/>
      <c r="G79" s="252"/>
      <c r="H79" s="252"/>
      <c r="I79" s="254"/>
      <c r="J79" s="254"/>
      <c r="K79" s="254"/>
      <c r="L79" s="254"/>
      <c r="M79" s="252"/>
      <c r="N79" s="255"/>
      <c r="O79" s="256"/>
      <c r="P79" s="255"/>
      <c r="Q79" s="257">
        <f>X74</f>
        <v>25000</v>
      </c>
      <c r="R79" s="262">
        <f>Q79/Q81</f>
        <v>0.12182715786597025</v>
      </c>
    </row>
    <row r="80" spans="1:32" x14ac:dyDescent="0.3">
      <c r="A80" s="251" t="s">
        <v>528</v>
      </c>
      <c r="B80" s="252"/>
      <c r="C80" s="252"/>
      <c r="D80" s="252"/>
      <c r="E80" s="252"/>
      <c r="F80" s="253"/>
      <c r="G80" s="252"/>
      <c r="H80" s="252"/>
      <c r="I80" s="254"/>
      <c r="J80" s="254"/>
      <c r="K80" s="254"/>
      <c r="L80" s="254"/>
      <c r="M80" s="252"/>
      <c r="N80" s="255"/>
      <c r="O80" s="256"/>
      <c r="P80" s="255"/>
      <c r="Q80" s="257">
        <f>W74</f>
        <v>0</v>
      </c>
      <c r="R80" s="262">
        <f>Q80/Q81</f>
        <v>0</v>
      </c>
    </row>
    <row r="81" spans="1:32" x14ac:dyDescent="0.3">
      <c r="A81" s="251"/>
      <c r="B81" s="252"/>
      <c r="C81" s="252"/>
      <c r="D81" s="252"/>
      <c r="E81" s="252"/>
      <c r="F81" s="253"/>
      <c r="G81" s="252"/>
      <c r="H81" s="252"/>
      <c r="I81" s="254"/>
      <c r="J81" s="254"/>
      <c r="K81" s="254"/>
      <c r="L81" s="254"/>
      <c r="M81" s="252"/>
      <c r="N81" s="255"/>
      <c r="O81" s="256"/>
      <c r="P81" s="255"/>
      <c r="Q81" s="264">
        <f>SUM(Q76:Q80)</f>
        <v>205208.76</v>
      </c>
      <c r="R81" s="262">
        <f>SUM(R76:R80)</f>
        <v>0.99999999999999989</v>
      </c>
    </row>
    <row r="83" spans="1:32" x14ac:dyDescent="0.3">
      <c r="B83" s="2"/>
    </row>
    <row r="85" spans="1:32" x14ac:dyDescent="0.3">
      <c r="B85" s="2"/>
    </row>
    <row r="86" spans="1:32" x14ac:dyDescent="0.3">
      <c r="E86" s="1" t="s">
        <v>543</v>
      </c>
      <c r="F86" s="2" t="s">
        <v>598</v>
      </c>
      <c r="G86" s="1" t="s">
        <v>545</v>
      </c>
      <c r="H86" s="1"/>
      <c r="I86" s="304">
        <v>0.34</v>
      </c>
      <c r="J86" s="304"/>
    </row>
    <row r="87" spans="1:32" x14ac:dyDescent="0.3">
      <c r="B87" s="2"/>
      <c r="E87" s="1" t="s">
        <v>473</v>
      </c>
      <c r="F87" s="2" t="s">
        <v>617</v>
      </c>
      <c r="G87" s="1" t="s">
        <v>473</v>
      </c>
      <c r="H87" s="1"/>
      <c r="I87" s="1">
        <v>24</v>
      </c>
      <c r="J87" s="1"/>
    </row>
    <row r="88" spans="1:32" x14ac:dyDescent="0.3">
      <c r="E88" s="1" t="s">
        <v>475</v>
      </c>
      <c r="F88" s="2" t="s">
        <v>1078</v>
      </c>
      <c r="G88" s="1" t="s">
        <v>475</v>
      </c>
      <c r="H88" s="1"/>
      <c r="I88" s="95">
        <v>807</v>
      </c>
      <c r="J88" s="95"/>
    </row>
    <row r="89" spans="1:32" x14ac:dyDescent="0.3">
      <c r="B89" s="2"/>
      <c r="E89" s="1" t="s">
        <v>477</v>
      </c>
      <c r="F89" s="2" t="s">
        <v>1079</v>
      </c>
      <c r="G89" s="1" t="s">
        <v>477</v>
      </c>
      <c r="H89" s="1"/>
      <c r="I89" s="95">
        <v>3301256</v>
      </c>
      <c r="J89" s="95"/>
    </row>
    <row r="91" spans="1:32" ht="18" x14ac:dyDescent="0.35">
      <c r="A91" s="1037" t="s">
        <v>549</v>
      </c>
    </row>
    <row r="92" spans="1:32" ht="18" x14ac:dyDescent="0.35">
      <c r="A92" s="1037"/>
    </row>
    <row r="93" spans="1:32" x14ac:dyDescent="0.3">
      <c r="A93" s="2587" t="s">
        <v>480</v>
      </c>
      <c r="B93" s="2588"/>
      <c r="C93" s="2588"/>
      <c r="D93" s="2588"/>
      <c r="E93" s="2588"/>
      <c r="F93" s="2588"/>
      <c r="G93" s="2588"/>
      <c r="H93" s="2588"/>
      <c r="I93" s="2588"/>
      <c r="J93" s="2588"/>
      <c r="K93" s="2588"/>
      <c r="L93" s="2588"/>
      <c r="M93" s="2588"/>
      <c r="N93" s="2588"/>
      <c r="O93" s="2588"/>
      <c r="P93" s="2588"/>
      <c r="Q93" s="2588"/>
      <c r="R93" s="2589"/>
      <c r="S93" s="2563" t="s">
        <v>584</v>
      </c>
      <c r="T93" s="2564"/>
      <c r="U93" s="2564"/>
      <c r="V93" s="2564"/>
      <c r="W93" s="2564"/>
      <c r="X93" s="2564"/>
      <c r="Y93" s="2564"/>
      <c r="Z93" s="2564"/>
      <c r="AA93" s="2564"/>
      <c r="AB93" s="2564"/>
      <c r="AC93" s="2564"/>
      <c r="AD93" s="2564"/>
      <c r="AE93" s="2564"/>
      <c r="AF93" s="2576"/>
    </row>
    <row r="94" spans="1:32" ht="18" x14ac:dyDescent="0.3">
      <c r="A94" s="2784" t="s">
        <v>482</v>
      </c>
      <c r="B94" s="2784" t="s">
        <v>483</v>
      </c>
      <c r="C94" s="2784" t="s">
        <v>484</v>
      </c>
      <c r="D94" s="2784" t="s">
        <v>555</v>
      </c>
      <c r="E94" s="2784" t="s">
        <v>556</v>
      </c>
      <c r="F94" s="2785" t="s">
        <v>487</v>
      </c>
      <c r="G94" s="2784" t="s">
        <v>557</v>
      </c>
      <c r="H94" s="2784" t="s">
        <v>489</v>
      </c>
      <c r="I94" s="786" t="s">
        <v>490</v>
      </c>
      <c r="J94" s="786"/>
      <c r="K94" s="786"/>
      <c r="L94" s="786"/>
      <c r="M94" s="1549" t="s">
        <v>491</v>
      </c>
      <c r="N94" s="1550" t="s">
        <v>558</v>
      </c>
      <c r="O94" s="1551" t="s">
        <v>493</v>
      </c>
      <c r="P94" s="1550" t="s">
        <v>558</v>
      </c>
      <c r="Q94" s="1550" t="s">
        <v>559</v>
      </c>
      <c r="R94" s="2780" t="s">
        <v>495</v>
      </c>
      <c r="S94" s="1394" t="s">
        <v>496</v>
      </c>
      <c r="T94" s="2567" t="s">
        <v>497</v>
      </c>
      <c r="U94" s="2568"/>
      <c r="V94" s="2568"/>
      <c r="W94" s="2568"/>
      <c r="X94" s="2568"/>
      <c r="Y94" s="2567" t="s">
        <v>498</v>
      </c>
      <c r="Z94" s="2568"/>
      <c r="AA94" s="2567" t="s">
        <v>499</v>
      </c>
      <c r="AB94" s="2568"/>
      <c r="AC94" s="2568"/>
      <c r="AD94" s="2568"/>
      <c r="AE94" s="2568"/>
      <c r="AF94" s="2571"/>
    </row>
    <row r="95" spans="1:32" ht="18" x14ac:dyDescent="0.3">
      <c r="A95" s="2454"/>
      <c r="B95" s="2454"/>
      <c r="C95" s="2454"/>
      <c r="D95" s="2454"/>
      <c r="E95" s="2454"/>
      <c r="F95" s="2452"/>
      <c r="G95" s="2454"/>
      <c r="H95" s="2454"/>
      <c r="I95" s="782" t="s">
        <v>500</v>
      </c>
      <c r="J95" s="782" t="s">
        <v>501</v>
      </c>
      <c r="K95" s="782" t="s">
        <v>502</v>
      </c>
      <c r="L95" s="782" t="s">
        <v>503</v>
      </c>
      <c r="M95" s="786" t="s">
        <v>504</v>
      </c>
      <c r="N95" s="787" t="s">
        <v>505</v>
      </c>
      <c r="O95" s="788" t="s">
        <v>506</v>
      </c>
      <c r="P95" s="787" t="s">
        <v>507</v>
      </c>
      <c r="Q95" s="787" t="s">
        <v>560</v>
      </c>
      <c r="R95" s="2456"/>
      <c r="S95" s="1394" t="s">
        <v>508</v>
      </c>
      <c r="T95" s="2782"/>
      <c r="U95" s="2781"/>
      <c r="V95" s="2781"/>
      <c r="W95" s="2781"/>
      <c r="X95" s="2781"/>
      <c r="Y95" s="2782"/>
      <c r="Z95" s="2781"/>
      <c r="AA95" s="2782"/>
      <c r="AB95" s="2781"/>
      <c r="AC95" s="2781"/>
      <c r="AD95" s="2781"/>
      <c r="AE95" s="2781"/>
      <c r="AF95" s="2783"/>
    </row>
    <row r="96" spans="1:32" ht="18" x14ac:dyDescent="0.35">
      <c r="A96" s="2449" t="s">
        <v>639</v>
      </c>
      <c r="B96" s="2450"/>
      <c r="C96" s="2450"/>
      <c r="D96" s="2450"/>
      <c r="E96" s="2450"/>
      <c r="F96" s="2450"/>
      <c r="G96" s="2450"/>
      <c r="H96" s="2450"/>
      <c r="I96" s="2450"/>
      <c r="J96" s="2450"/>
      <c r="K96" s="2450"/>
      <c r="L96" s="2450"/>
      <c r="M96" s="2450"/>
      <c r="N96" s="2450"/>
      <c r="O96" s="2450"/>
      <c r="P96" s="2450"/>
      <c r="Q96" s="2450"/>
      <c r="R96" s="2450"/>
      <c r="S96" s="1577"/>
      <c r="T96" s="1553" t="s">
        <v>510</v>
      </c>
      <c r="U96" s="1554" t="s">
        <v>11</v>
      </c>
      <c r="V96" s="1554" t="s">
        <v>511</v>
      </c>
      <c r="W96" s="1554" t="s">
        <v>512</v>
      </c>
      <c r="X96" s="1578" t="s">
        <v>513</v>
      </c>
      <c r="Y96" s="1553" t="s">
        <v>514</v>
      </c>
      <c r="Z96" s="1578" t="s">
        <v>515</v>
      </c>
      <c r="AA96" s="1553" t="s">
        <v>233</v>
      </c>
      <c r="AB96" s="1554" t="s">
        <v>234</v>
      </c>
      <c r="AC96" s="1554" t="s">
        <v>1</v>
      </c>
      <c r="AD96" s="1554" t="s">
        <v>235</v>
      </c>
      <c r="AE96" s="1554" t="s">
        <v>139</v>
      </c>
      <c r="AF96" s="1578" t="s">
        <v>5</v>
      </c>
    </row>
    <row r="97" spans="1:32" x14ac:dyDescent="0.3">
      <c r="A97" s="154"/>
      <c r="B97" s="462"/>
      <c r="C97" s="462"/>
      <c r="D97" s="462"/>
      <c r="E97" s="462"/>
      <c r="F97" s="463"/>
      <c r="G97" s="462"/>
      <c r="H97" s="462"/>
      <c r="I97" s="465"/>
      <c r="J97" s="465"/>
      <c r="K97" s="465"/>
      <c r="L97" s="465"/>
      <c r="M97" s="462"/>
      <c r="N97" s="468"/>
      <c r="O97" s="469"/>
      <c r="P97" s="468"/>
      <c r="Q97" s="468"/>
      <c r="R97" s="532"/>
      <c r="S97" s="166"/>
      <c r="T97" s="188"/>
      <c r="X97" s="286"/>
      <c r="Y97" s="188"/>
      <c r="Z97" s="286"/>
      <c r="AA97" s="465"/>
      <c r="AB97" s="465"/>
      <c r="AC97" s="465"/>
      <c r="AD97" s="465"/>
      <c r="AE97" s="465"/>
      <c r="AF97" s="466"/>
    </row>
    <row r="98" spans="1:32" x14ac:dyDescent="0.3">
      <c r="A98" s="157" t="s">
        <v>1074</v>
      </c>
      <c r="B98" s="157" t="s">
        <v>236</v>
      </c>
      <c r="C98" s="157" t="s">
        <v>1075</v>
      </c>
      <c r="D98" s="157" t="s">
        <v>208</v>
      </c>
      <c r="E98" s="157" t="s">
        <v>520</v>
      </c>
      <c r="F98" s="158" t="s">
        <v>552</v>
      </c>
      <c r="G98" s="157">
        <v>20</v>
      </c>
      <c r="H98" s="157" t="s">
        <v>63</v>
      </c>
      <c r="I98" s="175">
        <v>20</v>
      </c>
      <c r="J98" s="688"/>
      <c r="L98" s="286"/>
      <c r="M98" s="163">
        <v>1</v>
      </c>
      <c r="N98" s="166">
        <v>1152</v>
      </c>
      <c r="O98" s="173">
        <v>0.16</v>
      </c>
      <c r="P98" s="166">
        <f>N98*(1-O98)</f>
        <v>967.68</v>
      </c>
      <c r="Q98" s="166">
        <f t="shared" ref="Q98:Q103" si="20">P98*M98*G98</f>
        <v>19353.599999999999</v>
      </c>
      <c r="R98" s="184">
        <f t="shared" ref="R98:R103" si="21">Q98/$Q$110</f>
        <v>0.14190303424638098</v>
      </c>
      <c r="S98" s="503">
        <f t="shared" ref="S98:S103" si="22">Q98*4</f>
        <v>77414.399999999994</v>
      </c>
      <c r="T98" s="394">
        <f t="shared" ref="T98:T100" si="23">S98</f>
        <v>77414.399999999994</v>
      </c>
      <c r="X98" s="286"/>
      <c r="Y98" s="394">
        <f>S98</f>
        <v>77414.399999999994</v>
      </c>
      <c r="Z98" s="395"/>
      <c r="AA98" s="169">
        <f>S98</f>
        <v>77414.399999999994</v>
      </c>
      <c r="AF98" s="286"/>
    </row>
    <row r="99" spans="1:32" x14ac:dyDescent="0.3">
      <c r="A99" s="157" t="s">
        <v>1074</v>
      </c>
      <c r="B99" s="157" t="s">
        <v>236</v>
      </c>
      <c r="C99" s="157" t="s">
        <v>1075</v>
      </c>
      <c r="D99" s="157" t="s">
        <v>102</v>
      </c>
      <c r="E99" s="157" t="s">
        <v>518</v>
      </c>
      <c r="F99" s="158" t="s">
        <v>521</v>
      </c>
      <c r="G99" s="157">
        <v>5</v>
      </c>
      <c r="H99" s="157" t="s">
        <v>24</v>
      </c>
      <c r="I99" s="2445">
        <v>5</v>
      </c>
      <c r="J99" s="726"/>
      <c r="K99" s="726"/>
      <c r="L99" s="727"/>
      <c r="M99" s="163">
        <v>1</v>
      </c>
      <c r="N99" s="166">
        <v>4199</v>
      </c>
      <c r="O99" s="173">
        <v>0.17</v>
      </c>
      <c r="P99" s="166">
        <f>N99*(1-O99)</f>
        <v>3485.1699999999996</v>
      </c>
      <c r="Q99" s="166">
        <f t="shared" si="20"/>
        <v>17425.849999999999</v>
      </c>
      <c r="R99" s="167">
        <f t="shared" si="21"/>
        <v>0.12776852830079666</v>
      </c>
      <c r="S99" s="503">
        <f t="shared" si="22"/>
        <v>69703.399999999994</v>
      </c>
      <c r="T99" s="394">
        <f t="shared" si="23"/>
        <v>69703.399999999994</v>
      </c>
      <c r="X99" s="286"/>
      <c r="Y99" s="394"/>
      <c r="Z99" s="395">
        <f>S99</f>
        <v>69703.399999999994</v>
      </c>
      <c r="AA99" s="169">
        <f>S99</f>
        <v>69703.399999999994</v>
      </c>
      <c r="AF99" s="286"/>
    </row>
    <row r="100" spans="1:32" x14ac:dyDescent="0.3">
      <c r="A100" s="157" t="s">
        <v>1074</v>
      </c>
      <c r="B100" s="157" t="s">
        <v>236</v>
      </c>
      <c r="C100" s="157" t="s">
        <v>1075</v>
      </c>
      <c r="D100" s="157" t="s">
        <v>26</v>
      </c>
      <c r="E100" s="157" t="s">
        <v>520</v>
      </c>
      <c r="F100" s="158" t="s">
        <v>654</v>
      </c>
      <c r="G100" s="157">
        <v>5</v>
      </c>
      <c r="H100" s="157" t="s">
        <v>24</v>
      </c>
      <c r="I100" s="175">
        <v>5</v>
      </c>
      <c r="J100" s="176"/>
      <c r="K100" s="176"/>
      <c r="L100" s="177"/>
      <c r="M100" s="163">
        <v>1</v>
      </c>
      <c r="N100" s="166">
        <v>4680</v>
      </c>
      <c r="O100" s="173">
        <v>0.17</v>
      </c>
      <c r="P100" s="166">
        <f t="shared" ref="P100:P103" si="24">N100*(1-O100)</f>
        <v>3884.3999999999996</v>
      </c>
      <c r="Q100" s="166">
        <f t="shared" si="20"/>
        <v>19422</v>
      </c>
      <c r="R100" s="184">
        <f t="shared" si="21"/>
        <v>0.14240455166652261</v>
      </c>
      <c r="S100" s="503">
        <f t="shared" si="22"/>
        <v>77688</v>
      </c>
      <c r="T100" s="394">
        <f t="shared" si="23"/>
        <v>77688</v>
      </c>
      <c r="X100" s="286"/>
      <c r="Y100" s="394">
        <f>S100</f>
        <v>77688</v>
      </c>
      <c r="Z100" s="395"/>
      <c r="AA100" s="169">
        <f>S100</f>
        <v>77688</v>
      </c>
      <c r="AF100" s="286"/>
    </row>
    <row r="101" spans="1:32" x14ac:dyDescent="0.3">
      <c r="A101" s="157" t="s">
        <v>1074</v>
      </c>
      <c r="B101" s="157" t="s">
        <v>237</v>
      </c>
      <c r="C101" s="157" t="s">
        <v>1075</v>
      </c>
      <c r="D101" s="157" t="s">
        <v>102</v>
      </c>
      <c r="E101" s="157" t="s">
        <v>518</v>
      </c>
      <c r="F101" s="158" t="s">
        <v>521</v>
      </c>
      <c r="G101" s="157">
        <v>2</v>
      </c>
      <c r="H101" s="157" t="s">
        <v>24</v>
      </c>
      <c r="I101" s="175">
        <v>2</v>
      </c>
      <c r="J101" s="688"/>
      <c r="K101" s="1648"/>
      <c r="L101" s="1649"/>
      <c r="M101" s="163">
        <v>1</v>
      </c>
      <c r="N101" s="166">
        <v>4740</v>
      </c>
      <c r="O101" s="173">
        <v>0.2</v>
      </c>
      <c r="P101" s="166">
        <f t="shared" si="24"/>
        <v>3792</v>
      </c>
      <c r="Q101" s="166">
        <f t="shared" si="20"/>
        <v>7584</v>
      </c>
      <c r="R101" s="167">
        <f t="shared" si="21"/>
        <v>5.5606843777103662E-2</v>
      </c>
      <c r="S101" s="503">
        <f t="shared" si="22"/>
        <v>30336</v>
      </c>
      <c r="T101" s="394">
        <f>S101</f>
        <v>30336</v>
      </c>
      <c r="X101" s="286"/>
      <c r="Y101" s="394"/>
      <c r="Z101" s="395">
        <f>S101</f>
        <v>30336</v>
      </c>
      <c r="AB101" s="169">
        <f>S101</f>
        <v>30336</v>
      </c>
      <c r="AF101" s="286"/>
    </row>
    <row r="102" spans="1:32" x14ac:dyDescent="0.3">
      <c r="A102" s="157" t="s">
        <v>1074</v>
      </c>
      <c r="B102" s="157" t="s">
        <v>20</v>
      </c>
      <c r="C102" s="157" t="s">
        <v>1075</v>
      </c>
      <c r="D102" s="157" t="s">
        <v>100</v>
      </c>
      <c r="E102" s="157" t="s">
        <v>518</v>
      </c>
      <c r="F102" s="158" t="s">
        <v>521</v>
      </c>
      <c r="G102" s="157">
        <v>4</v>
      </c>
      <c r="H102" s="157" t="s">
        <v>24</v>
      </c>
      <c r="I102" s="182">
        <v>4</v>
      </c>
      <c r="J102" s="1648"/>
      <c r="K102" s="176">
        <v>4</v>
      </c>
      <c r="L102" s="1649"/>
      <c r="M102" s="163">
        <v>2</v>
      </c>
      <c r="N102" s="166">
        <v>5929</v>
      </c>
      <c r="O102" s="173">
        <v>0.6</v>
      </c>
      <c r="P102" s="166">
        <f t="shared" si="24"/>
        <v>2371.6</v>
      </c>
      <c r="Q102" s="166">
        <f t="shared" si="20"/>
        <v>18972.8</v>
      </c>
      <c r="R102" s="167">
        <f t="shared" si="21"/>
        <v>0.13911096065588507</v>
      </c>
      <c r="S102" s="503">
        <f t="shared" si="22"/>
        <v>75891.199999999997</v>
      </c>
      <c r="T102" s="394"/>
      <c r="U102" s="169">
        <f>S102</f>
        <v>75891.199999999997</v>
      </c>
      <c r="V102" s="169"/>
      <c r="X102" s="286"/>
      <c r="Y102" s="394"/>
      <c r="Z102" s="395">
        <f>S102</f>
        <v>75891.199999999997</v>
      </c>
      <c r="AC102" s="169">
        <f>S102</f>
        <v>75891.199999999997</v>
      </c>
      <c r="AF102" s="286"/>
    </row>
    <row r="103" spans="1:32" x14ac:dyDescent="0.3">
      <c r="A103" s="157" t="s">
        <v>1074</v>
      </c>
      <c r="B103" s="157" t="s">
        <v>238</v>
      </c>
      <c r="C103" s="157" t="s">
        <v>1075</v>
      </c>
      <c r="D103" s="157" t="s">
        <v>208</v>
      </c>
      <c r="E103" s="157" t="s">
        <v>520</v>
      </c>
      <c r="F103" s="158" t="s">
        <v>552</v>
      </c>
      <c r="G103" s="157">
        <v>14</v>
      </c>
      <c r="H103" s="157" t="s">
        <v>63</v>
      </c>
      <c r="I103" s="1650"/>
      <c r="J103" s="1651"/>
      <c r="K103" s="725">
        <v>14</v>
      </c>
      <c r="L103" s="2209"/>
      <c r="M103" s="163">
        <v>1</v>
      </c>
      <c r="N103" s="166">
        <v>1584</v>
      </c>
      <c r="O103" s="173">
        <v>0.16</v>
      </c>
      <c r="P103" s="166">
        <f t="shared" si="24"/>
        <v>1330.56</v>
      </c>
      <c r="Q103" s="166">
        <f t="shared" si="20"/>
        <v>18627.84</v>
      </c>
      <c r="R103" s="184">
        <f t="shared" si="21"/>
        <v>0.1365816704621417</v>
      </c>
      <c r="S103" s="503">
        <f t="shared" si="22"/>
        <v>74511.360000000001</v>
      </c>
      <c r="T103" s="394">
        <f t="shared" ref="T103" si="25">S103</f>
        <v>74511.360000000001</v>
      </c>
      <c r="X103" s="286"/>
      <c r="Y103" s="394">
        <f>S103</f>
        <v>74511.360000000001</v>
      </c>
      <c r="Z103" s="395"/>
      <c r="AD103" s="169">
        <f>S103</f>
        <v>74511.360000000001</v>
      </c>
      <c r="AF103" s="286"/>
    </row>
    <row r="104" spans="1:32" x14ac:dyDescent="0.3">
      <c r="A104" s="157"/>
      <c r="B104" s="157"/>
      <c r="C104" s="157"/>
      <c r="D104" s="157"/>
      <c r="E104" s="157"/>
      <c r="F104" s="158"/>
      <c r="G104" s="157"/>
      <c r="H104" s="157"/>
      <c r="L104" s="286"/>
      <c r="M104" s="163"/>
      <c r="N104" s="166"/>
      <c r="O104" s="173"/>
      <c r="P104" s="166"/>
      <c r="Q104" s="166"/>
      <c r="R104" s="184"/>
      <c r="S104" s="503"/>
      <c r="T104" s="394"/>
      <c r="V104" s="169"/>
      <c r="X104" s="286"/>
      <c r="Y104" s="394"/>
      <c r="Z104" s="286"/>
      <c r="AF104" s="286"/>
    </row>
    <row r="105" spans="1:32" x14ac:dyDescent="0.3">
      <c r="A105" s="172"/>
      <c r="B105" s="157"/>
      <c r="C105" s="157"/>
      <c r="D105" s="157"/>
      <c r="E105" s="157"/>
      <c r="F105" s="158"/>
      <c r="G105" s="157"/>
      <c r="H105" s="157"/>
      <c r="L105" s="286"/>
      <c r="M105" s="157"/>
      <c r="N105" s="166"/>
      <c r="O105" s="173"/>
      <c r="P105" s="166"/>
      <c r="Q105" s="166"/>
      <c r="R105" s="393"/>
      <c r="S105" s="503"/>
      <c r="T105" s="188"/>
      <c r="X105" s="286"/>
      <c r="Y105" s="188"/>
      <c r="Z105" s="286"/>
      <c r="AF105" s="286"/>
    </row>
    <row r="106" spans="1:32" x14ac:dyDescent="0.3">
      <c r="A106" s="172"/>
      <c r="B106" s="157"/>
      <c r="C106" s="190"/>
      <c r="D106" s="190"/>
      <c r="E106" s="190"/>
      <c r="F106" s="191"/>
      <c r="G106" s="190"/>
      <c r="H106" s="190"/>
      <c r="I106" s="245"/>
      <c r="J106" s="245"/>
      <c r="K106" s="245"/>
      <c r="L106" s="287"/>
      <c r="M106" s="190"/>
      <c r="N106" s="194"/>
      <c r="O106" s="195"/>
      <c r="P106" s="194"/>
      <c r="Q106" s="166"/>
      <c r="R106" s="393"/>
      <c r="S106" s="503"/>
      <c r="T106" s="188"/>
      <c r="X106" s="286"/>
      <c r="Y106" s="188"/>
      <c r="Z106" s="286"/>
      <c r="AF106" s="286"/>
    </row>
    <row r="107" spans="1:32" x14ac:dyDescent="0.3">
      <c r="A107" s="108" t="s">
        <v>1074</v>
      </c>
      <c r="B107" s="108" t="s">
        <v>528</v>
      </c>
      <c r="C107" s="289"/>
      <c r="D107" s="252"/>
      <c r="E107" s="252"/>
      <c r="F107" s="253"/>
      <c r="G107" s="252"/>
      <c r="H107" s="252"/>
      <c r="I107" s="254"/>
      <c r="J107" s="254"/>
      <c r="K107" s="254"/>
      <c r="L107" s="254"/>
      <c r="M107" s="252"/>
      <c r="N107" s="255"/>
      <c r="O107" s="256"/>
      <c r="P107" s="290"/>
      <c r="Q107" s="257"/>
      <c r="R107" s="291"/>
      <c r="S107" s="503"/>
      <c r="T107" s="188"/>
      <c r="W107" s="169"/>
      <c r="X107" s="286"/>
      <c r="Y107" s="188"/>
      <c r="Z107" s="286"/>
      <c r="AF107" s="286"/>
    </row>
    <row r="108" spans="1:32" x14ac:dyDescent="0.3">
      <c r="A108" s="108" t="s">
        <v>1074</v>
      </c>
      <c r="B108" s="108" t="s">
        <v>529</v>
      </c>
      <c r="C108" s="289"/>
      <c r="D108" s="252"/>
      <c r="E108" s="252"/>
      <c r="F108" s="253"/>
      <c r="G108" s="252"/>
      <c r="H108" s="252"/>
      <c r="I108" s="254"/>
      <c r="J108" s="254"/>
      <c r="K108" s="254"/>
      <c r="L108" s="254"/>
      <c r="M108" s="252"/>
      <c r="N108" s="255"/>
      <c r="O108" s="256"/>
      <c r="P108" s="290"/>
      <c r="Q108" s="257">
        <v>35000</v>
      </c>
      <c r="R108" s="291">
        <f>Q108/Q110</f>
        <v>0.25662441089116933</v>
      </c>
      <c r="S108" s="503">
        <f>Q108*4</f>
        <v>140000</v>
      </c>
      <c r="T108" s="188"/>
      <c r="X108" s="395">
        <f>S108</f>
        <v>140000</v>
      </c>
      <c r="Y108" s="188"/>
      <c r="Z108" s="286"/>
      <c r="AF108" s="286"/>
    </row>
    <row r="109" spans="1:32" x14ac:dyDescent="0.3">
      <c r="I109" s="115">
        <f>I110/M110</f>
        <v>0.66666666666666663</v>
      </c>
      <c r="J109" s="115"/>
      <c r="K109" s="115">
        <f>K110/M110</f>
        <v>0.33333333333333331</v>
      </c>
      <c r="S109" s="166"/>
      <c r="T109" s="188"/>
      <c r="X109" s="286"/>
      <c r="Y109" s="188"/>
      <c r="Z109" s="286"/>
      <c r="AA109" s="245"/>
      <c r="AB109" s="245"/>
      <c r="AC109" s="245"/>
      <c r="AD109" s="245"/>
      <c r="AE109" s="245"/>
      <c r="AF109" s="287"/>
    </row>
    <row r="110" spans="1:32" x14ac:dyDescent="0.3">
      <c r="A110" s="789" t="s">
        <v>531</v>
      </c>
      <c r="B110" s="790"/>
      <c r="C110" s="790"/>
      <c r="D110" s="790"/>
      <c r="E110" s="790"/>
      <c r="F110" s="791"/>
      <c r="G110" s="790"/>
      <c r="H110" s="790"/>
      <c r="I110" s="790">
        <f>I104+I102+I101+I100+I99+I98</f>
        <v>36</v>
      </c>
      <c r="J110" s="790"/>
      <c r="K110" s="790">
        <f>K103+K102</f>
        <v>18</v>
      </c>
      <c r="L110" s="790"/>
      <c r="M110" s="790">
        <f>SUM(I110:L110)</f>
        <v>54</v>
      </c>
      <c r="N110" s="793"/>
      <c r="O110" s="794"/>
      <c r="P110" s="793"/>
      <c r="Q110" s="795">
        <f>SUM(Q97:Q109)</f>
        <v>136386.09</v>
      </c>
      <c r="R110" s="794">
        <f>SUM(R97:R108)</f>
        <v>1</v>
      </c>
      <c r="S110" s="1599">
        <f>SUM(S97:S109)</f>
        <v>545544.36</v>
      </c>
      <c r="T110" s="1600">
        <f>SUM(T97:T108)</f>
        <v>329653.15999999997</v>
      </c>
      <c r="U110" s="585">
        <f>SUM(U97:U108)</f>
        <v>75891.199999999997</v>
      </c>
      <c r="V110" s="585">
        <f t="shared" ref="V110:W110" si="26">SUM(V97:V108)</f>
        <v>0</v>
      </c>
      <c r="W110" s="585">
        <f t="shared" si="26"/>
        <v>0</v>
      </c>
      <c r="X110" s="585">
        <f>SUM(X97:X108)</f>
        <v>140000</v>
      </c>
      <c r="Y110" s="1601">
        <f>SUM(Y97:Y108)</f>
        <v>229613.76</v>
      </c>
      <c r="Z110" s="1602">
        <f>SUM(Z97:Z108)</f>
        <v>175930.59999999998</v>
      </c>
      <c r="AA110" s="1604">
        <f>SUM(AA98:AA109)</f>
        <v>224805.8</v>
      </c>
      <c r="AB110" s="1604">
        <f>SUM(AB98:AB109)</f>
        <v>30336</v>
      </c>
      <c r="AC110" s="1604">
        <f>SUM(AC98:AC109)</f>
        <v>75891.199999999997</v>
      </c>
      <c r="AD110" s="1604">
        <f>SUM(AD98:AD109)</f>
        <v>74511.360000000001</v>
      </c>
      <c r="AE110" s="1604"/>
      <c r="AF110" s="1605"/>
    </row>
    <row r="111" spans="1:32" x14ac:dyDescent="0.3">
      <c r="A111" s="789" t="s">
        <v>532</v>
      </c>
      <c r="B111" s="790"/>
      <c r="C111" s="790"/>
      <c r="D111" s="790"/>
      <c r="E111" s="790"/>
      <c r="F111" s="791"/>
      <c r="G111" s="790"/>
      <c r="H111" s="790"/>
      <c r="I111" s="790">
        <f>I104+I102+I101+I100+I99+I98</f>
        <v>36</v>
      </c>
      <c r="J111" s="790">
        <f>I104+I101+I99++I98+I100</f>
        <v>32</v>
      </c>
      <c r="K111" s="790">
        <f>I104+K103+K102+I100+I99</f>
        <v>28</v>
      </c>
      <c r="L111" s="790"/>
      <c r="M111" s="790">
        <f>SUM(I111:L111)</f>
        <v>96</v>
      </c>
      <c r="N111" s="793"/>
      <c r="O111" s="794"/>
      <c r="P111" s="793"/>
      <c r="Q111" s="793"/>
      <c r="R111" s="794"/>
      <c r="S111" s="1606"/>
      <c r="T111" s="1607">
        <f>T110/S110</f>
        <v>0.6042646284529456</v>
      </c>
      <c r="U111" s="1608">
        <f>U110/S110</f>
        <v>0.13911096065588507</v>
      </c>
      <c r="V111" s="1608">
        <f>V110/S110</f>
        <v>0</v>
      </c>
      <c r="W111" s="1608">
        <f>W110/S110</f>
        <v>0</v>
      </c>
      <c r="X111" s="1608">
        <f>X110/S110</f>
        <v>0.25662441089116933</v>
      </c>
      <c r="Y111" s="788">
        <f>Y110/S110</f>
        <v>0.42088925637504532</v>
      </c>
      <c r="Z111" s="1610">
        <f>Z110/S110</f>
        <v>0.32248633273378535</v>
      </c>
      <c r="AA111" s="1612"/>
      <c r="AB111" s="1612"/>
      <c r="AC111" s="1612"/>
      <c r="AD111" s="1612"/>
      <c r="AE111" s="1612"/>
      <c r="AF111" s="1613"/>
    </row>
    <row r="112" spans="1:32" x14ac:dyDescent="0.3">
      <c r="A112" s="251" t="s">
        <v>533</v>
      </c>
      <c r="B112" s="252"/>
      <c r="C112" s="252"/>
      <c r="D112" s="252"/>
      <c r="E112" s="252"/>
      <c r="F112" s="253"/>
      <c r="G112" s="252"/>
      <c r="H112" s="252"/>
      <c r="I112" s="2188">
        <f>I111/$M$111</f>
        <v>0.375</v>
      </c>
      <c r="J112" s="2188">
        <f t="shared" ref="J112:L112" si="27">J111/$M$111</f>
        <v>0.33333333333333331</v>
      </c>
      <c r="K112" s="2188">
        <f t="shared" si="27"/>
        <v>0.29166666666666669</v>
      </c>
      <c r="L112" s="2188">
        <f t="shared" si="27"/>
        <v>0</v>
      </c>
      <c r="M112" s="252"/>
      <c r="N112" s="255"/>
      <c r="O112" s="256"/>
      <c r="P112" s="255"/>
      <c r="Q112" s="257">
        <f>T110/4</f>
        <v>82413.289999999994</v>
      </c>
      <c r="R112" s="262">
        <f>Q112/Q117</f>
        <v>0.6042646284529456</v>
      </c>
      <c r="X112" s="248"/>
      <c r="Y112" s="357">
        <f>I98+I100+K103</f>
        <v>39</v>
      </c>
      <c r="Z112" s="358">
        <f>I99+I101+I102+K102</f>
        <v>15</v>
      </c>
    </row>
    <row r="113" spans="1:32" x14ac:dyDescent="0.3">
      <c r="A113" s="251" t="s">
        <v>11</v>
      </c>
      <c r="B113" s="252"/>
      <c r="C113" s="252"/>
      <c r="D113" s="252"/>
      <c r="E113" s="252"/>
      <c r="F113" s="253"/>
      <c r="G113" s="252"/>
      <c r="H113" s="252"/>
      <c r="I113" s="254"/>
      <c r="J113" s="254"/>
      <c r="K113" s="254"/>
      <c r="L113" s="254"/>
      <c r="M113" s="252"/>
      <c r="N113" s="255"/>
      <c r="O113" s="256"/>
      <c r="P113" s="255"/>
      <c r="Q113" s="257">
        <f>U110/4</f>
        <v>18972.8</v>
      </c>
      <c r="R113" s="262">
        <f>Q113/Q117</f>
        <v>0.13911096065588507</v>
      </c>
      <c r="S113" s="1068">
        <f>Q110/M110</f>
        <v>2525.6683333333331</v>
      </c>
      <c r="T113" s="1069" t="s">
        <v>535</v>
      </c>
      <c r="Y113" s="195">
        <f>Y112/M110</f>
        <v>0.72222222222222221</v>
      </c>
      <c r="Z113" s="247">
        <f>Z112/M110</f>
        <v>0.27777777777777779</v>
      </c>
    </row>
    <row r="114" spans="1:32" x14ac:dyDescent="0.3">
      <c r="A114" s="251" t="s">
        <v>536</v>
      </c>
      <c r="B114" s="252"/>
      <c r="C114" s="252"/>
      <c r="D114" s="252"/>
      <c r="E114" s="252"/>
      <c r="F114" s="253"/>
      <c r="G114" s="252"/>
      <c r="H114" s="252"/>
      <c r="I114" s="254"/>
      <c r="J114" s="254"/>
      <c r="K114" s="254"/>
      <c r="L114" s="254"/>
      <c r="M114" s="252"/>
      <c r="N114" s="255"/>
      <c r="O114" s="256"/>
      <c r="P114" s="255"/>
      <c r="Q114" s="257">
        <f>V110/4</f>
        <v>0</v>
      </c>
      <c r="R114" s="262">
        <f>Q114/Q117</f>
        <v>0</v>
      </c>
      <c r="W114" s="99"/>
      <c r="Y114" s="2551" t="s">
        <v>537</v>
      </c>
      <c r="Z114" s="2551"/>
    </row>
    <row r="115" spans="1:32" x14ac:dyDescent="0.3">
      <c r="A115" s="251" t="s">
        <v>529</v>
      </c>
      <c r="B115" s="252"/>
      <c r="C115" s="252"/>
      <c r="D115" s="252"/>
      <c r="E115" s="252"/>
      <c r="F115" s="253"/>
      <c r="G115" s="252"/>
      <c r="H115" s="252"/>
      <c r="I115" s="254"/>
      <c r="J115" s="254"/>
      <c r="K115" s="254"/>
      <c r="L115" s="254"/>
      <c r="M115" s="252"/>
      <c r="N115" s="255"/>
      <c r="O115" s="256"/>
      <c r="P115" s="255"/>
      <c r="Q115" s="257">
        <f>X110/4</f>
        <v>35000</v>
      </c>
      <c r="R115" s="262">
        <f>Q115/Q117</f>
        <v>0.25662441089116933</v>
      </c>
    </row>
    <row r="116" spans="1:32" x14ac:dyDescent="0.3">
      <c r="A116" s="251" t="s">
        <v>528</v>
      </c>
      <c r="B116" s="252"/>
      <c r="C116" s="252"/>
      <c r="D116" s="252"/>
      <c r="E116" s="252"/>
      <c r="F116" s="253"/>
      <c r="G116" s="252"/>
      <c r="H116" s="252"/>
      <c r="I116" s="254"/>
      <c r="J116" s="254"/>
      <c r="K116" s="254"/>
      <c r="L116" s="254"/>
      <c r="M116" s="252"/>
      <c r="N116" s="255"/>
      <c r="O116" s="256"/>
      <c r="P116" s="255"/>
      <c r="Q116" s="257">
        <f>W110/4</f>
        <v>0</v>
      </c>
      <c r="R116" s="262">
        <f>Q116/Q117</f>
        <v>0</v>
      </c>
    </row>
    <row r="117" spans="1:32" x14ac:dyDescent="0.3">
      <c r="A117" s="251"/>
      <c r="B117" s="252"/>
      <c r="C117" s="252"/>
      <c r="D117" s="252"/>
      <c r="E117" s="252"/>
      <c r="F117" s="253"/>
      <c r="G117" s="252"/>
      <c r="H117" s="252"/>
      <c r="I117" s="254"/>
      <c r="J117" s="254"/>
      <c r="K117" s="254"/>
      <c r="L117" s="254"/>
      <c r="M117" s="252"/>
      <c r="N117" s="255"/>
      <c r="O117" s="256"/>
      <c r="P117" s="255"/>
      <c r="Q117" s="264">
        <f>SUM(Q112:Q116)</f>
        <v>136386.09</v>
      </c>
      <c r="R117" s="262">
        <f>SUM(R112:R116)</f>
        <v>1</v>
      </c>
    </row>
    <row r="118" spans="1:32" x14ac:dyDescent="0.3">
      <c r="A118" s="188"/>
      <c r="N118" s="5"/>
      <c r="O118" s="6"/>
      <c r="P118" s="5"/>
      <c r="Q118" s="7"/>
      <c r="R118" s="6"/>
      <c r="S118" s="5"/>
    </row>
    <row r="119" spans="1:32" ht="18" x14ac:dyDescent="0.35">
      <c r="A119" s="1037" t="s">
        <v>567</v>
      </c>
      <c r="N119" s="5"/>
      <c r="O119" s="6"/>
      <c r="P119" s="5"/>
      <c r="Q119" s="7"/>
      <c r="R119" s="6"/>
      <c r="S119" s="5"/>
    </row>
    <row r="120" spans="1:32" x14ac:dyDescent="0.3">
      <c r="A120" s="188"/>
      <c r="I120" s="245"/>
      <c r="J120" s="245"/>
      <c r="K120" s="245"/>
      <c r="L120" s="245"/>
      <c r="N120" s="5"/>
      <c r="O120" s="6"/>
      <c r="P120" s="5"/>
      <c r="Q120" s="7"/>
      <c r="R120" s="6"/>
      <c r="S120" s="5"/>
    </row>
    <row r="121" spans="1:32" x14ac:dyDescent="0.3">
      <c r="A121" s="2587" t="s">
        <v>480</v>
      </c>
      <c r="B121" s="2588"/>
      <c r="C121" s="2588"/>
      <c r="D121" s="2588"/>
      <c r="E121" s="2588"/>
      <c r="F121" s="2588"/>
      <c r="G121" s="2588"/>
      <c r="H121" s="2588"/>
      <c r="I121" s="2588"/>
      <c r="J121" s="2588"/>
      <c r="K121" s="2588"/>
      <c r="L121" s="2588"/>
      <c r="M121" s="2588"/>
      <c r="N121" s="2588"/>
      <c r="O121" s="2588"/>
      <c r="P121" s="2588"/>
      <c r="Q121" s="2588"/>
      <c r="R121" s="2589"/>
      <c r="S121" s="2563" t="s">
        <v>584</v>
      </c>
      <c r="T121" s="2564"/>
      <c r="U121" s="2564"/>
      <c r="V121" s="2564"/>
      <c r="W121" s="2564"/>
      <c r="X121" s="2564"/>
      <c r="Y121" s="2564"/>
      <c r="Z121" s="2564"/>
      <c r="AA121" s="2564"/>
      <c r="AB121" s="2564"/>
      <c r="AC121" s="2564"/>
      <c r="AD121" s="2564"/>
      <c r="AE121" s="2564"/>
      <c r="AF121" s="2576"/>
    </row>
    <row r="122" spans="1:32" ht="18" x14ac:dyDescent="0.3">
      <c r="A122" s="2784" t="s">
        <v>482</v>
      </c>
      <c r="B122" s="2784" t="s">
        <v>483</v>
      </c>
      <c r="C122" s="2784" t="s">
        <v>484</v>
      </c>
      <c r="D122" s="2784" t="s">
        <v>555</v>
      </c>
      <c r="E122" s="2784" t="s">
        <v>556</v>
      </c>
      <c r="F122" s="2785" t="s">
        <v>487</v>
      </c>
      <c r="G122" s="2784" t="s">
        <v>557</v>
      </c>
      <c r="H122" s="2784" t="s">
        <v>489</v>
      </c>
      <c r="I122" s="786" t="s">
        <v>490</v>
      </c>
      <c r="J122" s="786"/>
      <c r="K122" s="786"/>
      <c r="L122" s="786"/>
      <c r="M122" s="1549" t="s">
        <v>491</v>
      </c>
      <c r="N122" s="1550" t="s">
        <v>558</v>
      </c>
      <c r="O122" s="1551" t="s">
        <v>493</v>
      </c>
      <c r="P122" s="1550" t="s">
        <v>558</v>
      </c>
      <c r="Q122" s="1550" t="s">
        <v>559</v>
      </c>
      <c r="R122" s="2780" t="s">
        <v>495</v>
      </c>
      <c r="S122" s="1394" t="s">
        <v>496</v>
      </c>
      <c r="T122" s="2567" t="s">
        <v>497</v>
      </c>
      <c r="U122" s="2568"/>
      <c r="V122" s="2568"/>
      <c r="W122" s="2568"/>
      <c r="X122" s="2568"/>
      <c r="Y122" s="2567" t="s">
        <v>498</v>
      </c>
      <c r="Z122" s="2568"/>
      <c r="AA122" s="2567" t="s">
        <v>499</v>
      </c>
      <c r="AB122" s="2568"/>
      <c r="AC122" s="2568"/>
      <c r="AD122" s="2568"/>
      <c r="AE122" s="2568"/>
      <c r="AF122" s="2571"/>
    </row>
    <row r="123" spans="1:32" ht="18" x14ac:dyDescent="0.3">
      <c r="A123" s="2454"/>
      <c r="B123" s="2454"/>
      <c r="C123" s="2454"/>
      <c r="D123" s="2454"/>
      <c r="E123" s="2454"/>
      <c r="F123" s="2452"/>
      <c r="G123" s="2454"/>
      <c r="H123" s="2454"/>
      <c r="I123" s="782" t="s">
        <v>500</v>
      </c>
      <c r="J123" s="782" t="s">
        <v>501</v>
      </c>
      <c r="K123" s="782" t="s">
        <v>502</v>
      </c>
      <c r="L123" s="782" t="s">
        <v>503</v>
      </c>
      <c r="M123" s="786" t="s">
        <v>504</v>
      </c>
      <c r="N123" s="787" t="s">
        <v>505</v>
      </c>
      <c r="O123" s="788" t="s">
        <v>506</v>
      </c>
      <c r="P123" s="787" t="s">
        <v>507</v>
      </c>
      <c r="Q123" s="787" t="s">
        <v>560</v>
      </c>
      <c r="R123" s="2456"/>
      <c r="S123" s="1394" t="s">
        <v>508</v>
      </c>
      <c r="T123" s="2782"/>
      <c r="U123" s="2781"/>
      <c r="V123" s="2781"/>
      <c r="W123" s="2781"/>
      <c r="X123" s="2781"/>
      <c r="Y123" s="2782"/>
      <c r="Z123" s="2781"/>
      <c r="AA123" s="2782"/>
      <c r="AB123" s="2781"/>
      <c r="AC123" s="2781"/>
      <c r="AD123" s="2781"/>
      <c r="AE123" s="2781"/>
      <c r="AF123" s="2783"/>
    </row>
    <row r="124" spans="1:32" ht="18" x14ac:dyDescent="0.35">
      <c r="A124" s="2449" t="s">
        <v>639</v>
      </c>
      <c r="B124" s="2450"/>
      <c r="C124" s="2450"/>
      <c r="D124" s="2450"/>
      <c r="E124" s="2450"/>
      <c r="F124" s="2450"/>
      <c r="G124" s="2450"/>
      <c r="H124" s="2450"/>
      <c r="I124" s="2450"/>
      <c r="J124" s="2450"/>
      <c r="K124" s="2450"/>
      <c r="L124" s="2450"/>
      <c r="M124" s="2450"/>
      <c r="N124" s="2450"/>
      <c r="O124" s="2450"/>
      <c r="P124" s="2450"/>
      <c r="Q124" s="2450"/>
      <c r="R124" s="2450"/>
      <c r="S124" s="1577"/>
      <c r="T124" s="1553" t="s">
        <v>510</v>
      </c>
      <c r="U124" s="1554" t="s">
        <v>11</v>
      </c>
      <c r="V124" s="1554" t="s">
        <v>511</v>
      </c>
      <c r="W124" s="1554" t="s">
        <v>512</v>
      </c>
      <c r="X124" s="1578" t="s">
        <v>513</v>
      </c>
      <c r="Y124" s="1553" t="s">
        <v>514</v>
      </c>
      <c r="Z124" s="1578" t="s">
        <v>515</v>
      </c>
      <c r="AA124" s="1553" t="s">
        <v>233</v>
      </c>
      <c r="AB124" s="1554" t="s">
        <v>234</v>
      </c>
      <c r="AC124" s="1554" t="s">
        <v>1</v>
      </c>
      <c r="AD124" s="1554" t="s">
        <v>235</v>
      </c>
      <c r="AE124" s="1554" t="s">
        <v>139</v>
      </c>
      <c r="AF124" s="1578" t="s">
        <v>5</v>
      </c>
    </row>
    <row r="125" spans="1:32" x14ac:dyDescent="0.3">
      <c r="A125" s="154"/>
      <c r="B125" s="462"/>
      <c r="C125" s="462"/>
      <c r="D125" s="462"/>
      <c r="E125" s="462"/>
      <c r="F125" s="463"/>
      <c r="G125" s="462"/>
      <c r="H125" s="462"/>
      <c r="I125" s="465"/>
      <c r="J125" s="465"/>
      <c r="K125" s="465"/>
      <c r="L125" s="465"/>
      <c r="M125" s="462"/>
      <c r="N125" s="468"/>
      <c r="O125" s="469"/>
      <c r="P125" s="468"/>
      <c r="Q125" s="468"/>
      <c r="R125" s="532"/>
      <c r="S125" s="166"/>
      <c r="T125" s="188"/>
      <c r="X125" s="286"/>
      <c r="Y125" s="188"/>
      <c r="Z125" s="286"/>
      <c r="AA125" s="465"/>
      <c r="AB125" s="465"/>
      <c r="AC125" s="465"/>
      <c r="AD125" s="465"/>
      <c r="AE125" s="465"/>
      <c r="AF125" s="466"/>
    </row>
    <row r="126" spans="1:32" x14ac:dyDescent="0.3">
      <c r="A126" s="157" t="s">
        <v>1074</v>
      </c>
      <c r="B126" s="157" t="s">
        <v>236</v>
      </c>
      <c r="C126" s="157" t="s">
        <v>1075</v>
      </c>
      <c r="D126" s="157" t="s">
        <v>208</v>
      </c>
      <c r="E126" s="157" t="s">
        <v>520</v>
      </c>
      <c r="F126" s="158" t="s">
        <v>552</v>
      </c>
      <c r="G126" s="157">
        <v>20</v>
      </c>
      <c r="H126" s="157" t="s">
        <v>63</v>
      </c>
      <c r="I126" s="175">
        <v>20</v>
      </c>
      <c r="J126" s="688"/>
      <c r="L126" s="286"/>
      <c r="M126" s="163">
        <v>1</v>
      </c>
      <c r="N126" s="166">
        <v>1152</v>
      </c>
      <c r="O126" s="173">
        <v>0.16</v>
      </c>
      <c r="P126" s="166">
        <f>N126*(1-O126)</f>
        <v>967.68</v>
      </c>
      <c r="Q126" s="166">
        <f t="shared" ref="Q126:Q133" si="28">P126*M126*G126</f>
        <v>19353.599999999999</v>
      </c>
      <c r="R126" s="184">
        <f t="shared" ref="R126:R133" si="29">Q126/$Q$74</f>
        <v>9.4311763298993656E-2</v>
      </c>
      <c r="S126" s="503">
        <f t="shared" ref="S126:S133" si="30">Q126</f>
        <v>19353.599999999999</v>
      </c>
      <c r="T126" s="394">
        <f t="shared" ref="T126:T128" si="31">S126</f>
        <v>19353.599999999999</v>
      </c>
      <c r="X126" s="286"/>
      <c r="Y126" s="394">
        <f>S126</f>
        <v>19353.599999999999</v>
      </c>
      <c r="Z126" s="395"/>
      <c r="AA126" s="169">
        <f>S126</f>
        <v>19353.599999999999</v>
      </c>
      <c r="AF126" s="286"/>
    </row>
    <row r="127" spans="1:32" x14ac:dyDescent="0.3">
      <c r="A127" s="157" t="s">
        <v>1074</v>
      </c>
      <c r="B127" s="157" t="s">
        <v>236</v>
      </c>
      <c r="C127" s="157" t="s">
        <v>1075</v>
      </c>
      <c r="D127" s="157" t="s">
        <v>102</v>
      </c>
      <c r="E127" s="157" t="s">
        <v>518</v>
      </c>
      <c r="F127" s="158" t="s">
        <v>521</v>
      </c>
      <c r="G127" s="157">
        <v>4</v>
      </c>
      <c r="H127" s="157" t="s">
        <v>24</v>
      </c>
      <c r="I127" s="2445">
        <v>4</v>
      </c>
      <c r="J127" s="726"/>
      <c r="K127" s="726"/>
      <c r="L127" s="727"/>
      <c r="M127" s="163">
        <v>1</v>
      </c>
      <c r="N127" s="166">
        <v>4199</v>
      </c>
      <c r="O127" s="173">
        <v>0.17</v>
      </c>
      <c r="P127" s="166">
        <f>N127*(1-O127)</f>
        <v>3485.1699999999996</v>
      </c>
      <c r="Q127" s="166">
        <f t="shared" si="28"/>
        <v>13940.679999999998</v>
      </c>
      <c r="R127" s="167">
        <f t="shared" si="29"/>
        <v>6.7934136924758956E-2</v>
      </c>
      <c r="S127" s="503">
        <f t="shared" si="30"/>
        <v>13940.679999999998</v>
      </c>
      <c r="T127" s="394">
        <f t="shared" si="31"/>
        <v>13940.679999999998</v>
      </c>
      <c r="X127" s="286"/>
      <c r="Y127" s="394"/>
      <c r="Z127" s="395">
        <f>S127</f>
        <v>13940.679999999998</v>
      </c>
      <c r="AA127" s="169">
        <f>S127</f>
        <v>13940.679999999998</v>
      </c>
      <c r="AF127" s="286"/>
    </row>
    <row r="128" spans="1:32" x14ac:dyDescent="0.3">
      <c r="A128" s="157" t="s">
        <v>1074</v>
      </c>
      <c r="B128" s="157" t="s">
        <v>236</v>
      </c>
      <c r="C128" s="157" t="s">
        <v>1075</v>
      </c>
      <c r="D128" s="157" t="s">
        <v>26</v>
      </c>
      <c r="E128" s="157" t="s">
        <v>520</v>
      </c>
      <c r="F128" s="158" t="s">
        <v>654</v>
      </c>
      <c r="G128" s="157">
        <v>5</v>
      </c>
      <c r="H128" s="157" t="s">
        <v>24</v>
      </c>
      <c r="I128" s="175">
        <v>5</v>
      </c>
      <c r="J128" s="176"/>
      <c r="K128" s="176"/>
      <c r="L128" s="177"/>
      <c r="M128" s="163">
        <v>1</v>
      </c>
      <c r="N128" s="166">
        <v>4680</v>
      </c>
      <c r="O128" s="173">
        <v>0.17</v>
      </c>
      <c r="P128" s="166">
        <f t="shared" ref="P128:P133" si="32">N128*(1-O128)</f>
        <v>3884.3999999999996</v>
      </c>
      <c r="Q128" s="166">
        <f t="shared" si="28"/>
        <v>19422</v>
      </c>
      <c r="R128" s="184">
        <f t="shared" si="29"/>
        <v>9.4645082402914957E-2</v>
      </c>
      <c r="S128" s="503">
        <f t="shared" si="30"/>
        <v>19422</v>
      </c>
      <c r="T128" s="394">
        <f t="shared" si="31"/>
        <v>19422</v>
      </c>
      <c r="X128" s="286"/>
      <c r="Y128" s="394">
        <f>S128</f>
        <v>19422</v>
      </c>
      <c r="Z128" s="395"/>
      <c r="AA128" s="169">
        <f>S128</f>
        <v>19422</v>
      </c>
      <c r="AF128" s="286"/>
    </row>
    <row r="129" spans="1:32" x14ac:dyDescent="0.3">
      <c r="A129" s="157" t="s">
        <v>1074</v>
      </c>
      <c r="B129" s="157" t="s">
        <v>237</v>
      </c>
      <c r="C129" s="157" t="s">
        <v>1075</v>
      </c>
      <c r="D129" s="157" t="s">
        <v>102</v>
      </c>
      <c r="E129" s="157" t="s">
        <v>518</v>
      </c>
      <c r="F129" s="158" t="s">
        <v>521</v>
      </c>
      <c r="G129" s="157">
        <v>2</v>
      </c>
      <c r="H129" s="157" t="s">
        <v>24</v>
      </c>
      <c r="I129" s="175">
        <v>2</v>
      </c>
      <c r="J129" s="688"/>
      <c r="K129" s="1648"/>
      <c r="L129" s="1649"/>
      <c r="M129" s="163">
        <v>1</v>
      </c>
      <c r="N129" s="166">
        <v>4740</v>
      </c>
      <c r="O129" s="173">
        <v>0.2</v>
      </c>
      <c r="P129" s="166">
        <f t="shared" si="32"/>
        <v>3792</v>
      </c>
      <c r="Q129" s="166">
        <f t="shared" si="28"/>
        <v>7584</v>
      </c>
      <c r="R129" s="167">
        <f t="shared" si="29"/>
        <v>3.6957486610220733E-2</v>
      </c>
      <c r="S129" s="503">
        <f t="shared" si="30"/>
        <v>7584</v>
      </c>
      <c r="T129" s="394">
        <f>S129</f>
        <v>7584</v>
      </c>
      <c r="X129" s="286"/>
      <c r="Y129" s="394"/>
      <c r="Z129" s="395">
        <f>S129</f>
        <v>7584</v>
      </c>
      <c r="AB129" s="169">
        <f>S129</f>
        <v>7584</v>
      </c>
      <c r="AF129" s="286"/>
    </row>
    <row r="130" spans="1:32" x14ac:dyDescent="0.3">
      <c r="A130" s="157" t="s">
        <v>1074</v>
      </c>
      <c r="B130" s="157" t="s">
        <v>20</v>
      </c>
      <c r="C130" s="157" t="s">
        <v>1075</v>
      </c>
      <c r="D130" s="157" t="s">
        <v>100</v>
      </c>
      <c r="E130" s="157" t="s">
        <v>518</v>
      </c>
      <c r="F130" s="158" t="s">
        <v>521</v>
      </c>
      <c r="G130" s="157">
        <v>5</v>
      </c>
      <c r="H130" s="157" t="s">
        <v>24</v>
      </c>
      <c r="I130" s="182">
        <v>5</v>
      </c>
      <c r="J130" s="1648"/>
      <c r="K130" s="176">
        <v>5</v>
      </c>
      <c r="L130" s="1649"/>
      <c r="M130" s="163">
        <v>2</v>
      </c>
      <c r="N130" s="166">
        <v>5929</v>
      </c>
      <c r="O130" s="173">
        <v>0.6</v>
      </c>
      <c r="P130" s="166">
        <f t="shared" si="32"/>
        <v>2371.6</v>
      </c>
      <c r="Q130" s="166">
        <f t="shared" si="28"/>
        <v>23716</v>
      </c>
      <c r="R130" s="167">
        <f t="shared" si="29"/>
        <v>0.11557011503797401</v>
      </c>
      <c r="S130" s="503">
        <f t="shared" si="30"/>
        <v>23716</v>
      </c>
      <c r="T130" s="394"/>
      <c r="U130" s="169">
        <f>S130</f>
        <v>23716</v>
      </c>
      <c r="V130" s="169"/>
      <c r="X130" s="286"/>
      <c r="Y130" s="394"/>
      <c r="Z130" s="395">
        <f>S130</f>
        <v>23716</v>
      </c>
      <c r="AC130" s="169">
        <f>S130</f>
        <v>23716</v>
      </c>
      <c r="AF130" s="286"/>
    </row>
    <row r="131" spans="1:32" x14ac:dyDescent="0.3">
      <c r="A131" s="157" t="s">
        <v>1074</v>
      </c>
      <c r="B131" s="157" t="s">
        <v>238</v>
      </c>
      <c r="C131" s="157" t="s">
        <v>1075</v>
      </c>
      <c r="D131" s="157" t="s">
        <v>208</v>
      </c>
      <c r="E131" s="157" t="s">
        <v>520</v>
      </c>
      <c r="F131" s="158" t="s">
        <v>552</v>
      </c>
      <c r="G131" s="157">
        <v>14</v>
      </c>
      <c r="H131" s="157" t="s">
        <v>63</v>
      </c>
      <c r="I131" s="1650"/>
      <c r="J131" s="1651"/>
      <c r="K131" s="725">
        <v>14</v>
      </c>
      <c r="L131" s="2209"/>
      <c r="M131" s="163">
        <v>1</v>
      </c>
      <c r="N131" s="166">
        <v>1584</v>
      </c>
      <c r="O131" s="173">
        <v>0.16</v>
      </c>
      <c r="P131" s="166">
        <f t="shared" si="32"/>
        <v>1330.56</v>
      </c>
      <c r="Q131" s="166">
        <f t="shared" si="28"/>
        <v>18627.84</v>
      </c>
      <c r="R131" s="184">
        <f t="shared" si="29"/>
        <v>9.0775072175281399E-2</v>
      </c>
      <c r="S131" s="503">
        <f t="shared" si="30"/>
        <v>18627.84</v>
      </c>
      <c r="T131" s="394">
        <f t="shared" ref="T131" si="33">S131</f>
        <v>18627.84</v>
      </c>
      <c r="X131" s="286"/>
      <c r="Y131" s="394">
        <f>S131</f>
        <v>18627.84</v>
      </c>
      <c r="Z131" s="395"/>
      <c r="AD131" s="169">
        <f>S131</f>
        <v>18627.84</v>
      </c>
      <c r="AF131" s="286"/>
    </row>
    <row r="132" spans="1:32" x14ac:dyDescent="0.3">
      <c r="A132" s="157" t="s">
        <v>1074</v>
      </c>
      <c r="B132" s="157" t="s">
        <v>179</v>
      </c>
      <c r="C132" s="157" t="s">
        <v>592</v>
      </c>
      <c r="D132" s="157" t="s">
        <v>50</v>
      </c>
      <c r="E132" s="157" t="s">
        <v>520</v>
      </c>
      <c r="F132" s="158" t="s">
        <v>787</v>
      </c>
      <c r="G132" s="157">
        <v>15</v>
      </c>
      <c r="H132" s="157" t="s">
        <v>24</v>
      </c>
      <c r="I132" s="175">
        <v>15</v>
      </c>
      <c r="J132" s="176"/>
      <c r="K132" s="176"/>
      <c r="L132" s="177"/>
      <c r="M132" s="163">
        <v>1</v>
      </c>
      <c r="N132" s="166">
        <v>4417</v>
      </c>
      <c r="O132" s="173">
        <v>0.4</v>
      </c>
      <c r="P132" s="166">
        <f t="shared" si="32"/>
        <v>2650.2</v>
      </c>
      <c r="Q132" s="166">
        <f t="shared" si="28"/>
        <v>39753</v>
      </c>
      <c r="R132" s="184">
        <f t="shared" si="29"/>
        <v>0.1937198002658366</v>
      </c>
      <c r="S132" s="503">
        <f t="shared" si="30"/>
        <v>39753</v>
      </c>
      <c r="T132" s="394">
        <f>S132</f>
        <v>39753</v>
      </c>
      <c r="V132" s="169"/>
      <c r="X132" s="286"/>
      <c r="Y132" s="394">
        <f>S132</f>
        <v>39753</v>
      </c>
      <c r="Z132" s="286"/>
      <c r="AF132" s="286"/>
    </row>
    <row r="133" spans="1:32" x14ac:dyDescent="0.3">
      <c r="A133" s="157" t="s">
        <v>1074</v>
      </c>
      <c r="B133" s="157" t="s">
        <v>41</v>
      </c>
      <c r="C133" s="157" t="s">
        <v>525</v>
      </c>
      <c r="D133" s="157" t="s">
        <v>168</v>
      </c>
      <c r="E133" s="157" t="s">
        <v>520</v>
      </c>
      <c r="F133" s="158" t="s">
        <v>787</v>
      </c>
      <c r="G133" s="157">
        <v>12</v>
      </c>
      <c r="H133" s="157" t="s">
        <v>63</v>
      </c>
      <c r="I133" s="159">
        <v>12</v>
      </c>
      <c r="J133" s="806"/>
      <c r="K133" s="725">
        <v>12</v>
      </c>
      <c r="L133" s="2209"/>
      <c r="M133" s="163">
        <v>2</v>
      </c>
      <c r="N133" s="166">
        <v>1600</v>
      </c>
      <c r="O133" s="173">
        <v>0.7</v>
      </c>
      <c r="P133" s="166">
        <f t="shared" si="32"/>
        <v>480.00000000000006</v>
      </c>
      <c r="Q133" s="166">
        <f t="shared" si="28"/>
        <v>11520.000000000002</v>
      </c>
      <c r="R133" s="184">
        <f t="shared" si="29"/>
        <v>5.6137954344639092E-2</v>
      </c>
      <c r="S133" s="503">
        <f t="shared" si="30"/>
        <v>11520.000000000002</v>
      </c>
      <c r="T133" s="394"/>
      <c r="V133" s="169">
        <f>S133</f>
        <v>11520.000000000002</v>
      </c>
      <c r="X133" s="286"/>
      <c r="Y133" s="394">
        <f>S133</f>
        <v>11520.000000000002</v>
      </c>
      <c r="Z133" s="286"/>
      <c r="AF133" s="286"/>
    </row>
    <row r="134" spans="1:32" x14ac:dyDescent="0.3">
      <c r="A134" s="172"/>
      <c r="B134" s="157"/>
      <c r="C134" s="190"/>
      <c r="D134" s="190"/>
      <c r="E134" s="190"/>
      <c r="F134" s="191"/>
      <c r="G134" s="190"/>
      <c r="H134" s="190"/>
      <c r="I134" s="245"/>
      <c r="J134" s="245"/>
      <c r="K134" s="245"/>
      <c r="L134" s="287"/>
      <c r="M134" s="190"/>
      <c r="N134" s="194"/>
      <c r="O134" s="195"/>
      <c r="P134" s="194"/>
      <c r="Q134" s="166"/>
      <c r="R134" s="393"/>
      <c r="S134" s="503"/>
      <c r="T134" s="188"/>
      <c r="X134" s="286"/>
      <c r="Y134" s="188"/>
      <c r="Z134" s="286"/>
      <c r="AF134" s="286"/>
    </row>
    <row r="135" spans="1:32" x14ac:dyDescent="0.3">
      <c r="A135" s="108" t="s">
        <v>1074</v>
      </c>
      <c r="B135" s="108" t="s">
        <v>528</v>
      </c>
      <c r="C135" s="289"/>
      <c r="D135" s="252"/>
      <c r="E135" s="252"/>
      <c r="F135" s="253"/>
      <c r="G135" s="252"/>
      <c r="H135" s="252"/>
      <c r="I135" s="254"/>
      <c r="J135" s="254"/>
      <c r="K135" s="254"/>
      <c r="L135" s="254"/>
      <c r="M135" s="252"/>
      <c r="N135" s="255"/>
      <c r="O135" s="256"/>
      <c r="P135" s="290"/>
      <c r="Q135" s="257"/>
      <c r="R135" s="291">
        <f>Q135/Q138</f>
        <v>0</v>
      </c>
      <c r="S135" s="503"/>
      <c r="T135" s="188"/>
      <c r="W135" s="169">
        <f>S135</f>
        <v>0</v>
      </c>
      <c r="X135" s="286"/>
      <c r="Y135" s="188"/>
      <c r="Z135" s="286"/>
      <c r="AF135" s="286"/>
    </row>
    <row r="136" spans="1:32" x14ac:dyDescent="0.3">
      <c r="A136" s="108" t="s">
        <v>1074</v>
      </c>
      <c r="B136" s="108" t="s">
        <v>529</v>
      </c>
      <c r="C136" s="289"/>
      <c r="D136" s="252"/>
      <c r="E136" s="252"/>
      <c r="F136" s="253"/>
      <c r="G136" s="252"/>
      <c r="H136" s="252"/>
      <c r="I136" s="254"/>
      <c r="J136" s="254"/>
      <c r="K136" s="254"/>
      <c r="L136" s="254"/>
      <c r="M136" s="252"/>
      <c r="N136" s="255"/>
      <c r="O136" s="256"/>
      <c r="P136" s="290"/>
      <c r="Q136" s="257">
        <v>25000</v>
      </c>
      <c r="R136" s="291">
        <f>Q136/Q138</f>
        <v>0.13972950157033603</v>
      </c>
      <c r="S136" s="503">
        <f>Q136</f>
        <v>25000</v>
      </c>
      <c r="T136" s="188"/>
      <c r="X136" s="395">
        <f>S136</f>
        <v>25000</v>
      </c>
      <c r="Y136" s="188"/>
      <c r="Z136" s="286"/>
      <c r="AF136" s="286"/>
    </row>
    <row r="137" spans="1:32" x14ac:dyDescent="0.3">
      <c r="I137" s="115">
        <f>I138/M138</f>
        <v>0.67021276595744683</v>
      </c>
      <c r="J137" s="115"/>
      <c r="K137" s="115">
        <f>K138/M138</f>
        <v>0.32978723404255317</v>
      </c>
      <c r="S137" s="166"/>
      <c r="T137" s="188"/>
      <c r="X137" s="286"/>
      <c r="Y137" s="188"/>
      <c r="Z137" s="286"/>
      <c r="AA137" s="245"/>
      <c r="AB137" s="245"/>
      <c r="AC137" s="245"/>
      <c r="AD137" s="245"/>
      <c r="AE137" s="245"/>
      <c r="AF137" s="287"/>
    </row>
    <row r="138" spans="1:32" x14ac:dyDescent="0.3">
      <c r="A138" s="789" t="s">
        <v>531</v>
      </c>
      <c r="B138" s="790"/>
      <c r="C138" s="790"/>
      <c r="D138" s="790"/>
      <c r="E138" s="790"/>
      <c r="F138" s="791"/>
      <c r="G138" s="790"/>
      <c r="H138" s="790"/>
      <c r="I138" s="790">
        <f>I132+I130+I129+I128+I127+I126+I133</f>
        <v>63</v>
      </c>
      <c r="J138" s="790"/>
      <c r="K138" s="790">
        <f>K131+K130+K133</f>
        <v>31</v>
      </c>
      <c r="L138" s="790"/>
      <c r="M138" s="790">
        <f>SUM(I138:L138)</f>
        <v>94</v>
      </c>
      <c r="N138" s="793"/>
      <c r="O138" s="794"/>
      <c r="P138" s="793"/>
      <c r="Q138" s="795">
        <f>SUM(Q125:Q137)</f>
        <v>178917.12</v>
      </c>
      <c r="R138" s="794">
        <f>SUM(R125:R136)</f>
        <v>0.88978091263095538</v>
      </c>
      <c r="S138" s="1599">
        <f>SUM(S125:S137)</f>
        <v>178917.12</v>
      </c>
      <c r="T138" s="1600">
        <f t="shared" ref="T138:Z138" si="34">SUM(T125:T136)</f>
        <v>118681.12</v>
      </c>
      <c r="U138" s="585">
        <f t="shared" si="34"/>
        <v>23716</v>
      </c>
      <c r="V138" s="585">
        <f t="shared" si="34"/>
        <v>11520.000000000002</v>
      </c>
      <c r="W138" s="585">
        <f t="shared" si="34"/>
        <v>0</v>
      </c>
      <c r="X138" s="585">
        <f t="shared" si="34"/>
        <v>25000</v>
      </c>
      <c r="Y138" s="1601">
        <f t="shared" si="34"/>
        <v>108676.44</v>
      </c>
      <c r="Z138" s="1602">
        <f t="shared" si="34"/>
        <v>45240.68</v>
      </c>
      <c r="AA138" s="1604">
        <f>SUM(AA126:AA137)</f>
        <v>52716.28</v>
      </c>
      <c r="AB138" s="1604">
        <f>SUM(AB126:AB137)</f>
        <v>7584</v>
      </c>
      <c r="AC138" s="1604">
        <f>SUM(AC126:AC137)</f>
        <v>23716</v>
      </c>
      <c r="AD138" s="1604">
        <f>SUM(AD126:AD137)</f>
        <v>18627.84</v>
      </c>
      <c r="AE138" s="1604"/>
      <c r="AF138" s="1605"/>
    </row>
    <row r="139" spans="1:32" x14ac:dyDescent="0.3">
      <c r="A139" s="789" t="s">
        <v>532</v>
      </c>
      <c r="B139" s="790"/>
      <c r="C139" s="790"/>
      <c r="D139" s="790"/>
      <c r="E139" s="790"/>
      <c r="F139" s="791"/>
      <c r="G139" s="790"/>
      <c r="H139" s="790"/>
      <c r="I139" s="790">
        <f>I132+I130+I129+I128+I127+I126</f>
        <v>51</v>
      </c>
      <c r="J139" s="790">
        <f>I132+I129+I127++I126+I128</f>
        <v>46</v>
      </c>
      <c r="K139" s="790">
        <f>I132+K131+K130+I128+I127</f>
        <v>43</v>
      </c>
      <c r="L139" s="790"/>
      <c r="M139" s="790">
        <f>SUM(I139:L139)</f>
        <v>140</v>
      </c>
      <c r="N139" s="793"/>
      <c r="O139" s="794"/>
      <c r="P139" s="793"/>
      <c r="Q139" s="793"/>
      <c r="R139" s="794"/>
      <c r="S139" s="1606"/>
      <c r="T139" s="1607">
        <f>T138/S138</f>
        <v>0.6633301497363695</v>
      </c>
      <c r="U139" s="1608">
        <f>U138/S138</f>
        <v>0.13255299436968357</v>
      </c>
      <c r="V139" s="1608">
        <f>V138/S138</f>
        <v>6.4387354323610854E-2</v>
      </c>
      <c r="W139" s="1608">
        <f>W138/S138</f>
        <v>0</v>
      </c>
      <c r="X139" s="1608">
        <f>X138/S138</f>
        <v>0.13972950157033603</v>
      </c>
      <c r="Y139" s="788">
        <f>Y138/S138</f>
        <v>0.60741219174554117</v>
      </c>
      <c r="Z139" s="1610">
        <f>Z138/S138</f>
        <v>0.25285830668412279</v>
      </c>
      <c r="AA139" s="1612"/>
      <c r="AB139" s="1612"/>
      <c r="AC139" s="1612"/>
      <c r="AD139" s="1612"/>
      <c r="AE139" s="1612"/>
      <c r="AF139" s="1613"/>
    </row>
    <row r="140" spans="1:32" x14ac:dyDescent="0.3">
      <c r="A140" s="251" t="s">
        <v>533</v>
      </c>
      <c r="B140" s="252"/>
      <c r="C140" s="252"/>
      <c r="D140" s="252"/>
      <c r="E140" s="252"/>
      <c r="F140" s="253"/>
      <c r="G140" s="252"/>
      <c r="H140" s="252"/>
      <c r="I140" s="2188">
        <f>I139/$M$139</f>
        <v>0.36428571428571427</v>
      </c>
      <c r="J140" s="2188">
        <f t="shared" ref="J140:K140" si="35">J139/$M$139</f>
        <v>0.32857142857142857</v>
      </c>
      <c r="K140" s="2188">
        <f t="shared" si="35"/>
        <v>0.30714285714285716</v>
      </c>
      <c r="L140" s="254"/>
      <c r="M140" s="252"/>
      <c r="N140" s="255"/>
      <c r="O140" s="256"/>
      <c r="P140" s="255"/>
      <c r="Q140" s="257">
        <f>T138</f>
        <v>118681.12</v>
      </c>
      <c r="R140" s="262">
        <f>Q140/Q145</f>
        <v>0.6633301497363695</v>
      </c>
      <c r="X140" s="248"/>
      <c r="Y140" s="357">
        <f>I126+I128+K131+I132+I133+K133</f>
        <v>78</v>
      </c>
      <c r="Z140" s="358">
        <f>I127+I129+I130+K130</f>
        <v>16</v>
      </c>
    </row>
    <row r="141" spans="1:32" x14ac:dyDescent="0.3">
      <c r="A141" s="251" t="s">
        <v>11</v>
      </c>
      <c r="B141" s="252"/>
      <c r="C141" s="252"/>
      <c r="D141" s="252"/>
      <c r="E141" s="252"/>
      <c r="F141" s="253"/>
      <c r="G141" s="252"/>
      <c r="H141" s="252"/>
      <c r="I141" s="254"/>
      <c r="J141" s="254"/>
      <c r="K141" s="254"/>
      <c r="L141" s="254"/>
      <c r="M141" s="252"/>
      <c r="N141" s="255"/>
      <c r="O141" s="256"/>
      <c r="P141" s="255"/>
      <c r="Q141" s="257">
        <f>U138</f>
        <v>23716</v>
      </c>
      <c r="R141" s="262">
        <f>Q141/Q145</f>
        <v>0.13255299436968357</v>
      </c>
      <c r="S141" s="1068">
        <f>Q138/M138</f>
        <v>1903.3736170212765</v>
      </c>
      <c r="T141" s="1069" t="s">
        <v>535</v>
      </c>
      <c r="Y141" s="195">
        <f>Y140/M138</f>
        <v>0.82978723404255317</v>
      </c>
      <c r="Z141" s="247">
        <f>Z140/M138</f>
        <v>0.1702127659574468</v>
      </c>
    </row>
    <row r="142" spans="1:32" x14ac:dyDescent="0.3">
      <c r="A142" s="251" t="s">
        <v>536</v>
      </c>
      <c r="B142" s="252"/>
      <c r="C142" s="252"/>
      <c r="D142" s="252"/>
      <c r="E142" s="252"/>
      <c r="F142" s="253"/>
      <c r="G142" s="252"/>
      <c r="H142" s="252"/>
      <c r="I142" s="254"/>
      <c r="J142" s="254"/>
      <c r="K142" s="254"/>
      <c r="L142" s="254"/>
      <c r="M142" s="252"/>
      <c r="N142" s="255"/>
      <c r="O142" s="256"/>
      <c r="P142" s="255"/>
      <c r="Q142" s="257">
        <f>V138</f>
        <v>11520.000000000002</v>
      </c>
      <c r="R142" s="262">
        <f>Q142/Q145</f>
        <v>6.4387354323610854E-2</v>
      </c>
      <c r="W142" s="99"/>
      <c r="Y142" s="2551" t="s">
        <v>537</v>
      </c>
      <c r="Z142" s="2551"/>
    </row>
    <row r="143" spans="1:32" x14ac:dyDescent="0.3">
      <c r="A143" s="251" t="s">
        <v>529</v>
      </c>
      <c r="B143" s="252"/>
      <c r="C143" s="252"/>
      <c r="D143" s="252"/>
      <c r="E143" s="252"/>
      <c r="F143" s="253"/>
      <c r="G143" s="252"/>
      <c r="H143" s="252"/>
      <c r="I143" s="254"/>
      <c r="J143" s="254"/>
      <c r="K143" s="254"/>
      <c r="L143" s="254"/>
      <c r="M143" s="252"/>
      <c r="N143" s="255"/>
      <c r="O143" s="256"/>
      <c r="P143" s="255"/>
      <c r="Q143" s="257">
        <f>X138</f>
        <v>25000</v>
      </c>
      <c r="R143" s="262">
        <f>Q143/Q145</f>
        <v>0.13972950157033603</v>
      </c>
    </row>
    <row r="144" spans="1:32" x14ac:dyDescent="0.3">
      <c r="A144" s="251" t="s">
        <v>528</v>
      </c>
      <c r="B144" s="252"/>
      <c r="C144" s="252"/>
      <c r="D144" s="252"/>
      <c r="E144" s="252"/>
      <c r="F144" s="253"/>
      <c r="G144" s="252"/>
      <c r="H144" s="252"/>
      <c r="I144" s="254"/>
      <c r="J144" s="254"/>
      <c r="K144" s="254"/>
      <c r="L144" s="254"/>
      <c r="M144" s="252"/>
      <c r="N144" s="255"/>
      <c r="O144" s="256"/>
      <c r="P144" s="255"/>
      <c r="Q144" s="257">
        <f>W138</f>
        <v>0</v>
      </c>
      <c r="R144" s="262">
        <f>Q144/Q145</f>
        <v>0</v>
      </c>
    </row>
    <row r="145" spans="1:32" x14ac:dyDescent="0.3">
      <c r="A145" s="251"/>
      <c r="B145" s="252"/>
      <c r="C145" s="252"/>
      <c r="D145" s="252"/>
      <c r="E145" s="252"/>
      <c r="F145" s="253"/>
      <c r="G145" s="252"/>
      <c r="H145" s="252"/>
      <c r="I145" s="254"/>
      <c r="J145" s="254"/>
      <c r="K145" s="254"/>
      <c r="L145" s="254"/>
      <c r="M145" s="252"/>
      <c r="N145" s="255"/>
      <c r="O145" s="256"/>
      <c r="P145" s="255"/>
      <c r="Q145" s="264">
        <f>SUM(Q140:Q144)</f>
        <v>178917.12</v>
      </c>
      <c r="R145" s="262">
        <f>SUM(R140:R144)</f>
        <v>1</v>
      </c>
    </row>
    <row r="149" spans="1:32" x14ac:dyDescent="0.3">
      <c r="E149" s="1" t="s">
        <v>562</v>
      </c>
      <c r="F149" s="2" t="s">
        <v>702</v>
      </c>
    </row>
    <row r="150" spans="1:32" x14ac:dyDescent="0.3">
      <c r="E150" s="1" t="s">
        <v>473</v>
      </c>
      <c r="F150" s="2" t="s">
        <v>617</v>
      </c>
    </row>
    <row r="151" spans="1:32" x14ac:dyDescent="0.3">
      <c r="E151" s="1" t="s">
        <v>475</v>
      </c>
      <c r="F151" s="2" t="s">
        <v>1014</v>
      </c>
    </row>
    <row r="152" spans="1:32" x14ac:dyDescent="0.3">
      <c r="E152" s="1" t="s">
        <v>477</v>
      </c>
      <c r="F152" s="2" t="s">
        <v>1080</v>
      </c>
    </row>
    <row r="154" spans="1:32" ht="18" x14ac:dyDescent="0.35">
      <c r="A154" s="1037" t="s">
        <v>567</v>
      </c>
    </row>
    <row r="155" spans="1:32" ht="18" x14ac:dyDescent="0.35">
      <c r="A155" s="1037"/>
    </row>
    <row r="156" spans="1:32" x14ac:dyDescent="0.3">
      <c r="A156" s="2587" t="s">
        <v>480</v>
      </c>
      <c r="B156" s="2588"/>
      <c r="C156" s="2588"/>
      <c r="D156" s="2588"/>
      <c r="E156" s="2588"/>
      <c r="F156" s="2588"/>
      <c r="G156" s="2588"/>
      <c r="H156" s="2588"/>
      <c r="I156" s="2588"/>
      <c r="J156" s="2588"/>
      <c r="K156" s="2588"/>
      <c r="L156" s="2588"/>
      <c r="M156" s="2588"/>
      <c r="N156" s="2588"/>
      <c r="O156" s="2588"/>
      <c r="P156" s="2588"/>
      <c r="Q156" s="2588"/>
      <c r="R156" s="2589"/>
      <c r="S156" s="2563" t="s">
        <v>584</v>
      </c>
      <c r="T156" s="2564"/>
      <c r="U156" s="2564"/>
      <c r="V156" s="2564"/>
      <c r="W156" s="2564"/>
      <c r="X156" s="2564"/>
      <c r="Y156" s="2564"/>
      <c r="Z156" s="2564"/>
      <c r="AA156" s="2564"/>
      <c r="AB156" s="2564"/>
      <c r="AC156" s="2564"/>
      <c r="AD156" s="2564"/>
      <c r="AE156" s="2564"/>
      <c r="AF156" s="2576"/>
    </row>
    <row r="157" spans="1:32" ht="18" x14ac:dyDescent="0.3">
      <c r="A157" s="2801" t="s">
        <v>482</v>
      </c>
      <c r="B157" s="2801" t="s">
        <v>483</v>
      </c>
      <c r="C157" s="2801" t="s">
        <v>484</v>
      </c>
      <c r="D157" s="2801" t="s">
        <v>555</v>
      </c>
      <c r="E157" s="2801" t="s">
        <v>556</v>
      </c>
      <c r="F157" s="2803" t="s">
        <v>487</v>
      </c>
      <c r="G157" s="2801" t="s">
        <v>557</v>
      </c>
      <c r="H157" s="2801" t="s">
        <v>489</v>
      </c>
      <c r="I157" s="106" t="s">
        <v>490</v>
      </c>
      <c r="J157" s="106"/>
      <c r="K157" s="106"/>
      <c r="L157" s="106"/>
      <c r="M157" s="1637" t="s">
        <v>491</v>
      </c>
      <c r="N157" s="1638" t="s">
        <v>558</v>
      </c>
      <c r="O157" s="1639" t="s">
        <v>493</v>
      </c>
      <c r="P157" s="1638" t="s">
        <v>558</v>
      </c>
      <c r="Q157" s="1638" t="s">
        <v>559</v>
      </c>
      <c r="R157" s="2802" t="s">
        <v>495</v>
      </c>
      <c r="S157" s="1074" t="s">
        <v>496</v>
      </c>
      <c r="T157" s="2552" t="s">
        <v>497</v>
      </c>
      <c r="U157" s="2553"/>
      <c r="V157" s="2553"/>
      <c r="W157" s="2553"/>
      <c r="X157" s="2553"/>
      <c r="Y157" s="2552" t="s">
        <v>498</v>
      </c>
      <c r="Z157" s="2553"/>
      <c r="AA157" s="2552" t="s">
        <v>499</v>
      </c>
      <c r="AB157" s="2553"/>
      <c r="AC157" s="2553"/>
      <c r="AD157" s="2553"/>
      <c r="AE157" s="2553"/>
      <c r="AF157" s="2556"/>
    </row>
    <row r="158" spans="1:32" ht="18" x14ac:dyDescent="0.3">
      <c r="A158" s="2216"/>
      <c r="B158" s="2216"/>
      <c r="C158" s="2216"/>
      <c r="D158" s="2216"/>
      <c r="E158" s="2216"/>
      <c r="F158" s="2214"/>
      <c r="G158" s="2216"/>
      <c r="H158" s="2216"/>
      <c r="I158" s="106" t="s">
        <v>500</v>
      </c>
      <c r="J158" s="106" t="s">
        <v>501</v>
      </c>
      <c r="K158" s="106" t="s">
        <v>502</v>
      </c>
      <c r="L158" s="106" t="s">
        <v>503</v>
      </c>
      <c r="M158" s="379" t="s">
        <v>504</v>
      </c>
      <c r="N158" s="380" t="s">
        <v>505</v>
      </c>
      <c r="O158" s="381" t="s">
        <v>506</v>
      </c>
      <c r="P158" s="380" t="s">
        <v>507</v>
      </c>
      <c r="Q158" s="380" t="s">
        <v>560</v>
      </c>
      <c r="R158" s="2771"/>
      <c r="S158" s="1074" t="s">
        <v>508</v>
      </c>
      <c r="T158" s="2773"/>
      <c r="U158" s="2772"/>
      <c r="V158" s="2772"/>
      <c r="W158" s="2772"/>
      <c r="X158" s="2772"/>
      <c r="Y158" s="2773"/>
      <c r="Z158" s="2772"/>
      <c r="AA158" s="2773"/>
      <c r="AB158" s="2772"/>
      <c r="AC158" s="2772"/>
      <c r="AD158" s="2772"/>
      <c r="AE158" s="2772"/>
      <c r="AF158" s="2774"/>
    </row>
    <row r="159" spans="1:32" ht="18" x14ac:dyDescent="0.35">
      <c r="A159" s="2449" t="s">
        <v>568</v>
      </c>
      <c r="B159" s="2450"/>
      <c r="C159" s="2450"/>
      <c r="D159" s="2450"/>
      <c r="E159" s="2450"/>
      <c r="F159" s="2450"/>
      <c r="G159" s="2450"/>
      <c r="H159" s="2450"/>
      <c r="I159" s="2450"/>
      <c r="J159" s="2450"/>
      <c r="K159" s="2450"/>
      <c r="L159" s="2450"/>
      <c r="M159" s="2450"/>
      <c r="N159" s="2450"/>
      <c r="O159" s="2450"/>
      <c r="P159" s="2450"/>
      <c r="Q159" s="2450"/>
      <c r="R159" s="2450"/>
      <c r="S159" s="1577"/>
      <c r="T159" s="1553" t="s">
        <v>510</v>
      </c>
      <c r="U159" s="1554" t="s">
        <v>11</v>
      </c>
      <c r="V159" s="1554" t="s">
        <v>511</v>
      </c>
      <c r="W159" s="1554" t="s">
        <v>512</v>
      </c>
      <c r="X159" s="1578" t="s">
        <v>513</v>
      </c>
      <c r="Y159" s="1553" t="s">
        <v>514</v>
      </c>
      <c r="Z159" s="1578" t="s">
        <v>515</v>
      </c>
      <c r="AA159" s="1553" t="s">
        <v>233</v>
      </c>
      <c r="AB159" s="1554" t="s">
        <v>234</v>
      </c>
      <c r="AC159" s="1554" t="s">
        <v>1</v>
      </c>
      <c r="AD159" s="1554" t="s">
        <v>235</v>
      </c>
      <c r="AE159" s="1554" t="s">
        <v>139</v>
      </c>
      <c r="AF159" s="1578" t="s">
        <v>5</v>
      </c>
    </row>
    <row r="160" spans="1:32" x14ac:dyDescent="0.3">
      <c r="A160" s="154"/>
      <c r="B160" s="462"/>
      <c r="C160" s="462"/>
      <c r="D160" s="462"/>
      <c r="E160" s="462"/>
      <c r="F160" s="463"/>
      <c r="G160" s="462"/>
      <c r="H160" s="462"/>
      <c r="I160" s="465"/>
      <c r="J160" s="465"/>
      <c r="K160" s="465"/>
      <c r="L160" s="465"/>
      <c r="M160" s="462"/>
      <c r="N160" s="468"/>
      <c r="O160" s="469"/>
      <c r="P160" s="468"/>
      <c r="Q160" s="468"/>
      <c r="R160" s="532"/>
      <c r="S160" s="166"/>
      <c r="T160" s="188"/>
      <c r="X160" s="286"/>
      <c r="Y160" s="188"/>
      <c r="Z160" s="286"/>
      <c r="AA160" s="464"/>
      <c r="AB160" s="465"/>
      <c r="AC160" s="465"/>
      <c r="AD160" s="465"/>
      <c r="AE160" s="465"/>
      <c r="AF160" s="466"/>
    </row>
    <row r="161" spans="1:32" x14ac:dyDescent="0.3">
      <c r="A161" s="157" t="s">
        <v>1074</v>
      </c>
      <c r="B161" s="157" t="s">
        <v>236</v>
      </c>
      <c r="C161" s="157" t="s">
        <v>1075</v>
      </c>
      <c r="D161" s="157" t="s">
        <v>208</v>
      </c>
      <c r="E161" s="157" t="s">
        <v>520</v>
      </c>
      <c r="F161" s="158" t="s">
        <v>655</v>
      </c>
      <c r="G161" s="157">
        <v>10</v>
      </c>
      <c r="H161" s="157" t="s">
        <v>63</v>
      </c>
      <c r="I161" s="175">
        <v>10</v>
      </c>
      <c r="J161" s="688"/>
      <c r="L161" s="286"/>
      <c r="M161" s="163">
        <v>1</v>
      </c>
      <c r="N161" s="166">
        <v>1152</v>
      </c>
      <c r="O161" s="173">
        <v>0.16</v>
      </c>
      <c r="P161" s="166">
        <f>N161*(1-O161)</f>
        <v>967.68</v>
      </c>
      <c r="Q161" s="166">
        <f t="shared" ref="Q161:Q168" si="36">P161*M161*G161</f>
        <v>9676.7999999999993</v>
      </c>
      <c r="R161" s="184">
        <f t="shared" ref="R161:R168" si="37">Q161/$Q$173</f>
        <v>8.1796721520995694E-2</v>
      </c>
      <c r="S161" s="503">
        <f t="shared" ref="S161:S168" si="38">Q161*3</f>
        <v>29030.399999999998</v>
      </c>
      <c r="T161" s="394">
        <f t="shared" ref="T161:T163" si="39">S161</f>
        <v>29030.399999999998</v>
      </c>
      <c r="X161" s="286"/>
      <c r="Y161" s="394">
        <f>S161</f>
        <v>29030.399999999998</v>
      </c>
      <c r="Z161" s="395"/>
      <c r="AA161" s="394">
        <f>S161</f>
        <v>29030.399999999998</v>
      </c>
      <c r="AF161" s="286"/>
    </row>
    <row r="162" spans="1:32" x14ac:dyDescent="0.3">
      <c r="A162" s="157" t="s">
        <v>1074</v>
      </c>
      <c r="B162" s="157" t="s">
        <v>236</v>
      </c>
      <c r="C162" s="157" t="s">
        <v>1075</v>
      </c>
      <c r="D162" s="157" t="s">
        <v>102</v>
      </c>
      <c r="E162" s="157" t="s">
        <v>518</v>
      </c>
      <c r="F162" s="158" t="s">
        <v>551</v>
      </c>
      <c r="G162" s="157">
        <v>3</v>
      </c>
      <c r="H162" s="157" t="s">
        <v>24</v>
      </c>
      <c r="I162" s="2445">
        <v>3</v>
      </c>
      <c r="J162" s="726"/>
      <c r="K162" s="726"/>
      <c r="L162" s="727"/>
      <c r="M162" s="163">
        <v>1</v>
      </c>
      <c r="N162" s="166">
        <v>4199</v>
      </c>
      <c r="O162" s="173">
        <v>0.17</v>
      </c>
      <c r="P162" s="166">
        <f>N162*(1-O162)</f>
        <v>3485.1699999999996</v>
      </c>
      <c r="Q162" s="166">
        <f t="shared" si="36"/>
        <v>10455.509999999998</v>
      </c>
      <c r="R162" s="167">
        <f t="shared" si="37"/>
        <v>8.8379055041954535E-2</v>
      </c>
      <c r="S162" s="503">
        <f t="shared" si="38"/>
        <v>31366.529999999995</v>
      </c>
      <c r="T162" s="394">
        <f t="shared" si="39"/>
        <v>31366.529999999995</v>
      </c>
      <c r="X162" s="286"/>
      <c r="Y162" s="394"/>
      <c r="Z162" s="395">
        <f>S162</f>
        <v>31366.529999999995</v>
      </c>
      <c r="AA162" s="394">
        <f>S162</f>
        <v>31366.529999999995</v>
      </c>
      <c r="AF162" s="286"/>
    </row>
    <row r="163" spans="1:32" x14ac:dyDescent="0.3">
      <c r="A163" s="157" t="s">
        <v>1074</v>
      </c>
      <c r="B163" s="157" t="s">
        <v>236</v>
      </c>
      <c r="C163" s="157" t="s">
        <v>1075</v>
      </c>
      <c r="D163" s="157" t="s">
        <v>26</v>
      </c>
      <c r="E163" s="157" t="s">
        <v>520</v>
      </c>
      <c r="F163" s="158" t="s">
        <v>588</v>
      </c>
      <c r="G163" s="157">
        <v>3</v>
      </c>
      <c r="H163" s="157" t="s">
        <v>24</v>
      </c>
      <c r="I163" s="175">
        <v>3</v>
      </c>
      <c r="J163" s="176"/>
      <c r="K163" s="176"/>
      <c r="L163" s="177"/>
      <c r="M163" s="163">
        <v>1</v>
      </c>
      <c r="N163" s="166">
        <v>4680</v>
      </c>
      <c r="O163" s="173">
        <v>0.17</v>
      </c>
      <c r="P163" s="166">
        <f t="shared" ref="P163:P168" si="40">N163*(1-O163)</f>
        <v>3884.3999999999996</v>
      </c>
      <c r="Q163" s="166">
        <f t="shared" si="36"/>
        <v>11653.199999999999</v>
      </c>
      <c r="R163" s="184">
        <f t="shared" si="37"/>
        <v>9.8502971563788344E-2</v>
      </c>
      <c r="S163" s="503">
        <f t="shared" si="38"/>
        <v>34959.599999999999</v>
      </c>
      <c r="T163" s="394">
        <f t="shared" si="39"/>
        <v>34959.599999999999</v>
      </c>
      <c r="X163" s="286"/>
      <c r="Y163" s="394">
        <f>S163</f>
        <v>34959.599999999999</v>
      </c>
      <c r="Z163" s="395"/>
      <c r="AA163" s="394">
        <f>S163</f>
        <v>34959.599999999999</v>
      </c>
      <c r="AF163" s="286"/>
    </row>
    <row r="164" spans="1:32" x14ac:dyDescent="0.3">
      <c r="A164" s="157" t="s">
        <v>1074</v>
      </c>
      <c r="B164" s="157" t="s">
        <v>237</v>
      </c>
      <c r="C164" s="157" t="s">
        <v>1075</v>
      </c>
      <c r="D164" s="157" t="s">
        <v>102</v>
      </c>
      <c r="E164" s="157" t="s">
        <v>518</v>
      </c>
      <c r="F164" s="158" t="s">
        <v>551</v>
      </c>
      <c r="G164" s="157">
        <v>1</v>
      </c>
      <c r="H164" s="157" t="s">
        <v>24</v>
      </c>
      <c r="I164" s="175">
        <v>1</v>
      </c>
      <c r="J164" s="688"/>
      <c r="K164" s="1648"/>
      <c r="L164" s="1649"/>
      <c r="M164" s="163">
        <v>1</v>
      </c>
      <c r="N164" s="166">
        <v>4740</v>
      </c>
      <c r="O164" s="173">
        <v>0.2</v>
      </c>
      <c r="P164" s="166">
        <f t="shared" si="40"/>
        <v>3792</v>
      </c>
      <c r="Q164" s="166">
        <f t="shared" si="36"/>
        <v>3792</v>
      </c>
      <c r="R164" s="167">
        <f t="shared" si="37"/>
        <v>3.2053278770628274E-2</v>
      </c>
      <c r="S164" s="503">
        <f t="shared" si="38"/>
        <v>11376</v>
      </c>
      <c r="T164" s="394">
        <f>S164</f>
        <v>11376</v>
      </c>
      <c r="X164" s="286"/>
      <c r="Y164" s="394"/>
      <c r="Z164" s="395">
        <f>S164</f>
        <v>11376</v>
      </c>
      <c r="AA164" s="188"/>
      <c r="AB164" s="169">
        <f>S164</f>
        <v>11376</v>
      </c>
      <c r="AF164" s="286"/>
    </row>
    <row r="165" spans="1:32" x14ac:dyDescent="0.3">
      <c r="A165" s="157" t="s">
        <v>1074</v>
      </c>
      <c r="B165" s="157" t="s">
        <v>20</v>
      </c>
      <c r="C165" s="157" t="s">
        <v>1075</v>
      </c>
      <c r="D165" s="157" t="s">
        <v>100</v>
      </c>
      <c r="E165" s="157" t="s">
        <v>518</v>
      </c>
      <c r="F165" s="158" t="s">
        <v>551</v>
      </c>
      <c r="G165" s="157">
        <v>3</v>
      </c>
      <c r="H165" s="157" t="s">
        <v>24</v>
      </c>
      <c r="I165" s="182">
        <v>3</v>
      </c>
      <c r="J165" s="1648"/>
      <c r="K165" s="176">
        <v>3</v>
      </c>
      <c r="L165" s="1649"/>
      <c r="M165" s="163">
        <v>2</v>
      </c>
      <c r="N165" s="166">
        <v>5929</v>
      </c>
      <c r="O165" s="173">
        <v>0.6</v>
      </c>
      <c r="P165" s="166">
        <f t="shared" si="40"/>
        <v>2371.6</v>
      </c>
      <c r="Q165" s="166">
        <f t="shared" si="36"/>
        <v>14229.599999999999</v>
      </c>
      <c r="R165" s="167">
        <f t="shared" si="37"/>
        <v>0.12028094293104749</v>
      </c>
      <c r="S165" s="503">
        <f t="shared" si="38"/>
        <v>42688.799999999996</v>
      </c>
      <c r="T165" s="394"/>
      <c r="U165" s="169">
        <f>S165</f>
        <v>42688.799999999996</v>
      </c>
      <c r="V165" s="169"/>
      <c r="X165" s="286"/>
      <c r="Y165" s="394"/>
      <c r="Z165" s="395">
        <f>S165</f>
        <v>42688.799999999996</v>
      </c>
      <c r="AA165" s="188"/>
      <c r="AC165" s="169">
        <f>S165</f>
        <v>42688.799999999996</v>
      </c>
      <c r="AF165" s="286"/>
    </row>
    <row r="166" spans="1:32" x14ac:dyDescent="0.3">
      <c r="A166" s="157" t="s">
        <v>1074</v>
      </c>
      <c r="B166" s="157" t="s">
        <v>238</v>
      </c>
      <c r="C166" s="157" t="s">
        <v>1075</v>
      </c>
      <c r="D166" s="157" t="s">
        <v>208</v>
      </c>
      <c r="E166" s="157" t="s">
        <v>520</v>
      </c>
      <c r="F166" s="158" t="s">
        <v>655</v>
      </c>
      <c r="G166" s="157">
        <v>7</v>
      </c>
      <c r="H166" s="157" t="s">
        <v>63</v>
      </c>
      <c r="I166" s="1650"/>
      <c r="J166" s="1651"/>
      <c r="K166" s="725">
        <v>7</v>
      </c>
      <c r="L166" s="2209"/>
      <c r="M166" s="163">
        <v>1</v>
      </c>
      <c r="N166" s="166">
        <v>1584</v>
      </c>
      <c r="O166" s="173">
        <v>0.16</v>
      </c>
      <c r="P166" s="166">
        <f t="shared" si="40"/>
        <v>1330.56</v>
      </c>
      <c r="Q166" s="166">
        <f t="shared" si="36"/>
        <v>9313.92</v>
      </c>
      <c r="R166" s="184">
        <f t="shared" si="37"/>
        <v>7.8729344463958364E-2</v>
      </c>
      <c r="S166" s="503">
        <f t="shared" si="38"/>
        <v>27941.760000000002</v>
      </c>
      <c r="T166" s="394">
        <f t="shared" ref="T166" si="41">S166</f>
        <v>27941.760000000002</v>
      </c>
      <c r="X166" s="286"/>
      <c r="Y166" s="394">
        <f>S166</f>
        <v>27941.760000000002</v>
      </c>
      <c r="Z166" s="395"/>
      <c r="AA166" s="188"/>
      <c r="AD166" s="169">
        <f>S166</f>
        <v>27941.760000000002</v>
      </c>
      <c r="AF166" s="286"/>
    </row>
    <row r="167" spans="1:32" x14ac:dyDescent="0.3">
      <c r="A167" s="157" t="s">
        <v>1074</v>
      </c>
      <c r="B167" s="157" t="s">
        <v>179</v>
      </c>
      <c r="C167" s="157" t="s">
        <v>592</v>
      </c>
      <c r="D167" s="157" t="s">
        <v>50</v>
      </c>
      <c r="E167" s="157" t="s">
        <v>520</v>
      </c>
      <c r="F167" s="158" t="s">
        <v>1081</v>
      </c>
      <c r="G167" s="157">
        <v>10</v>
      </c>
      <c r="H167" s="157" t="s">
        <v>24</v>
      </c>
      <c r="I167" s="175">
        <v>10</v>
      </c>
      <c r="J167" s="176"/>
      <c r="K167" s="176"/>
      <c r="L167" s="177"/>
      <c r="M167" s="163">
        <v>1</v>
      </c>
      <c r="N167" s="166">
        <v>4417</v>
      </c>
      <c r="O167" s="173">
        <v>0.4</v>
      </c>
      <c r="P167" s="166">
        <f t="shared" si="40"/>
        <v>2650.2</v>
      </c>
      <c r="Q167" s="166">
        <f t="shared" si="36"/>
        <v>26502</v>
      </c>
      <c r="R167" s="184">
        <f t="shared" si="37"/>
        <v>0.22401793090168529</v>
      </c>
      <c r="S167" s="503">
        <f t="shared" si="38"/>
        <v>79506</v>
      </c>
      <c r="T167" s="394"/>
      <c r="V167" s="169">
        <f>S167</f>
        <v>79506</v>
      </c>
      <c r="X167" s="286"/>
      <c r="Y167" s="394">
        <f>S167</f>
        <v>79506</v>
      </c>
      <c r="Z167" s="286"/>
      <c r="AA167" s="188"/>
      <c r="AE167" s="169">
        <f>S167</f>
        <v>79506</v>
      </c>
      <c r="AF167" s="286"/>
    </row>
    <row r="168" spans="1:32" x14ac:dyDescent="0.3">
      <c r="A168" s="157" t="s">
        <v>1074</v>
      </c>
      <c r="B168" s="157" t="s">
        <v>41</v>
      </c>
      <c r="C168" s="157" t="s">
        <v>525</v>
      </c>
      <c r="D168" s="157" t="s">
        <v>168</v>
      </c>
      <c r="E168" s="157" t="s">
        <v>520</v>
      </c>
      <c r="F168" s="158" t="s">
        <v>1081</v>
      </c>
      <c r="G168" s="157">
        <v>8</v>
      </c>
      <c r="H168" s="157" t="s">
        <v>63</v>
      </c>
      <c r="I168" s="159">
        <v>8</v>
      </c>
      <c r="J168" s="806"/>
      <c r="K168" s="725">
        <v>8</v>
      </c>
      <c r="L168" s="2209"/>
      <c r="M168" s="163">
        <v>2</v>
      </c>
      <c r="N168" s="166">
        <v>1600</v>
      </c>
      <c r="O168" s="173">
        <v>0.7</v>
      </c>
      <c r="P168" s="166">
        <f t="shared" si="40"/>
        <v>480.00000000000006</v>
      </c>
      <c r="Q168" s="166">
        <f t="shared" si="36"/>
        <v>7680.0000000000009</v>
      </c>
      <c r="R168" s="184">
        <f t="shared" si="37"/>
        <v>6.4918032953171195E-2</v>
      </c>
      <c r="S168" s="503">
        <f t="shared" si="38"/>
        <v>23040.000000000004</v>
      </c>
      <c r="T168" s="394"/>
      <c r="V168" s="169">
        <f>S168</f>
        <v>23040.000000000004</v>
      </c>
      <c r="X168" s="286"/>
      <c r="Y168" s="394">
        <f>S168</f>
        <v>23040.000000000004</v>
      </c>
      <c r="Z168" s="286"/>
      <c r="AA168" s="188"/>
      <c r="AF168" s="395">
        <f>S168</f>
        <v>23040.000000000004</v>
      </c>
    </row>
    <row r="169" spans="1:32" x14ac:dyDescent="0.3">
      <c r="A169" s="172"/>
      <c r="B169" s="157"/>
      <c r="C169" s="190"/>
      <c r="D169" s="190"/>
      <c r="E169" s="190"/>
      <c r="F169" s="191"/>
      <c r="G169" s="190"/>
      <c r="H169" s="190"/>
      <c r="I169" s="245"/>
      <c r="J169" s="245"/>
      <c r="K169" s="245"/>
      <c r="L169" s="287"/>
      <c r="M169" s="190"/>
      <c r="N169" s="194"/>
      <c r="O169" s="195"/>
      <c r="P169" s="194"/>
      <c r="Q169" s="166"/>
      <c r="R169" s="393"/>
      <c r="S169" s="503"/>
      <c r="T169" s="188"/>
      <c r="X169" s="286"/>
      <c r="Y169" s="188"/>
      <c r="Z169" s="286"/>
      <c r="AA169" s="188"/>
      <c r="AF169" s="286"/>
    </row>
    <row r="170" spans="1:32" x14ac:dyDescent="0.3">
      <c r="A170" s="108" t="s">
        <v>1074</v>
      </c>
      <c r="B170" s="108" t="s">
        <v>528</v>
      </c>
      <c r="C170" s="289"/>
      <c r="D170" s="252"/>
      <c r="E170" s="252"/>
      <c r="F170" s="253"/>
      <c r="G170" s="252"/>
      <c r="H170" s="252"/>
      <c r="I170" s="254"/>
      <c r="J170" s="254"/>
      <c r="K170" s="254"/>
      <c r="L170" s="254"/>
      <c r="M170" s="252"/>
      <c r="N170" s="255"/>
      <c r="O170" s="256"/>
      <c r="P170" s="290"/>
      <c r="Q170" s="257"/>
      <c r="R170" s="291">
        <f>Q170/Q173</f>
        <v>0</v>
      </c>
      <c r="S170" s="503">
        <f>Q170*3</f>
        <v>0</v>
      </c>
      <c r="T170" s="188"/>
      <c r="W170" s="169">
        <f>S170</f>
        <v>0</v>
      </c>
      <c r="X170" s="286"/>
      <c r="Y170" s="188"/>
      <c r="Z170" s="286"/>
      <c r="AA170" s="188"/>
      <c r="AF170" s="286"/>
    </row>
    <row r="171" spans="1:32" x14ac:dyDescent="0.3">
      <c r="A171" s="108" t="s">
        <v>1074</v>
      </c>
      <c r="B171" s="108" t="s">
        <v>529</v>
      </c>
      <c r="C171" s="289"/>
      <c r="D171" s="252"/>
      <c r="E171" s="252"/>
      <c r="F171" s="253"/>
      <c r="G171" s="252"/>
      <c r="H171" s="252"/>
      <c r="I171" s="254"/>
      <c r="J171" s="254"/>
      <c r="K171" s="254"/>
      <c r="L171" s="254"/>
      <c r="M171" s="252"/>
      <c r="N171" s="255"/>
      <c r="O171" s="256"/>
      <c r="P171" s="290"/>
      <c r="Q171" s="257">
        <v>25000</v>
      </c>
      <c r="R171" s="291">
        <f>Q171/Q173</f>
        <v>0.21132172185277082</v>
      </c>
      <c r="S171" s="503">
        <f>Q171*3</f>
        <v>75000</v>
      </c>
      <c r="T171" s="188"/>
      <c r="X171" s="395">
        <f>S171</f>
        <v>75000</v>
      </c>
      <c r="Y171" s="188"/>
      <c r="Z171" s="286"/>
      <c r="AA171" s="188"/>
      <c r="AF171" s="286"/>
    </row>
    <row r="172" spans="1:32" x14ac:dyDescent="0.3">
      <c r="H172" s="3"/>
      <c r="I172" s="115">
        <f>I173/M173</f>
        <v>0.6785714285714286</v>
      </c>
      <c r="J172" s="115"/>
      <c r="K172" s="115">
        <f>K173/M173</f>
        <v>0.32142857142857145</v>
      </c>
      <c r="S172" s="166"/>
      <c r="T172" s="188"/>
      <c r="X172" s="286"/>
      <c r="Y172" s="188"/>
      <c r="Z172" s="286"/>
      <c r="AA172" s="243"/>
      <c r="AB172" s="245"/>
      <c r="AC172" s="245"/>
      <c r="AD172" s="245"/>
      <c r="AE172" s="245"/>
      <c r="AF172" s="287"/>
    </row>
    <row r="173" spans="1:32" x14ac:dyDescent="0.3">
      <c r="A173" s="1404" t="s">
        <v>531</v>
      </c>
      <c r="B173" s="1405"/>
      <c r="C173" s="1405"/>
      <c r="D173" s="1405"/>
      <c r="E173" s="1405"/>
      <c r="F173" s="1614"/>
      <c r="G173" s="1405"/>
      <c r="H173" s="1405"/>
      <c r="I173" s="1405">
        <f>I167+I165+I164+I163+I162+I161+I168</f>
        <v>38</v>
      </c>
      <c r="J173" s="1405"/>
      <c r="K173" s="1405">
        <f>K166+K165+K168</f>
        <v>18</v>
      </c>
      <c r="L173" s="1405"/>
      <c r="M173" s="1405">
        <f>SUM(I173:L173)</f>
        <v>56</v>
      </c>
      <c r="N173" s="1616"/>
      <c r="O173" s="1617"/>
      <c r="P173" s="1616"/>
      <c r="Q173" s="1618">
        <f>SUM(Q160:Q172)</f>
        <v>118303.03</v>
      </c>
      <c r="R173" s="1617">
        <f>SUM(R160:R171)</f>
        <v>1</v>
      </c>
      <c r="S173" s="1619">
        <f>SUM(S160:S172)</f>
        <v>354909.09</v>
      </c>
      <c r="T173" s="1620">
        <f t="shared" ref="T173:Z173" si="42">SUM(T160:T171)</f>
        <v>134674.29</v>
      </c>
      <c r="U173" s="798">
        <f t="shared" si="42"/>
        <v>42688.799999999996</v>
      </c>
      <c r="V173" s="798">
        <f t="shared" si="42"/>
        <v>102546</v>
      </c>
      <c r="W173" s="798">
        <f t="shared" si="42"/>
        <v>0</v>
      </c>
      <c r="X173" s="798">
        <f t="shared" si="42"/>
        <v>75000</v>
      </c>
      <c r="Y173" s="1621">
        <f t="shared" si="42"/>
        <v>194477.76</v>
      </c>
      <c r="Z173" s="1622">
        <f t="shared" si="42"/>
        <v>85431.329999999987</v>
      </c>
      <c r="AA173" s="1623">
        <f>SUM(AA161:AA172)</f>
        <v>95356.53</v>
      </c>
      <c r="AB173" s="1624">
        <f>SUM(AB161:AB172)</f>
        <v>11376</v>
      </c>
      <c r="AC173" s="1624">
        <f t="shared" ref="AC173:AF173" si="43">SUM(AC161:AC172)</f>
        <v>42688.799999999996</v>
      </c>
      <c r="AD173" s="1624">
        <f t="shared" si="43"/>
        <v>27941.760000000002</v>
      </c>
      <c r="AE173" s="1624">
        <f t="shared" si="43"/>
        <v>79506</v>
      </c>
      <c r="AF173" s="1625">
        <f t="shared" si="43"/>
        <v>23040.000000000004</v>
      </c>
    </row>
    <row r="174" spans="1:32" x14ac:dyDescent="0.3">
      <c r="A174" s="1404" t="s">
        <v>532</v>
      </c>
      <c r="B174" s="1405"/>
      <c r="C174" s="1405"/>
      <c r="D174" s="1405"/>
      <c r="E174" s="1405"/>
      <c r="F174" s="1614"/>
      <c r="G174" s="1405"/>
      <c r="H174" s="1405"/>
      <c r="I174" s="1405">
        <f>I167+I165+I164+I163+I162+I161</f>
        <v>30</v>
      </c>
      <c r="J174" s="1405">
        <f>I167+I164+I162++I161+I163</f>
        <v>27</v>
      </c>
      <c r="K174" s="1405">
        <f>I167+K166+K165+I163+I162</f>
        <v>26</v>
      </c>
      <c r="L174" s="1405"/>
      <c r="M174" s="1405">
        <f>SUM(I174:L174)</f>
        <v>83</v>
      </c>
      <c r="N174" s="1616"/>
      <c r="O174" s="1617"/>
      <c r="P174" s="1616"/>
      <c r="Q174" s="1616"/>
      <c r="R174" s="1617"/>
      <c r="S174" s="1626"/>
      <c r="T174" s="1627">
        <f>T173/S173</f>
        <v>0.37946137136132524</v>
      </c>
      <c r="U174" s="1628">
        <f>U173/S173</f>
        <v>0.12028094293104748</v>
      </c>
      <c r="V174" s="1628">
        <f>V173/S173</f>
        <v>0.28893596385485643</v>
      </c>
      <c r="W174" s="1628">
        <f>W173/S173</f>
        <v>0</v>
      </c>
      <c r="X174" s="1628">
        <f>X173/S173</f>
        <v>0.21132172185277079</v>
      </c>
      <c r="Y174" s="381">
        <f>Y173/S173</f>
        <v>0.54796500140359883</v>
      </c>
      <c r="Z174" s="1630">
        <f>Z173/S173</f>
        <v>0.24071327674363027</v>
      </c>
      <c r="AA174" s="1652"/>
      <c r="AB174" s="1632"/>
      <c r="AC174" s="1632"/>
      <c r="AD174" s="1632"/>
      <c r="AE174" s="1632"/>
      <c r="AF174" s="1633"/>
    </row>
    <row r="175" spans="1:32" x14ac:dyDescent="0.3">
      <c r="A175" s="251" t="s">
        <v>533</v>
      </c>
      <c r="B175" s="252"/>
      <c r="C175" s="252"/>
      <c r="D175" s="252"/>
      <c r="E175" s="252"/>
      <c r="F175" s="253"/>
      <c r="G175" s="252"/>
      <c r="H175" s="256"/>
      <c r="I175" s="2188">
        <f>I174/$M$174</f>
        <v>0.36144578313253012</v>
      </c>
      <c r="J175" s="2188">
        <f t="shared" ref="J175:L175" si="44">J174/$M$174</f>
        <v>0.3253012048192771</v>
      </c>
      <c r="K175" s="2188">
        <f t="shared" si="44"/>
        <v>0.31325301204819278</v>
      </c>
      <c r="L175" s="254">
        <f t="shared" si="44"/>
        <v>0</v>
      </c>
      <c r="M175" s="252"/>
      <c r="N175" s="255"/>
      <c r="O175" s="256"/>
      <c r="P175" s="255"/>
      <c r="Q175" s="257">
        <f>T173/3</f>
        <v>44891.43</v>
      </c>
      <c r="R175" s="262">
        <f>Q175/Q180</f>
        <v>0.37946137136132524</v>
      </c>
      <c r="X175" s="248"/>
      <c r="Y175" s="357">
        <f>I161+I163+K166+I167+I168+K168</f>
        <v>46</v>
      </c>
      <c r="Z175" s="358">
        <f>I162+I164+I165+K165</f>
        <v>10</v>
      </c>
    </row>
    <row r="176" spans="1:32" x14ac:dyDescent="0.3">
      <c r="A176" s="251" t="s">
        <v>11</v>
      </c>
      <c r="B176" s="252"/>
      <c r="C176" s="252"/>
      <c r="D176" s="252"/>
      <c r="E176" s="252"/>
      <c r="F176" s="253"/>
      <c r="G176" s="252"/>
      <c r="H176" s="252"/>
      <c r="I176" s="254"/>
      <c r="J176" s="254"/>
      <c r="K176" s="254"/>
      <c r="L176" s="254"/>
      <c r="M176" s="252"/>
      <c r="N176" s="255"/>
      <c r="O176" s="256"/>
      <c r="P176" s="255"/>
      <c r="Q176" s="257">
        <f>U173/3</f>
        <v>14229.599999999999</v>
      </c>
      <c r="R176" s="262">
        <f>Q176/Q180</f>
        <v>0.12028094293104749</v>
      </c>
      <c r="S176" s="1077">
        <f>Q173/M173</f>
        <v>2112.554107142857</v>
      </c>
      <c r="T176" s="1078" t="s">
        <v>535</v>
      </c>
      <c r="Y176" s="195">
        <f>Y175/M173</f>
        <v>0.8214285714285714</v>
      </c>
      <c r="Z176" s="247">
        <f>Z175/M173</f>
        <v>0.17857142857142858</v>
      </c>
    </row>
    <row r="177" spans="1:33" x14ac:dyDescent="0.3">
      <c r="A177" s="251" t="s">
        <v>536</v>
      </c>
      <c r="B177" s="252"/>
      <c r="C177" s="252"/>
      <c r="D177" s="252"/>
      <c r="E177" s="252"/>
      <c r="F177" s="253"/>
      <c r="G177" s="252"/>
      <c r="H177" s="252"/>
      <c r="I177" s="254"/>
      <c r="J177" s="254"/>
      <c r="K177" s="254"/>
      <c r="L177" s="254"/>
      <c r="M177" s="252"/>
      <c r="N177" s="255"/>
      <c r="O177" s="256"/>
      <c r="P177" s="255"/>
      <c r="Q177" s="257">
        <f>V173/3</f>
        <v>34182</v>
      </c>
      <c r="R177" s="262">
        <f>Q177/Q180</f>
        <v>0.28893596385485648</v>
      </c>
      <c r="W177" s="99"/>
    </row>
    <row r="178" spans="1:33" x14ac:dyDescent="0.3">
      <c r="A178" s="251" t="s">
        <v>529</v>
      </c>
      <c r="B178" s="252"/>
      <c r="C178" s="252"/>
      <c r="D178" s="252"/>
      <c r="E178" s="252"/>
      <c r="F178" s="253"/>
      <c r="G178" s="252"/>
      <c r="H178" s="252"/>
      <c r="I178" s="254"/>
      <c r="J178" s="254"/>
      <c r="K178" s="254"/>
      <c r="L178" s="254"/>
      <c r="M178" s="252"/>
      <c r="N178" s="255"/>
      <c r="O178" s="256"/>
      <c r="P178" s="255"/>
      <c r="Q178" s="257">
        <f>X173/3</f>
        <v>25000</v>
      </c>
      <c r="R178" s="262">
        <f>Q178/Q180</f>
        <v>0.21132172185277082</v>
      </c>
    </row>
    <row r="179" spans="1:33" x14ac:dyDescent="0.3">
      <c r="A179" s="251" t="s">
        <v>528</v>
      </c>
      <c r="B179" s="252"/>
      <c r="C179" s="252"/>
      <c r="D179" s="252"/>
      <c r="E179" s="252"/>
      <c r="F179" s="253"/>
      <c r="G179" s="252"/>
      <c r="H179" s="252"/>
      <c r="I179" s="254"/>
      <c r="J179" s="254"/>
      <c r="K179" s="254"/>
      <c r="L179" s="254"/>
      <c r="M179" s="252"/>
      <c r="N179" s="255"/>
      <c r="O179" s="256"/>
      <c r="P179" s="255"/>
      <c r="Q179" s="257">
        <f>W173/3</f>
        <v>0</v>
      </c>
      <c r="R179" s="262">
        <f>Q179/Q180</f>
        <v>0</v>
      </c>
    </row>
    <row r="180" spans="1:33" x14ac:dyDescent="0.3">
      <c r="A180" s="251"/>
      <c r="B180" s="252"/>
      <c r="C180" s="252"/>
      <c r="D180" s="252"/>
      <c r="E180" s="252"/>
      <c r="F180" s="253"/>
      <c r="G180" s="252"/>
      <c r="H180" s="252"/>
      <c r="I180" s="254"/>
      <c r="J180" s="254"/>
      <c r="K180" s="254"/>
      <c r="L180" s="254"/>
      <c r="M180" s="252"/>
      <c r="N180" s="255"/>
      <c r="O180" s="256"/>
      <c r="P180" s="255"/>
      <c r="Q180" s="264">
        <f>SUM(Q175:Q179)</f>
        <v>118303.03</v>
      </c>
      <c r="R180" s="262">
        <f>SUM(R175:R179)</f>
        <v>1</v>
      </c>
    </row>
    <row r="181" spans="1:33" x14ac:dyDescent="0.3">
      <c r="A181" s="188"/>
      <c r="N181" s="5"/>
      <c r="O181" s="6"/>
      <c r="P181" s="5"/>
      <c r="Q181" s="5"/>
      <c r="R181" s="6"/>
      <c r="S181" s="600"/>
    </row>
    <row r="182" spans="1:33" x14ac:dyDescent="0.3">
      <c r="A182" s="188"/>
      <c r="N182" s="5"/>
      <c r="O182" s="6"/>
      <c r="P182" s="5"/>
      <c r="Q182" s="5"/>
      <c r="R182" s="6"/>
      <c r="S182" s="600"/>
    </row>
    <row r="183" spans="1:33" ht="15.6" x14ac:dyDescent="0.3">
      <c r="A183" s="188"/>
      <c r="N183" s="5"/>
      <c r="O183" s="6"/>
      <c r="P183" s="5"/>
      <c r="Q183" s="5"/>
      <c r="R183" s="6"/>
      <c r="S183" s="600"/>
      <c r="Z183" s="303">
        <f>SUM(AA184:AF184)</f>
        <v>1230364.47</v>
      </c>
      <c r="AA183" s="1553" t="s">
        <v>233</v>
      </c>
      <c r="AB183" s="1554" t="s">
        <v>234</v>
      </c>
      <c r="AC183" s="1554" t="s">
        <v>1</v>
      </c>
      <c r="AD183" s="1554" t="s">
        <v>235</v>
      </c>
      <c r="AE183" s="1554" t="s">
        <v>139</v>
      </c>
      <c r="AF183" s="1578" t="s">
        <v>5</v>
      </c>
    </row>
    <row r="184" spans="1:33" x14ac:dyDescent="0.3">
      <c r="A184" s="1568" t="s">
        <v>878</v>
      </c>
      <c r="B184" s="1569"/>
      <c r="C184" s="1569"/>
      <c r="D184" s="1569"/>
      <c r="E184" s="1569"/>
      <c r="F184" s="1570"/>
      <c r="G184" s="1569"/>
      <c r="H184" s="1569"/>
      <c r="I184" s="1571"/>
      <c r="J184" s="1571"/>
      <c r="K184" s="1571"/>
      <c r="L184" s="1571"/>
      <c r="M184" s="1569"/>
      <c r="N184" s="1572"/>
      <c r="O184" s="1573"/>
      <c r="P184" s="1572"/>
      <c r="Q184" s="1653"/>
      <c r="R184" s="1654"/>
      <c r="S184" s="1647">
        <f>S173+S138+S110+S74+S46</f>
        <v>1656637.4699999997</v>
      </c>
      <c r="Z184" t="s">
        <v>601</v>
      </c>
      <c r="AA184" s="1655">
        <f>AA173+AA138+AA110+AA74+AA46</f>
        <v>581991.27</v>
      </c>
      <c r="AB184" s="1655">
        <f t="shared" ref="AB184:AF184" si="45">AB173+AB138+AB110+AB74+AB46</f>
        <v>72048</v>
      </c>
      <c r="AC184" s="1655">
        <f t="shared" si="45"/>
        <v>213444</v>
      </c>
      <c r="AD184" s="1655">
        <f t="shared" si="45"/>
        <v>192931.20000000001</v>
      </c>
      <c r="AE184" s="1655">
        <f t="shared" si="45"/>
        <v>132510</v>
      </c>
      <c r="AF184" s="1655">
        <f t="shared" si="45"/>
        <v>37440.000000000007</v>
      </c>
      <c r="AG184" s="1656"/>
    </row>
    <row r="185" spans="1:33" x14ac:dyDescent="0.3">
      <c r="R185" s="3" t="s">
        <v>571</v>
      </c>
      <c r="S185" s="120">
        <f>D18-S184</f>
        <v>76481.280000000261</v>
      </c>
    </row>
    <row r="186" spans="1:33" x14ac:dyDescent="0.3">
      <c r="Q186" s="116"/>
      <c r="R186" s="626"/>
    </row>
    <row r="187" spans="1:33" x14ac:dyDescent="0.3">
      <c r="A187" s="4"/>
      <c r="R187" s="98"/>
    </row>
    <row r="188" spans="1:33" x14ac:dyDescent="0.3">
      <c r="Q188" s="116"/>
      <c r="R188" s="626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F74"/>
  <sheetViews>
    <sheetView topLeftCell="A24" workbookViewId="0">
      <selection activeCell="H34" sqref="H34:H41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360</v>
      </c>
      <c r="C2" t="s">
        <v>367</v>
      </c>
      <c r="D2" t="s">
        <v>368</v>
      </c>
      <c r="E2" s="1" t="s">
        <v>236</v>
      </c>
      <c r="F2" s="1" t="s">
        <v>208</v>
      </c>
      <c r="G2" s="2186">
        <v>1</v>
      </c>
      <c r="H2" s="2186">
        <f>VLOOKUP(G2,Pesos!A:B,2,0)</f>
        <v>0.9</v>
      </c>
      <c r="I2" s="1" t="s">
        <v>308</v>
      </c>
      <c r="J2" s="1"/>
      <c r="K2" s="1">
        <v>15</v>
      </c>
      <c r="L2" s="1">
        <v>25</v>
      </c>
      <c r="M2" s="1">
        <v>25</v>
      </c>
      <c r="N2" s="1" t="s">
        <v>63</v>
      </c>
      <c r="O2" s="1">
        <v>25</v>
      </c>
      <c r="P2" s="1"/>
      <c r="Q2" s="1"/>
      <c r="R2" s="1"/>
      <c r="S2" s="1">
        <v>1</v>
      </c>
      <c r="T2" s="5">
        <v>1152</v>
      </c>
      <c r="U2" s="24">
        <v>0.16</v>
      </c>
      <c r="V2" s="25">
        <f>T2*(1-U2)</f>
        <v>967.68</v>
      </c>
      <c r="W2" s="25">
        <f>V2*S2*M2</f>
        <v>24192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360</v>
      </c>
      <c r="C3" t="s">
        <v>367</v>
      </c>
      <c r="D3" t="s">
        <v>368</v>
      </c>
      <c r="E3" s="1" t="s">
        <v>236</v>
      </c>
      <c r="F3" s="1" t="s">
        <v>102</v>
      </c>
      <c r="G3" s="2186">
        <v>2</v>
      </c>
      <c r="H3" s="2186">
        <f>VLOOKUP(G3,Pesos!A:B,2,0)</f>
        <v>0.8</v>
      </c>
      <c r="J3" s="1" t="s">
        <v>308</v>
      </c>
      <c r="K3" s="1">
        <v>7</v>
      </c>
      <c r="L3" s="1">
        <v>12</v>
      </c>
      <c r="M3" s="1">
        <v>7</v>
      </c>
      <c r="N3" s="1" t="s">
        <v>24</v>
      </c>
      <c r="O3" s="1">
        <v>7</v>
      </c>
      <c r="S3" s="1">
        <v>1</v>
      </c>
      <c r="T3" s="5">
        <v>4199</v>
      </c>
      <c r="U3" s="24">
        <v>0.17</v>
      </c>
      <c r="V3" s="25">
        <f t="shared" ref="V3:V7" si="0">T3*(1-U3)</f>
        <v>3485.1699999999996</v>
      </c>
      <c r="W3" s="25">
        <f t="shared" ref="W3:W16" si="1">V3*S3*M3</f>
        <v>24396.19</v>
      </c>
      <c r="X3" s="6"/>
      <c r="Y3" s="22"/>
      <c r="Z3" s="1"/>
    </row>
    <row r="4" spans="1:32" x14ac:dyDescent="0.3">
      <c r="A4" t="s">
        <v>327</v>
      </c>
      <c r="B4" t="s">
        <v>360</v>
      </c>
      <c r="C4" t="s">
        <v>367</v>
      </c>
      <c r="D4" t="s">
        <v>368</v>
      </c>
      <c r="E4" s="1" t="s">
        <v>236</v>
      </c>
      <c r="F4" s="1" t="s">
        <v>26</v>
      </c>
      <c r="G4" s="2186">
        <v>4</v>
      </c>
      <c r="H4" s="2186">
        <f>VLOOKUP(G4,Pesos!A:B,2,0)</f>
        <v>0.6</v>
      </c>
      <c r="I4" s="1" t="s">
        <v>308</v>
      </c>
      <c r="K4" s="1">
        <v>6</v>
      </c>
      <c r="L4" s="1">
        <v>10</v>
      </c>
      <c r="M4" s="1">
        <v>7</v>
      </c>
      <c r="N4" s="1" t="s">
        <v>24</v>
      </c>
      <c r="O4" s="1">
        <v>7</v>
      </c>
      <c r="S4" s="1">
        <v>1</v>
      </c>
      <c r="T4" s="5">
        <v>4680</v>
      </c>
      <c r="U4" s="24">
        <v>0.17</v>
      </c>
      <c r="V4" s="25">
        <f t="shared" si="0"/>
        <v>3884.3999999999996</v>
      </c>
      <c r="W4" s="25">
        <f t="shared" si="1"/>
        <v>27190.799999999996</v>
      </c>
      <c r="X4" s="6"/>
      <c r="Y4" s="22"/>
      <c r="Z4" s="1"/>
    </row>
    <row r="5" spans="1:32" x14ac:dyDescent="0.3">
      <c r="A5" t="s">
        <v>327</v>
      </c>
      <c r="B5" t="s">
        <v>360</v>
      </c>
      <c r="C5" t="s">
        <v>367</v>
      </c>
      <c r="D5" t="s">
        <v>368</v>
      </c>
      <c r="E5" s="1" t="s">
        <v>237</v>
      </c>
      <c r="F5" s="1" t="s">
        <v>102</v>
      </c>
      <c r="G5" s="2186">
        <v>2</v>
      </c>
      <c r="H5" s="2186">
        <f>VLOOKUP(G5,Pesos!A:B,2,0)</f>
        <v>0.8</v>
      </c>
      <c r="J5" s="1" t="s">
        <v>308</v>
      </c>
      <c r="K5" s="1">
        <v>7</v>
      </c>
      <c r="L5" s="2" t="s">
        <v>331</v>
      </c>
      <c r="M5" s="1">
        <v>2</v>
      </c>
      <c r="N5" s="1" t="s">
        <v>24</v>
      </c>
      <c r="O5" s="1">
        <v>2</v>
      </c>
      <c r="S5" s="1">
        <v>1</v>
      </c>
      <c r="T5" s="5">
        <v>4740</v>
      </c>
      <c r="U5" s="24">
        <v>0.2</v>
      </c>
      <c r="V5" s="25">
        <f t="shared" si="0"/>
        <v>3792</v>
      </c>
      <c r="W5" s="25">
        <f t="shared" si="1"/>
        <v>7584</v>
      </c>
      <c r="X5" s="18"/>
      <c r="Y5" s="22"/>
      <c r="Z5" s="1"/>
    </row>
    <row r="6" spans="1:32" x14ac:dyDescent="0.3">
      <c r="A6" t="s">
        <v>327</v>
      </c>
      <c r="B6" t="s">
        <v>360</v>
      </c>
      <c r="C6" t="s">
        <v>367</v>
      </c>
      <c r="D6" t="s">
        <v>368</v>
      </c>
      <c r="E6" s="1" t="s">
        <v>20</v>
      </c>
      <c r="F6" s="1" t="s">
        <v>161</v>
      </c>
      <c r="G6" s="2186">
        <v>3</v>
      </c>
      <c r="H6" s="2186">
        <f>VLOOKUP(G6,Pesos!A:B,2,0)</f>
        <v>0.7</v>
      </c>
      <c r="I6" s="1" t="s">
        <v>308</v>
      </c>
      <c r="K6" s="1">
        <v>5</v>
      </c>
      <c r="L6" s="2" t="s">
        <v>203</v>
      </c>
      <c r="M6" s="1">
        <v>5</v>
      </c>
      <c r="N6" s="1" t="s">
        <v>24</v>
      </c>
      <c r="O6" s="1">
        <v>5</v>
      </c>
      <c r="Q6" s="1">
        <v>5</v>
      </c>
      <c r="S6" s="1">
        <v>1</v>
      </c>
      <c r="T6" s="5">
        <v>5929</v>
      </c>
      <c r="U6" s="24">
        <v>0.6</v>
      </c>
      <c r="V6" s="25">
        <f t="shared" si="0"/>
        <v>2371.6</v>
      </c>
      <c r="W6" s="25">
        <f t="shared" si="1"/>
        <v>11858</v>
      </c>
      <c r="X6" s="6"/>
      <c r="Y6" s="22"/>
      <c r="Z6" s="1"/>
    </row>
    <row r="7" spans="1:32" x14ac:dyDescent="0.3">
      <c r="A7" t="s">
        <v>327</v>
      </c>
      <c r="B7" t="s">
        <v>360</v>
      </c>
      <c r="C7" t="s">
        <v>367</v>
      </c>
      <c r="D7" t="s">
        <v>368</v>
      </c>
      <c r="E7" s="1" t="s">
        <v>238</v>
      </c>
      <c r="F7" s="1" t="s">
        <v>208</v>
      </c>
      <c r="G7" s="2186">
        <v>1</v>
      </c>
      <c r="H7" s="2186">
        <f>VLOOKUP(G7,Pesos!A:B,2,0)</f>
        <v>0.9</v>
      </c>
      <c r="I7" s="1" t="s">
        <v>308</v>
      </c>
      <c r="K7" s="1">
        <v>15</v>
      </c>
      <c r="L7" s="2" t="s">
        <v>83</v>
      </c>
      <c r="M7" s="1">
        <v>18</v>
      </c>
      <c r="N7" s="1" t="s">
        <v>63</v>
      </c>
      <c r="Q7" s="1">
        <v>18</v>
      </c>
      <c r="S7" s="1">
        <v>1</v>
      </c>
      <c r="T7" s="5">
        <v>1584</v>
      </c>
      <c r="U7" s="24">
        <v>0.16</v>
      </c>
      <c r="V7" s="25">
        <f t="shared" si="0"/>
        <v>1330.56</v>
      </c>
      <c r="W7" s="25">
        <f t="shared" si="1"/>
        <v>23950.079999999998</v>
      </c>
      <c r="X7" s="6"/>
      <c r="Y7" s="22"/>
      <c r="Z7" s="1"/>
    </row>
    <row r="8" spans="1:32" x14ac:dyDescent="0.3">
      <c r="G8" s="2186"/>
      <c r="H8" s="2186"/>
      <c r="L8" s="2"/>
      <c r="M8" s="1"/>
      <c r="T8" s="26"/>
      <c r="U8" s="24"/>
      <c r="V8" s="26"/>
      <c r="W8" s="26"/>
      <c r="X8" s="6"/>
      <c r="Y8" s="22"/>
      <c r="Z8" s="1"/>
    </row>
    <row r="9" spans="1:32" x14ac:dyDescent="0.3">
      <c r="A9" t="s">
        <v>340</v>
      </c>
      <c r="B9" t="s">
        <v>360</v>
      </c>
      <c r="C9" t="s">
        <v>367</v>
      </c>
      <c r="D9" t="s">
        <v>368</v>
      </c>
      <c r="E9" s="1" t="s">
        <v>236</v>
      </c>
      <c r="F9" s="1" t="s">
        <v>208</v>
      </c>
      <c r="G9" s="2186">
        <v>3</v>
      </c>
      <c r="H9" s="2186">
        <f>VLOOKUP(G9,Pesos!A:B,2,0)</f>
        <v>0.7</v>
      </c>
      <c r="I9" s="1" t="s">
        <v>308</v>
      </c>
      <c r="K9" s="1">
        <v>15</v>
      </c>
      <c r="L9" s="2" t="s">
        <v>83</v>
      </c>
      <c r="M9" s="1">
        <v>25</v>
      </c>
      <c r="N9" s="1" t="s">
        <v>63</v>
      </c>
      <c r="O9" s="1">
        <v>25</v>
      </c>
      <c r="S9" s="1">
        <v>1</v>
      </c>
      <c r="T9" s="5">
        <v>1152</v>
      </c>
      <c r="U9" s="24">
        <v>0.16</v>
      </c>
      <c r="V9" s="26">
        <f>T9*(1-U9)</f>
        <v>967.68</v>
      </c>
      <c r="W9" s="25">
        <f t="shared" si="1"/>
        <v>24192</v>
      </c>
      <c r="X9" s="6"/>
      <c r="Y9" s="22"/>
      <c r="Z9" s="1"/>
    </row>
    <row r="10" spans="1:32" x14ac:dyDescent="0.3">
      <c r="A10" t="s">
        <v>340</v>
      </c>
      <c r="B10" t="s">
        <v>360</v>
      </c>
      <c r="C10" t="s">
        <v>367</v>
      </c>
      <c r="D10" t="s">
        <v>368</v>
      </c>
      <c r="E10" s="1" t="s">
        <v>236</v>
      </c>
      <c r="F10" s="1" t="s">
        <v>102</v>
      </c>
      <c r="G10" s="2186">
        <v>1</v>
      </c>
      <c r="H10" s="2186">
        <f>VLOOKUP(G10,Pesos!A:B,2,0)</f>
        <v>0.9</v>
      </c>
      <c r="J10" s="1" t="s">
        <v>308</v>
      </c>
      <c r="K10" s="1">
        <v>7</v>
      </c>
      <c r="L10" s="2" t="s">
        <v>331</v>
      </c>
      <c r="M10" s="1">
        <v>4</v>
      </c>
      <c r="N10" s="1" t="s">
        <v>24</v>
      </c>
      <c r="O10" s="1">
        <v>4</v>
      </c>
      <c r="S10" s="1">
        <v>1</v>
      </c>
      <c r="T10" s="5">
        <v>4199</v>
      </c>
      <c r="U10" s="24">
        <v>0.17</v>
      </c>
      <c r="V10" s="26">
        <f>T10*(1-U10)</f>
        <v>3485.1699999999996</v>
      </c>
      <c r="W10" s="25">
        <f t="shared" si="1"/>
        <v>13940.679999999998</v>
      </c>
      <c r="X10" s="6"/>
      <c r="Y10" s="22"/>
      <c r="Z10" s="1"/>
    </row>
    <row r="11" spans="1:32" x14ac:dyDescent="0.3">
      <c r="A11" t="s">
        <v>340</v>
      </c>
      <c r="B11" t="s">
        <v>360</v>
      </c>
      <c r="C11" t="s">
        <v>367</v>
      </c>
      <c r="D11" t="s">
        <v>368</v>
      </c>
      <c r="E11" s="1" t="s">
        <v>236</v>
      </c>
      <c r="F11" s="1" t="s">
        <v>26</v>
      </c>
      <c r="G11" s="2186">
        <v>5</v>
      </c>
      <c r="H11" s="2186">
        <f>VLOOKUP(G11,Pesos!A:B,2,0)</f>
        <v>0.5</v>
      </c>
      <c r="I11" s="1" t="s">
        <v>308</v>
      </c>
      <c r="K11" s="1">
        <v>6</v>
      </c>
      <c r="L11" s="2" t="s">
        <v>203</v>
      </c>
      <c r="M11" s="1">
        <v>5</v>
      </c>
      <c r="N11" s="1" t="s">
        <v>24</v>
      </c>
      <c r="O11" s="1">
        <v>5</v>
      </c>
      <c r="S11" s="1">
        <v>1</v>
      </c>
      <c r="T11" s="5">
        <v>4680</v>
      </c>
      <c r="U11" s="24">
        <v>0.17</v>
      </c>
      <c r="V11" s="26">
        <f t="shared" ref="V11:V15" si="2">T11*(1-U11)</f>
        <v>3884.3999999999996</v>
      </c>
      <c r="W11" s="25">
        <f t="shared" si="1"/>
        <v>19422</v>
      </c>
      <c r="X11" s="6"/>
      <c r="Y11" s="22"/>
      <c r="Z11" s="1"/>
    </row>
    <row r="12" spans="1:32" x14ac:dyDescent="0.3">
      <c r="A12" t="s">
        <v>340</v>
      </c>
      <c r="B12" t="s">
        <v>360</v>
      </c>
      <c r="C12" t="s">
        <v>367</v>
      </c>
      <c r="D12" t="s">
        <v>368</v>
      </c>
      <c r="E12" s="1" t="s">
        <v>237</v>
      </c>
      <c r="F12" s="1" t="s">
        <v>102</v>
      </c>
      <c r="G12" s="2186">
        <v>1</v>
      </c>
      <c r="H12" s="2186">
        <f>VLOOKUP(G12,Pesos!A:B,2,0)</f>
        <v>0.9</v>
      </c>
      <c r="J12" s="1" t="s">
        <v>308</v>
      </c>
      <c r="K12" s="1">
        <v>7</v>
      </c>
      <c r="L12" s="2" t="s">
        <v>331</v>
      </c>
      <c r="M12" s="1">
        <v>2</v>
      </c>
      <c r="N12" s="1" t="s">
        <v>24</v>
      </c>
      <c r="O12" s="1">
        <v>2</v>
      </c>
      <c r="S12" s="1">
        <v>1</v>
      </c>
      <c r="T12" s="5">
        <v>4740</v>
      </c>
      <c r="U12" s="24">
        <v>0.2</v>
      </c>
      <c r="V12" s="26">
        <f t="shared" si="2"/>
        <v>3792</v>
      </c>
      <c r="W12" s="25">
        <f t="shared" si="1"/>
        <v>7584</v>
      </c>
      <c r="X12" s="6"/>
      <c r="Y12" s="22"/>
      <c r="Z12" s="1"/>
    </row>
    <row r="13" spans="1:32" x14ac:dyDescent="0.3">
      <c r="A13" t="s">
        <v>340</v>
      </c>
      <c r="B13" t="s">
        <v>360</v>
      </c>
      <c r="C13" t="s">
        <v>367</v>
      </c>
      <c r="D13" t="s">
        <v>368</v>
      </c>
      <c r="E13" s="1" t="s">
        <v>20</v>
      </c>
      <c r="F13" s="1" t="s">
        <v>100</v>
      </c>
      <c r="G13" s="2186">
        <v>2</v>
      </c>
      <c r="H13" s="2186">
        <f>VLOOKUP(G13,Pesos!A:B,2,0)</f>
        <v>0.8</v>
      </c>
      <c r="I13" s="1" t="s">
        <v>308</v>
      </c>
      <c r="K13" s="1">
        <v>5</v>
      </c>
      <c r="L13" s="2" t="s">
        <v>203</v>
      </c>
      <c r="M13" s="1">
        <v>5</v>
      </c>
      <c r="N13" s="1" t="s">
        <v>22</v>
      </c>
      <c r="O13" s="1">
        <v>5</v>
      </c>
      <c r="Q13" s="1">
        <v>5</v>
      </c>
      <c r="S13" s="1">
        <v>2</v>
      </c>
      <c r="T13" s="5">
        <v>5929</v>
      </c>
      <c r="U13" s="24">
        <v>0.6</v>
      </c>
      <c r="V13" s="26">
        <f t="shared" si="2"/>
        <v>2371.6</v>
      </c>
      <c r="W13" s="25">
        <f t="shared" si="1"/>
        <v>23716</v>
      </c>
      <c r="X13" s="6"/>
      <c r="Y13" s="22"/>
      <c r="Z13" s="1"/>
    </row>
    <row r="14" spans="1:32" x14ac:dyDescent="0.3">
      <c r="A14" t="s">
        <v>340</v>
      </c>
      <c r="B14" t="s">
        <v>360</v>
      </c>
      <c r="C14" t="s">
        <v>367</v>
      </c>
      <c r="D14" t="s">
        <v>368</v>
      </c>
      <c r="E14" s="1" t="s">
        <v>238</v>
      </c>
      <c r="F14" s="1" t="s">
        <v>208</v>
      </c>
      <c r="G14" s="2186">
        <v>3</v>
      </c>
      <c r="H14" s="2186">
        <f>VLOOKUP(G14,Pesos!A:B,2,0)</f>
        <v>0.7</v>
      </c>
      <c r="I14" s="1" t="s">
        <v>308</v>
      </c>
      <c r="K14" s="1">
        <v>15</v>
      </c>
      <c r="L14" s="2" t="s">
        <v>83</v>
      </c>
      <c r="M14" s="1">
        <v>18</v>
      </c>
      <c r="N14" s="1" t="s">
        <v>63</v>
      </c>
      <c r="Q14" s="1">
        <v>18</v>
      </c>
      <c r="S14" s="1">
        <v>1</v>
      </c>
      <c r="T14" s="5">
        <v>1584</v>
      </c>
      <c r="U14" s="24">
        <v>0.16</v>
      </c>
      <c r="V14" s="26">
        <f t="shared" si="2"/>
        <v>1330.56</v>
      </c>
      <c r="W14" s="25">
        <f t="shared" si="1"/>
        <v>23950.079999999998</v>
      </c>
      <c r="X14" s="6"/>
      <c r="Y14" s="22"/>
      <c r="Z14" s="1"/>
    </row>
    <row r="15" spans="1:32" x14ac:dyDescent="0.3">
      <c r="A15" t="s">
        <v>340</v>
      </c>
      <c r="B15" t="s">
        <v>360</v>
      </c>
      <c r="C15" t="s">
        <v>367</v>
      </c>
      <c r="D15" t="s">
        <v>368</v>
      </c>
      <c r="E15" s="1" t="s">
        <v>179</v>
      </c>
      <c r="F15" s="1" t="s">
        <v>50</v>
      </c>
      <c r="G15" s="2186">
        <v>4</v>
      </c>
      <c r="H15" s="2186">
        <f>VLOOKUP(G15,Pesos!A:B,2,0)</f>
        <v>0.6</v>
      </c>
      <c r="I15" s="1" t="s">
        <v>308</v>
      </c>
      <c r="K15" s="1">
        <v>14</v>
      </c>
      <c r="L15" s="2" t="s">
        <v>51</v>
      </c>
      <c r="M15" s="1">
        <v>20</v>
      </c>
      <c r="N15" s="1" t="s">
        <v>24</v>
      </c>
      <c r="O15" s="1">
        <v>20</v>
      </c>
      <c r="S15" s="1">
        <v>1</v>
      </c>
      <c r="T15" s="5">
        <v>4417</v>
      </c>
      <c r="U15" s="24">
        <v>0.4</v>
      </c>
      <c r="V15" s="26">
        <f t="shared" si="2"/>
        <v>2650.2</v>
      </c>
      <c r="W15" s="25">
        <f t="shared" si="1"/>
        <v>53004</v>
      </c>
      <c r="X15" s="6"/>
    </row>
    <row r="16" spans="1:32" x14ac:dyDescent="0.3">
      <c r="A16" t="s">
        <v>340</v>
      </c>
      <c r="B16" t="s">
        <v>360</v>
      </c>
      <c r="C16" t="s">
        <v>367</v>
      </c>
      <c r="D16" t="s">
        <v>368</v>
      </c>
      <c r="E16" s="1" t="s">
        <v>41</v>
      </c>
      <c r="F16" s="1" t="s">
        <v>168</v>
      </c>
      <c r="G16" s="2186">
        <v>6</v>
      </c>
      <c r="H16" s="2186">
        <f>VLOOKUP(G16,Pesos!A:B,2,0)</f>
        <v>0.4</v>
      </c>
      <c r="I16" s="1" t="s">
        <v>308</v>
      </c>
      <c r="K16" s="1">
        <v>14</v>
      </c>
      <c r="L16" s="2" t="s">
        <v>51</v>
      </c>
      <c r="M16" s="1">
        <v>15</v>
      </c>
      <c r="N16" s="1" t="s">
        <v>63</v>
      </c>
      <c r="O16" s="1">
        <v>15</v>
      </c>
      <c r="Q16" s="1">
        <v>15</v>
      </c>
      <c r="S16" s="1">
        <v>2</v>
      </c>
      <c r="T16" s="5">
        <v>1600</v>
      </c>
      <c r="U16" s="24">
        <v>0.7</v>
      </c>
      <c r="V16" s="26">
        <f>T16*(1-U16)</f>
        <v>480.00000000000006</v>
      </c>
      <c r="W16" s="25">
        <f t="shared" si="1"/>
        <v>14400.000000000002</v>
      </c>
      <c r="X16" s="6"/>
    </row>
    <row r="17" spans="1:24" x14ac:dyDescent="0.3">
      <c r="G17" s="2186"/>
      <c r="H17" s="2186"/>
      <c r="M17" s="1"/>
      <c r="T17" s="5"/>
      <c r="U17" s="24"/>
      <c r="V17" s="26"/>
      <c r="W17" s="26"/>
      <c r="X17" s="6"/>
    </row>
    <row r="18" spans="1:24" x14ac:dyDescent="0.3">
      <c r="A18" t="s">
        <v>342</v>
      </c>
      <c r="B18" t="s">
        <v>360</v>
      </c>
      <c r="C18" t="s">
        <v>367</v>
      </c>
      <c r="D18" t="s">
        <v>368</v>
      </c>
      <c r="E18" s="1" t="s">
        <v>236</v>
      </c>
      <c r="F18" s="1" t="s">
        <v>208</v>
      </c>
      <c r="G18" s="2186">
        <v>1</v>
      </c>
      <c r="H18" s="2186">
        <f>VLOOKUP(G18,Pesos!A:B,2,0)</f>
        <v>0.9</v>
      </c>
      <c r="I18" s="1" t="s">
        <v>308</v>
      </c>
      <c r="K18" s="1">
        <v>10</v>
      </c>
      <c r="L18" s="1">
        <v>20</v>
      </c>
      <c r="M18" s="1">
        <v>20</v>
      </c>
      <c r="N18" s="1" t="s">
        <v>63</v>
      </c>
      <c r="O18" s="1">
        <v>20</v>
      </c>
      <c r="S18" s="1">
        <v>1</v>
      </c>
      <c r="T18" s="5">
        <v>1152</v>
      </c>
      <c r="U18" s="24">
        <v>0.16</v>
      </c>
      <c r="V18" s="26">
        <f t="shared" ref="V18:V32" si="3">T18*(1-U18)</f>
        <v>967.68</v>
      </c>
      <c r="W18" s="26">
        <f t="shared" ref="W18:W32" si="4">V18*S18*M18</f>
        <v>19353.599999999999</v>
      </c>
      <c r="X18" s="6"/>
    </row>
    <row r="19" spans="1:24" x14ac:dyDescent="0.3">
      <c r="A19" t="s">
        <v>342</v>
      </c>
      <c r="B19" t="s">
        <v>360</v>
      </c>
      <c r="C19" t="s">
        <v>367</v>
      </c>
      <c r="D19" t="s">
        <v>368</v>
      </c>
      <c r="E19" s="1" t="s">
        <v>236</v>
      </c>
      <c r="F19" s="1" t="s">
        <v>102</v>
      </c>
      <c r="G19" s="2186">
        <v>2</v>
      </c>
      <c r="H19" s="2186">
        <f>VLOOKUP(G19,Pesos!A:B,2,0)</f>
        <v>0.8</v>
      </c>
      <c r="J19" s="1" t="s">
        <v>308</v>
      </c>
      <c r="K19" s="1">
        <v>4</v>
      </c>
      <c r="L19" s="1">
        <v>8</v>
      </c>
      <c r="M19" s="1">
        <v>5</v>
      </c>
      <c r="N19" s="1" t="s">
        <v>24</v>
      </c>
      <c r="O19" s="1">
        <v>5</v>
      </c>
      <c r="R19" s="18"/>
      <c r="S19" s="1">
        <v>1</v>
      </c>
      <c r="T19" s="5">
        <v>4199</v>
      </c>
      <c r="U19" s="24">
        <v>0.17</v>
      </c>
      <c r="V19" s="26">
        <f t="shared" si="3"/>
        <v>3485.1699999999996</v>
      </c>
      <c r="W19" s="26">
        <f t="shared" si="4"/>
        <v>17425.849999999999</v>
      </c>
      <c r="X19" s="6"/>
    </row>
    <row r="20" spans="1:24" x14ac:dyDescent="0.3">
      <c r="A20" t="s">
        <v>342</v>
      </c>
      <c r="B20" t="s">
        <v>360</v>
      </c>
      <c r="C20" t="s">
        <v>367</v>
      </c>
      <c r="D20" t="s">
        <v>368</v>
      </c>
      <c r="E20" s="1" t="s">
        <v>236</v>
      </c>
      <c r="F20" s="1" t="s">
        <v>26</v>
      </c>
      <c r="G20" s="2186">
        <v>4</v>
      </c>
      <c r="H20" s="2186">
        <f>VLOOKUP(G20,Pesos!A:B,2,0)</f>
        <v>0.6</v>
      </c>
      <c r="I20" s="1" t="s">
        <v>308</v>
      </c>
      <c r="K20" s="1">
        <v>3</v>
      </c>
      <c r="L20" s="1">
        <v>7</v>
      </c>
      <c r="M20" s="1">
        <v>5</v>
      </c>
      <c r="N20" s="1" t="s">
        <v>24</v>
      </c>
      <c r="O20" s="1">
        <v>5</v>
      </c>
      <c r="R20" s="6"/>
      <c r="S20" s="1">
        <v>1</v>
      </c>
      <c r="T20" s="5">
        <v>4680</v>
      </c>
      <c r="U20" s="24">
        <v>0.17</v>
      </c>
      <c r="V20" s="26">
        <f t="shared" si="3"/>
        <v>3884.3999999999996</v>
      </c>
      <c r="W20" s="26">
        <f t="shared" si="4"/>
        <v>19422</v>
      </c>
      <c r="X20" s="6"/>
    </row>
    <row r="21" spans="1:24" x14ac:dyDescent="0.3">
      <c r="A21" t="s">
        <v>342</v>
      </c>
      <c r="B21" t="s">
        <v>360</v>
      </c>
      <c r="C21" t="s">
        <v>367</v>
      </c>
      <c r="D21" t="s">
        <v>368</v>
      </c>
      <c r="E21" s="1" t="s">
        <v>237</v>
      </c>
      <c r="F21" s="1" t="s">
        <v>102</v>
      </c>
      <c r="G21" s="2186">
        <v>2</v>
      </c>
      <c r="H21" s="2186">
        <f>VLOOKUP(G21,Pesos!A:B,2,0)</f>
        <v>0.8</v>
      </c>
      <c r="J21" s="1" t="s">
        <v>308</v>
      </c>
      <c r="K21" s="1">
        <v>4</v>
      </c>
      <c r="L21" s="1">
        <v>8</v>
      </c>
      <c r="M21" s="1">
        <v>2</v>
      </c>
      <c r="N21" s="1" t="s">
        <v>24</v>
      </c>
      <c r="O21" s="1">
        <v>2</v>
      </c>
      <c r="R21" s="6"/>
      <c r="S21" s="1">
        <v>1</v>
      </c>
      <c r="T21" s="5">
        <v>4740</v>
      </c>
      <c r="U21" s="24">
        <v>0.2</v>
      </c>
      <c r="V21" s="26">
        <f t="shared" si="3"/>
        <v>3792</v>
      </c>
      <c r="W21" s="26">
        <f t="shared" si="4"/>
        <v>7584</v>
      </c>
      <c r="X21" s="6"/>
    </row>
    <row r="22" spans="1:24" x14ac:dyDescent="0.3">
      <c r="A22" t="s">
        <v>342</v>
      </c>
      <c r="B22" t="s">
        <v>360</v>
      </c>
      <c r="C22" t="s">
        <v>367</v>
      </c>
      <c r="D22" t="s">
        <v>368</v>
      </c>
      <c r="E22" s="1" t="s">
        <v>20</v>
      </c>
      <c r="F22" s="1" t="s">
        <v>100</v>
      </c>
      <c r="G22" s="2186">
        <v>3</v>
      </c>
      <c r="H22" s="2186">
        <f>VLOOKUP(G22,Pesos!A:B,2,0)</f>
        <v>0.7</v>
      </c>
      <c r="I22" s="1" t="s">
        <v>308</v>
      </c>
      <c r="K22" s="1">
        <v>4</v>
      </c>
      <c r="L22" s="1">
        <v>8</v>
      </c>
      <c r="M22" s="1">
        <v>4</v>
      </c>
      <c r="N22" s="1" t="s">
        <v>22</v>
      </c>
      <c r="O22" s="1">
        <v>4</v>
      </c>
      <c r="Q22" s="1">
        <v>4</v>
      </c>
      <c r="R22" s="18"/>
      <c r="S22" s="1">
        <v>2</v>
      </c>
      <c r="T22" s="5">
        <v>5929</v>
      </c>
      <c r="U22" s="24">
        <v>0.6</v>
      </c>
      <c r="V22" s="26">
        <f t="shared" si="3"/>
        <v>2371.6</v>
      </c>
      <c r="W22" s="26">
        <f t="shared" si="4"/>
        <v>18972.8</v>
      </c>
      <c r="X22" s="6"/>
    </row>
    <row r="23" spans="1:24" x14ac:dyDescent="0.3">
      <c r="A23" t="s">
        <v>342</v>
      </c>
      <c r="B23" t="s">
        <v>360</v>
      </c>
      <c r="C23" t="s">
        <v>367</v>
      </c>
      <c r="D23" t="s">
        <v>368</v>
      </c>
      <c r="E23" s="1" t="s">
        <v>238</v>
      </c>
      <c r="F23" s="1" t="s">
        <v>208</v>
      </c>
      <c r="G23" s="2186">
        <v>1</v>
      </c>
      <c r="H23" s="2186">
        <f>VLOOKUP(G23,Pesos!A:B,2,0)</f>
        <v>0.9</v>
      </c>
      <c r="I23" s="1" t="s">
        <v>308</v>
      </c>
      <c r="K23" s="1">
        <v>10</v>
      </c>
      <c r="L23" s="1">
        <v>20</v>
      </c>
      <c r="M23" s="1">
        <v>14</v>
      </c>
      <c r="N23" s="1" t="s">
        <v>63</v>
      </c>
      <c r="Q23" s="1">
        <v>14</v>
      </c>
      <c r="R23" s="18"/>
      <c r="S23" s="1">
        <v>1</v>
      </c>
      <c r="T23" s="5">
        <v>1584</v>
      </c>
      <c r="U23" s="24">
        <v>0.16</v>
      </c>
      <c r="V23" s="26">
        <f t="shared" si="3"/>
        <v>1330.56</v>
      </c>
      <c r="W23" s="26">
        <f t="shared" si="4"/>
        <v>18627.84</v>
      </c>
      <c r="X23" s="6"/>
    </row>
    <row r="24" spans="1:24" x14ac:dyDescent="0.3">
      <c r="G24" s="2186"/>
      <c r="H24" s="2186"/>
      <c r="K24" s="2"/>
      <c r="M24" s="1"/>
      <c r="T24" s="5"/>
      <c r="U24" s="24"/>
      <c r="V24" s="26"/>
      <c r="W24" s="26"/>
    </row>
    <row r="25" spans="1:24" x14ac:dyDescent="0.3">
      <c r="A25" t="s">
        <v>343</v>
      </c>
      <c r="B25" t="s">
        <v>360</v>
      </c>
      <c r="C25" t="s">
        <v>367</v>
      </c>
      <c r="D25" t="s">
        <v>368</v>
      </c>
      <c r="E25" s="1" t="s">
        <v>236</v>
      </c>
      <c r="F25" s="1" t="s">
        <v>208</v>
      </c>
      <c r="G25" s="2186">
        <v>3</v>
      </c>
      <c r="H25" s="2186">
        <f>VLOOKUP(G25,Pesos!A:B,2,0)</f>
        <v>0.7</v>
      </c>
      <c r="I25" s="1" t="s">
        <v>308</v>
      </c>
      <c r="K25" s="2" t="s">
        <v>203</v>
      </c>
      <c r="L25" s="1">
        <v>20</v>
      </c>
      <c r="M25" s="1">
        <v>20</v>
      </c>
      <c r="N25" s="1" t="s">
        <v>63</v>
      </c>
      <c r="O25" s="1">
        <v>20</v>
      </c>
      <c r="S25" s="1">
        <v>1</v>
      </c>
      <c r="T25" s="5">
        <v>1152</v>
      </c>
      <c r="U25" s="24">
        <v>0.16</v>
      </c>
      <c r="V25" s="26">
        <f t="shared" si="3"/>
        <v>967.68</v>
      </c>
      <c r="W25" s="26">
        <f>V25*S25*M25</f>
        <v>19353.599999999999</v>
      </c>
    </row>
    <row r="26" spans="1:24" x14ac:dyDescent="0.3">
      <c r="A26" t="s">
        <v>343</v>
      </c>
      <c r="B26" t="s">
        <v>360</v>
      </c>
      <c r="C26" t="s">
        <v>367</v>
      </c>
      <c r="D26" t="s">
        <v>368</v>
      </c>
      <c r="E26" s="1" t="s">
        <v>236</v>
      </c>
      <c r="F26" s="1" t="s">
        <v>102</v>
      </c>
      <c r="G26" s="2186">
        <v>1</v>
      </c>
      <c r="H26" s="2186">
        <f>VLOOKUP(G26,Pesos!A:B,2,0)</f>
        <v>0.9</v>
      </c>
      <c r="J26" s="1" t="s">
        <v>308</v>
      </c>
      <c r="K26" s="2" t="s">
        <v>346</v>
      </c>
      <c r="L26" s="1">
        <v>8</v>
      </c>
      <c r="M26" s="1">
        <v>4</v>
      </c>
      <c r="N26" s="1" t="s">
        <v>24</v>
      </c>
      <c r="O26" s="1">
        <v>4</v>
      </c>
      <c r="S26" s="1">
        <v>1</v>
      </c>
      <c r="T26" s="5">
        <v>4199</v>
      </c>
      <c r="U26" s="24">
        <v>0.17</v>
      </c>
      <c r="V26" s="26">
        <f t="shared" si="3"/>
        <v>3485.1699999999996</v>
      </c>
      <c r="W26" s="26">
        <f t="shared" si="4"/>
        <v>13940.679999999998</v>
      </c>
    </row>
    <row r="27" spans="1:24" x14ac:dyDescent="0.3">
      <c r="A27" t="s">
        <v>343</v>
      </c>
      <c r="B27" t="s">
        <v>360</v>
      </c>
      <c r="C27" t="s">
        <v>367</v>
      </c>
      <c r="D27" t="s">
        <v>368</v>
      </c>
      <c r="E27" s="1" t="s">
        <v>236</v>
      </c>
      <c r="F27" s="1" t="s">
        <v>26</v>
      </c>
      <c r="G27" s="2186">
        <v>5</v>
      </c>
      <c r="H27" s="2186">
        <f>VLOOKUP(G27,Pesos!A:B,2,0)</f>
        <v>0.5</v>
      </c>
      <c r="I27" s="1" t="s">
        <v>308</v>
      </c>
      <c r="K27" s="2" t="s">
        <v>333</v>
      </c>
      <c r="L27" s="1">
        <v>7</v>
      </c>
      <c r="M27" s="1">
        <v>5</v>
      </c>
      <c r="N27" s="1" t="s">
        <v>24</v>
      </c>
      <c r="O27" s="1">
        <v>5</v>
      </c>
      <c r="S27" s="1">
        <v>1</v>
      </c>
      <c r="T27" s="5">
        <v>4680</v>
      </c>
      <c r="U27" s="24">
        <v>0.17</v>
      </c>
      <c r="V27" s="26">
        <f t="shared" si="3"/>
        <v>3884.3999999999996</v>
      </c>
      <c r="W27" s="26">
        <f t="shared" si="4"/>
        <v>19422</v>
      </c>
    </row>
    <row r="28" spans="1:24" x14ac:dyDescent="0.3">
      <c r="A28" t="s">
        <v>343</v>
      </c>
      <c r="B28" t="s">
        <v>360</v>
      </c>
      <c r="C28" t="s">
        <v>367</v>
      </c>
      <c r="D28" t="s">
        <v>368</v>
      </c>
      <c r="E28" s="1" t="s">
        <v>237</v>
      </c>
      <c r="F28" s="1" t="s">
        <v>102</v>
      </c>
      <c r="G28" s="2186">
        <v>1</v>
      </c>
      <c r="H28" s="2186">
        <f>VLOOKUP(G28,Pesos!A:B,2,0)</f>
        <v>0.9</v>
      </c>
      <c r="J28" s="1" t="s">
        <v>308</v>
      </c>
      <c r="K28" s="1">
        <v>4</v>
      </c>
      <c r="L28" s="1">
        <v>8</v>
      </c>
      <c r="M28" s="1">
        <v>2</v>
      </c>
      <c r="N28" s="1" t="s">
        <v>24</v>
      </c>
      <c r="O28" s="1">
        <v>2</v>
      </c>
      <c r="S28" s="1">
        <v>1</v>
      </c>
      <c r="T28" s="5">
        <v>4740</v>
      </c>
      <c r="U28" s="24">
        <v>0.2</v>
      </c>
      <c r="V28" s="26">
        <f t="shared" si="3"/>
        <v>3792</v>
      </c>
      <c r="W28" s="26">
        <f t="shared" si="4"/>
        <v>7584</v>
      </c>
    </row>
    <row r="29" spans="1:24" x14ac:dyDescent="0.3">
      <c r="A29" t="s">
        <v>343</v>
      </c>
      <c r="B29" t="s">
        <v>360</v>
      </c>
      <c r="C29" t="s">
        <v>367</v>
      </c>
      <c r="D29" t="s">
        <v>368</v>
      </c>
      <c r="E29" s="1" t="s">
        <v>20</v>
      </c>
      <c r="F29" s="1" t="s">
        <v>100</v>
      </c>
      <c r="G29" s="2186">
        <v>2</v>
      </c>
      <c r="H29" s="2186">
        <f>VLOOKUP(G29,Pesos!A:B,2,0)</f>
        <v>0.8</v>
      </c>
      <c r="I29" s="1" t="s">
        <v>308</v>
      </c>
      <c r="K29" s="1">
        <v>4</v>
      </c>
      <c r="L29" s="1">
        <v>8</v>
      </c>
      <c r="M29" s="1">
        <v>5</v>
      </c>
      <c r="N29" s="1" t="s">
        <v>22</v>
      </c>
      <c r="O29" s="1">
        <v>5</v>
      </c>
      <c r="Q29" s="1">
        <v>5</v>
      </c>
      <c r="S29" s="1">
        <v>2</v>
      </c>
      <c r="T29" s="5">
        <v>5929</v>
      </c>
      <c r="U29" s="24">
        <v>0.6</v>
      </c>
      <c r="V29" s="26">
        <f t="shared" si="3"/>
        <v>2371.6</v>
      </c>
      <c r="W29" s="26">
        <f t="shared" si="4"/>
        <v>23716</v>
      </c>
    </row>
    <row r="30" spans="1:24" x14ac:dyDescent="0.3">
      <c r="A30" t="s">
        <v>343</v>
      </c>
      <c r="B30" t="s">
        <v>360</v>
      </c>
      <c r="C30" t="s">
        <v>367</v>
      </c>
      <c r="D30" t="s">
        <v>368</v>
      </c>
      <c r="E30" s="1" t="s">
        <v>238</v>
      </c>
      <c r="F30" s="1" t="s">
        <v>208</v>
      </c>
      <c r="G30" s="2186">
        <v>3</v>
      </c>
      <c r="H30" s="2186">
        <f>VLOOKUP(G30,Pesos!A:B,2,0)</f>
        <v>0.7</v>
      </c>
      <c r="I30" s="1" t="s">
        <v>308</v>
      </c>
      <c r="K30" s="1">
        <v>10</v>
      </c>
      <c r="L30" s="1">
        <v>20</v>
      </c>
      <c r="M30" s="1">
        <v>14</v>
      </c>
      <c r="N30" s="1" t="s">
        <v>63</v>
      </c>
      <c r="Q30" s="1">
        <v>14</v>
      </c>
      <c r="S30" s="1">
        <v>1</v>
      </c>
      <c r="T30" s="5">
        <v>1584</v>
      </c>
      <c r="U30" s="24">
        <v>0.16</v>
      </c>
      <c r="V30" s="26">
        <f t="shared" si="3"/>
        <v>1330.56</v>
      </c>
      <c r="W30" s="26">
        <f t="shared" si="4"/>
        <v>18627.84</v>
      </c>
    </row>
    <row r="31" spans="1:24" x14ac:dyDescent="0.3">
      <c r="A31" t="s">
        <v>343</v>
      </c>
      <c r="B31" t="s">
        <v>360</v>
      </c>
      <c r="C31" t="s">
        <v>367</v>
      </c>
      <c r="D31" t="s">
        <v>368</v>
      </c>
      <c r="E31" s="1" t="s">
        <v>179</v>
      </c>
      <c r="F31" s="1" t="s">
        <v>50</v>
      </c>
      <c r="G31" s="2186">
        <v>4</v>
      </c>
      <c r="H31" s="2186">
        <f>VLOOKUP(G31,Pesos!A:B,2,0)</f>
        <v>0.6</v>
      </c>
      <c r="I31" s="1" t="s">
        <v>308</v>
      </c>
      <c r="K31" s="1">
        <v>14</v>
      </c>
      <c r="L31" s="1">
        <v>20</v>
      </c>
      <c r="M31" s="1">
        <v>15</v>
      </c>
      <c r="N31" s="1" t="s">
        <v>24</v>
      </c>
      <c r="O31" s="1">
        <v>15</v>
      </c>
      <c r="S31" s="1">
        <v>1</v>
      </c>
      <c r="T31" s="5">
        <v>4417</v>
      </c>
      <c r="U31" s="24">
        <v>0.4</v>
      </c>
      <c r="V31" s="26">
        <f t="shared" si="3"/>
        <v>2650.2</v>
      </c>
      <c r="W31" s="26">
        <f t="shared" si="4"/>
        <v>39753</v>
      </c>
    </row>
    <row r="32" spans="1:24" x14ac:dyDescent="0.3">
      <c r="A32" t="s">
        <v>343</v>
      </c>
      <c r="B32" t="s">
        <v>360</v>
      </c>
      <c r="C32" t="s">
        <v>367</v>
      </c>
      <c r="D32" t="s">
        <v>368</v>
      </c>
      <c r="E32" s="1" t="s">
        <v>41</v>
      </c>
      <c r="F32" s="1" t="s">
        <v>168</v>
      </c>
      <c r="G32" s="2186">
        <v>6</v>
      </c>
      <c r="H32" s="2186">
        <f>VLOOKUP(G32,Pesos!A:B,2,0)</f>
        <v>0.4</v>
      </c>
      <c r="I32" s="1" t="s">
        <v>308</v>
      </c>
      <c r="K32" s="1">
        <v>14</v>
      </c>
      <c r="L32" s="1">
        <v>20</v>
      </c>
      <c r="M32" s="1">
        <v>12</v>
      </c>
      <c r="N32" s="1" t="s">
        <v>63</v>
      </c>
      <c r="O32" s="1">
        <v>12</v>
      </c>
      <c r="Q32" s="1">
        <v>12</v>
      </c>
      <c r="S32" s="1">
        <v>2</v>
      </c>
      <c r="T32" s="5">
        <v>1600</v>
      </c>
      <c r="U32" s="24">
        <v>0.7</v>
      </c>
      <c r="V32" s="26">
        <f t="shared" si="3"/>
        <v>480.00000000000006</v>
      </c>
      <c r="W32" s="26">
        <f t="shared" si="4"/>
        <v>11520.000000000002</v>
      </c>
    </row>
    <row r="33" spans="1:23" x14ac:dyDescent="0.3">
      <c r="G33" s="2186"/>
      <c r="H33" s="2186"/>
      <c r="M33" s="1"/>
      <c r="T33" s="5"/>
      <c r="U33" s="24"/>
      <c r="V33" s="26"/>
      <c r="W33" s="26"/>
    </row>
    <row r="34" spans="1:23" x14ac:dyDescent="0.3">
      <c r="A34" t="s">
        <v>326</v>
      </c>
      <c r="B34" t="s">
        <v>360</v>
      </c>
      <c r="C34" t="s">
        <v>367</v>
      </c>
      <c r="D34" t="s">
        <v>368</v>
      </c>
      <c r="E34" s="1" t="s">
        <v>236</v>
      </c>
      <c r="F34" s="1" t="s">
        <v>208</v>
      </c>
      <c r="G34" s="2186">
        <v>4</v>
      </c>
      <c r="H34" s="2186">
        <f>VLOOKUP(G34,Pesos!A:B,2,0)</f>
        <v>0.6</v>
      </c>
      <c r="I34" s="1" t="s">
        <v>308</v>
      </c>
      <c r="K34" s="1">
        <v>8</v>
      </c>
      <c r="L34" s="1">
        <v>15</v>
      </c>
      <c r="M34" s="1">
        <v>10</v>
      </c>
      <c r="N34" s="1" t="s">
        <v>63</v>
      </c>
      <c r="O34" s="1">
        <v>10</v>
      </c>
      <c r="S34" s="1">
        <v>1</v>
      </c>
      <c r="T34" s="5">
        <v>1152</v>
      </c>
      <c r="U34" s="24">
        <v>0.16</v>
      </c>
      <c r="V34" s="26">
        <f t="shared" ref="V34:V41" si="5">T34*(1-U34)</f>
        <v>967.68</v>
      </c>
      <c r="W34" s="26">
        <f t="shared" ref="W34:W41" si="6">V34*S34*M34</f>
        <v>9676.7999999999993</v>
      </c>
    </row>
    <row r="35" spans="1:23" x14ac:dyDescent="0.3">
      <c r="A35" t="s">
        <v>326</v>
      </c>
      <c r="B35" t="s">
        <v>360</v>
      </c>
      <c r="C35" t="s">
        <v>367</v>
      </c>
      <c r="D35" t="s">
        <v>368</v>
      </c>
      <c r="E35" s="1" t="s">
        <v>236</v>
      </c>
      <c r="F35" s="1" t="s">
        <v>102</v>
      </c>
      <c r="G35" s="2186">
        <v>1</v>
      </c>
      <c r="H35" s="2186">
        <f>VLOOKUP(G35,Pesos!A:B,2,0)</f>
        <v>0.9</v>
      </c>
      <c r="J35" s="1" t="s">
        <v>308</v>
      </c>
      <c r="K35" s="1">
        <v>3</v>
      </c>
      <c r="L35" s="1">
        <v>6</v>
      </c>
      <c r="M35" s="1">
        <v>3</v>
      </c>
      <c r="N35" s="1" t="s">
        <v>24</v>
      </c>
      <c r="O35" s="1">
        <v>3</v>
      </c>
      <c r="S35" s="1">
        <v>1</v>
      </c>
      <c r="T35" s="5">
        <v>4199</v>
      </c>
      <c r="U35" s="24">
        <v>0.17</v>
      </c>
      <c r="V35" s="26">
        <f t="shared" si="5"/>
        <v>3485.1699999999996</v>
      </c>
      <c r="W35" s="26">
        <f t="shared" si="6"/>
        <v>10455.509999999998</v>
      </c>
    </row>
    <row r="36" spans="1:23" x14ac:dyDescent="0.3">
      <c r="A36" t="s">
        <v>326</v>
      </c>
      <c r="B36" t="s">
        <v>360</v>
      </c>
      <c r="C36" t="s">
        <v>367</v>
      </c>
      <c r="D36" t="s">
        <v>368</v>
      </c>
      <c r="E36" s="1" t="s">
        <v>236</v>
      </c>
      <c r="F36" s="1" t="s">
        <v>26</v>
      </c>
      <c r="G36" s="2186">
        <v>5</v>
      </c>
      <c r="H36" s="2186">
        <f>VLOOKUP(G36,Pesos!A:B,2,0)</f>
        <v>0.5</v>
      </c>
      <c r="I36" s="1" t="s">
        <v>308</v>
      </c>
      <c r="K36" s="1">
        <v>2</v>
      </c>
      <c r="L36" s="1">
        <v>4</v>
      </c>
      <c r="M36" s="1">
        <v>3</v>
      </c>
      <c r="N36" s="1" t="s">
        <v>24</v>
      </c>
      <c r="O36" s="1">
        <v>3</v>
      </c>
      <c r="S36" s="1">
        <v>1</v>
      </c>
      <c r="T36" s="5">
        <v>4680</v>
      </c>
      <c r="U36" s="24">
        <v>0.17</v>
      </c>
      <c r="V36" s="26">
        <f>T36*(1-U36)</f>
        <v>3884.3999999999996</v>
      </c>
      <c r="W36" s="26">
        <f t="shared" si="6"/>
        <v>11653.199999999999</v>
      </c>
    </row>
    <row r="37" spans="1:23" x14ac:dyDescent="0.3">
      <c r="A37" t="s">
        <v>326</v>
      </c>
      <c r="B37" t="s">
        <v>360</v>
      </c>
      <c r="C37" t="s">
        <v>367</v>
      </c>
      <c r="D37" t="s">
        <v>368</v>
      </c>
      <c r="E37" s="1" t="s">
        <v>237</v>
      </c>
      <c r="F37" s="1" t="s">
        <v>102</v>
      </c>
      <c r="G37" s="2186">
        <v>1</v>
      </c>
      <c r="H37" s="2186">
        <f>VLOOKUP(G37,Pesos!A:B,2,0)</f>
        <v>0.9</v>
      </c>
      <c r="J37" s="1" t="s">
        <v>308</v>
      </c>
      <c r="K37" s="1">
        <v>3</v>
      </c>
      <c r="L37" s="1">
        <v>6</v>
      </c>
      <c r="M37" s="1">
        <v>1</v>
      </c>
      <c r="N37" s="1" t="s">
        <v>24</v>
      </c>
      <c r="O37" s="1">
        <v>1</v>
      </c>
      <c r="S37" s="1">
        <v>1</v>
      </c>
      <c r="T37" s="5">
        <v>4740</v>
      </c>
      <c r="U37" s="24">
        <v>0.2</v>
      </c>
      <c r="V37" s="26">
        <f t="shared" si="5"/>
        <v>3792</v>
      </c>
      <c r="W37" s="26">
        <f t="shared" si="6"/>
        <v>3792</v>
      </c>
    </row>
    <row r="38" spans="1:23" x14ac:dyDescent="0.3">
      <c r="A38" t="s">
        <v>326</v>
      </c>
      <c r="B38" t="s">
        <v>360</v>
      </c>
      <c r="C38" t="s">
        <v>367</v>
      </c>
      <c r="D38" t="s">
        <v>368</v>
      </c>
      <c r="E38" s="1" t="s">
        <v>20</v>
      </c>
      <c r="F38" s="1" t="s">
        <v>100</v>
      </c>
      <c r="G38" s="2186">
        <v>2</v>
      </c>
      <c r="H38" s="2186">
        <f>VLOOKUP(G38,Pesos!A:B,2,0)</f>
        <v>0.8</v>
      </c>
      <c r="I38" s="1" t="s">
        <v>308</v>
      </c>
      <c r="K38" s="1">
        <v>3</v>
      </c>
      <c r="L38" s="1">
        <v>6</v>
      </c>
      <c r="M38" s="1">
        <v>3</v>
      </c>
      <c r="N38" s="1" t="s">
        <v>22</v>
      </c>
      <c r="O38" s="1">
        <v>3</v>
      </c>
      <c r="Q38" s="1">
        <v>3</v>
      </c>
      <c r="S38" s="1">
        <v>2</v>
      </c>
      <c r="T38" s="5">
        <v>5929</v>
      </c>
      <c r="U38" s="24">
        <v>0.6</v>
      </c>
      <c r="V38" s="26">
        <f t="shared" si="5"/>
        <v>2371.6</v>
      </c>
      <c r="W38" s="26">
        <f t="shared" si="6"/>
        <v>14229.599999999999</v>
      </c>
    </row>
    <row r="39" spans="1:23" x14ac:dyDescent="0.3">
      <c r="A39" t="s">
        <v>326</v>
      </c>
      <c r="B39" t="s">
        <v>360</v>
      </c>
      <c r="C39" t="s">
        <v>367</v>
      </c>
      <c r="D39" t="s">
        <v>368</v>
      </c>
      <c r="E39" s="1" t="s">
        <v>238</v>
      </c>
      <c r="F39" s="1" t="s">
        <v>208</v>
      </c>
      <c r="G39" s="2186">
        <v>4</v>
      </c>
      <c r="H39" s="2186">
        <f>VLOOKUP(G39,Pesos!A:B,2,0)</f>
        <v>0.6</v>
      </c>
      <c r="I39" s="1" t="s">
        <v>308</v>
      </c>
      <c r="K39" s="1">
        <v>8</v>
      </c>
      <c r="L39" s="1">
        <v>15</v>
      </c>
      <c r="M39" s="1">
        <v>7</v>
      </c>
      <c r="N39" s="1" t="s">
        <v>63</v>
      </c>
      <c r="Q39" s="1">
        <v>7</v>
      </c>
      <c r="S39" s="1">
        <v>1</v>
      </c>
      <c r="T39" s="5">
        <v>1584</v>
      </c>
      <c r="U39" s="24">
        <v>0.16</v>
      </c>
      <c r="V39" s="26">
        <f t="shared" si="5"/>
        <v>1330.56</v>
      </c>
      <c r="W39" s="26">
        <f t="shared" si="6"/>
        <v>9313.92</v>
      </c>
    </row>
    <row r="40" spans="1:23" x14ac:dyDescent="0.3">
      <c r="A40" t="s">
        <v>326</v>
      </c>
      <c r="B40" t="s">
        <v>360</v>
      </c>
      <c r="C40" t="s">
        <v>367</v>
      </c>
      <c r="D40" t="s">
        <v>368</v>
      </c>
      <c r="E40" s="1" t="s">
        <v>179</v>
      </c>
      <c r="F40" s="1" t="s">
        <v>50</v>
      </c>
      <c r="G40" s="2186">
        <v>3</v>
      </c>
      <c r="H40" s="2186">
        <f>VLOOKUP(G40,Pesos!A:B,2,0)</f>
        <v>0.7</v>
      </c>
      <c r="I40" s="1" t="s">
        <v>308</v>
      </c>
      <c r="K40" s="1">
        <v>8</v>
      </c>
      <c r="L40" s="1">
        <v>14</v>
      </c>
      <c r="M40" s="1">
        <v>10</v>
      </c>
      <c r="N40" s="1" t="s">
        <v>24</v>
      </c>
      <c r="O40" s="1">
        <v>10</v>
      </c>
      <c r="S40" s="1">
        <v>1</v>
      </c>
      <c r="T40" s="5">
        <v>4417</v>
      </c>
      <c r="U40" s="24">
        <v>0.4</v>
      </c>
      <c r="V40" s="26">
        <f t="shared" si="5"/>
        <v>2650.2</v>
      </c>
      <c r="W40" s="26">
        <f t="shared" si="6"/>
        <v>26502</v>
      </c>
    </row>
    <row r="41" spans="1:23" x14ac:dyDescent="0.3">
      <c r="A41" t="s">
        <v>326</v>
      </c>
      <c r="B41" t="s">
        <v>360</v>
      </c>
      <c r="C41" t="s">
        <v>367</v>
      </c>
      <c r="D41" t="s">
        <v>368</v>
      </c>
      <c r="E41" s="1" t="s">
        <v>41</v>
      </c>
      <c r="F41" s="1" t="s">
        <v>168</v>
      </c>
      <c r="G41" s="2186">
        <v>6</v>
      </c>
      <c r="H41" s="2186">
        <f>VLOOKUP(G41,Pesos!A:B,2,0)</f>
        <v>0.4</v>
      </c>
      <c r="I41" s="1" t="s">
        <v>308</v>
      </c>
      <c r="K41" s="1">
        <v>8</v>
      </c>
      <c r="L41" s="1">
        <v>14</v>
      </c>
      <c r="M41" s="1">
        <v>8</v>
      </c>
      <c r="N41" s="1" t="s">
        <v>63</v>
      </c>
      <c r="O41" s="1">
        <v>8</v>
      </c>
      <c r="Q41" s="1">
        <v>8</v>
      </c>
      <c r="S41" s="1">
        <v>2</v>
      </c>
      <c r="T41" s="5">
        <v>1600</v>
      </c>
      <c r="U41" s="24">
        <v>0.7</v>
      </c>
      <c r="V41" s="26">
        <f t="shared" si="5"/>
        <v>480.00000000000006</v>
      </c>
      <c r="W41" s="26">
        <f t="shared" si="6"/>
        <v>7680.0000000000009</v>
      </c>
    </row>
    <row r="42" spans="1:23" x14ac:dyDescent="0.3">
      <c r="M42" s="1"/>
      <c r="T42" s="28"/>
      <c r="U42" s="29"/>
      <c r="V42" s="26"/>
      <c r="W42" s="26"/>
    </row>
    <row r="43" spans="1:23" x14ac:dyDescent="0.3">
      <c r="M43" s="1"/>
      <c r="T43" s="28"/>
      <c r="U43" s="29"/>
      <c r="V43" s="26"/>
      <c r="W43" s="26"/>
    </row>
    <row r="44" spans="1:23" x14ac:dyDescent="0.3">
      <c r="M44" s="1"/>
      <c r="T44" s="28"/>
      <c r="U44" s="29"/>
      <c r="V44" s="26"/>
      <c r="W44" s="26"/>
    </row>
    <row r="46" spans="1:23" x14ac:dyDescent="0.3">
      <c r="M46" s="1"/>
      <c r="T46" s="26"/>
      <c r="U46" s="24"/>
      <c r="V46" s="26"/>
      <c r="W46" s="26"/>
    </row>
    <row r="47" spans="1:23" x14ac:dyDescent="0.3">
      <c r="M47" s="1"/>
      <c r="T47" s="26"/>
      <c r="U47" s="24"/>
      <c r="V47" s="26"/>
      <c r="W47" s="26"/>
    </row>
    <row r="48" spans="1:23" x14ac:dyDescent="0.3">
      <c r="M48" s="1"/>
      <c r="T48" s="26"/>
      <c r="U48" s="24"/>
      <c r="V48" s="26"/>
      <c r="W48" s="26"/>
    </row>
    <row r="49" spans="1:23" x14ac:dyDescent="0.3">
      <c r="M49" s="1"/>
      <c r="T49" s="26"/>
      <c r="U49" s="24"/>
      <c r="V49" s="26"/>
      <c r="W49" s="26"/>
    </row>
    <row r="50" spans="1:23" x14ac:dyDescent="0.3">
      <c r="M50" s="1"/>
      <c r="T50" s="26"/>
      <c r="U50" s="24"/>
      <c r="V50" s="26"/>
      <c r="W50" s="26"/>
    </row>
    <row r="51" spans="1:23" x14ac:dyDescent="0.3">
      <c r="A51" s="47"/>
      <c r="D51" s="43" t="s">
        <v>1158</v>
      </c>
      <c r="E51" s="43" t="s">
        <v>1159</v>
      </c>
      <c r="F51" s="43" t="s">
        <v>1160</v>
      </c>
      <c r="G51" s="43"/>
      <c r="M51" s="1"/>
      <c r="T51" s="26"/>
      <c r="U51" s="24"/>
      <c r="V51" s="26"/>
      <c r="W51" s="26"/>
    </row>
    <row r="52" spans="1:23" x14ac:dyDescent="0.3">
      <c r="A52" s="47" t="s">
        <v>1161</v>
      </c>
      <c r="B52" s="2174"/>
      <c r="C52" s="2174"/>
      <c r="D52" s="2181">
        <f>E52*(1-10%)</f>
        <v>2426.4661304347828</v>
      </c>
      <c r="E52" s="427">
        <f>TERESINA!S49</f>
        <v>2696.0734782608697</v>
      </c>
      <c r="F52" s="427">
        <f>E52*(1+15%)</f>
        <v>3100.4845</v>
      </c>
      <c r="G52" s="427"/>
      <c r="M52" s="1"/>
      <c r="T52" s="28"/>
      <c r="U52" s="29"/>
      <c r="V52" s="26"/>
      <c r="W52" s="26"/>
    </row>
    <row r="53" spans="1:23" x14ac:dyDescent="0.3">
      <c r="A53" s="47" t="s">
        <v>1162</v>
      </c>
      <c r="B53" s="2174"/>
      <c r="C53" s="2174"/>
      <c r="D53" s="2181">
        <f>E53*(1-25%)</f>
        <v>1350.0576315789474</v>
      </c>
      <c r="E53" s="427">
        <f>TERESINA!S77</f>
        <v>1800.0768421052633</v>
      </c>
      <c r="F53" s="427">
        <f>E53*(1+5%)</f>
        <v>1890.0806842105264</v>
      </c>
      <c r="G53" s="427"/>
      <c r="M53" s="1"/>
      <c r="T53" s="28"/>
      <c r="U53" s="29"/>
      <c r="V53" s="26"/>
      <c r="W53" s="26"/>
    </row>
    <row r="54" spans="1:23" x14ac:dyDescent="0.3">
      <c r="A54" s="47" t="s">
        <v>550</v>
      </c>
      <c r="B54" s="2174"/>
      <c r="C54" s="2174"/>
      <c r="D54" s="2181">
        <f>E54*(1-15%)</f>
        <v>2146.8180833333331</v>
      </c>
      <c r="E54" s="427">
        <f>TERESINA!S113</f>
        <v>2525.6683333333331</v>
      </c>
      <c r="F54" s="427">
        <f>E54*(1+15%)</f>
        <v>2904.518583333333</v>
      </c>
      <c r="G54" s="427"/>
      <c r="M54" s="1"/>
      <c r="T54" s="28"/>
      <c r="U54" s="29"/>
      <c r="V54" s="26"/>
      <c r="W54" s="26"/>
    </row>
    <row r="55" spans="1:23" x14ac:dyDescent="0.3">
      <c r="A55" s="47" t="s">
        <v>679</v>
      </c>
      <c r="B55" s="2174"/>
      <c r="C55" s="2174"/>
      <c r="D55" s="2181">
        <f>E55*(1-25%)</f>
        <v>1427.5302127659575</v>
      </c>
      <c r="E55" s="427">
        <f>TERESINA!S141</f>
        <v>1903.3736170212765</v>
      </c>
      <c r="F55" s="427">
        <f>E55*(1+5%)</f>
        <v>1998.5422978723404</v>
      </c>
      <c r="G55" s="427"/>
    </row>
    <row r="56" spans="1:23" x14ac:dyDescent="0.3">
      <c r="A56" s="47" t="s">
        <v>568</v>
      </c>
      <c r="B56" s="2174"/>
      <c r="C56" s="2174"/>
      <c r="D56" s="2181">
        <f>E56*(1-25%)</f>
        <v>1584.4155803571427</v>
      </c>
      <c r="E56" s="427">
        <f>TERESINA!S176</f>
        <v>2112.554107142857</v>
      </c>
      <c r="F56" s="427">
        <f>E56*(1+5%)</f>
        <v>2218.1818125</v>
      </c>
      <c r="G56" s="427"/>
    </row>
    <row r="57" spans="1:23" x14ac:dyDescent="0.3">
      <c r="A57" s="47"/>
      <c r="B57" s="47"/>
      <c r="C57" s="47"/>
      <c r="D57" s="48"/>
    </row>
    <row r="58" spans="1:23" x14ac:dyDescent="0.3">
      <c r="A58" s="47"/>
      <c r="B58" s="46"/>
      <c r="C58" s="46"/>
      <c r="D58" s="2314" t="s">
        <v>1163</v>
      </c>
      <c r="E58" s="2315"/>
      <c r="F58" s="2315"/>
      <c r="G58" s="2316"/>
    </row>
    <row r="59" spans="1:23" x14ac:dyDescent="0.3">
      <c r="A59" s="47" t="s">
        <v>1161</v>
      </c>
      <c r="B59" s="2175"/>
      <c r="C59" s="2175"/>
      <c r="D59" s="3">
        <v>0.66666666666666663</v>
      </c>
      <c r="E59" s="3"/>
      <c r="F59" s="3">
        <v>0.33333333333333331</v>
      </c>
      <c r="G59" s="3"/>
    </row>
    <row r="60" spans="1:23" x14ac:dyDescent="0.3">
      <c r="A60" s="47" t="s">
        <v>1162</v>
      </c>
      <c r="B60" s="2175"/>
      <c r="C60" s="2175"/>
      <c r="D60" s="2175">
        <v>0.66666666666666663</v>
      </c>
      <c r="E60" s="304"/>
      <c r="F60" s="304">
        <v>0.33333333333333331</v>
      </c>
      <c r="G60" s="304"/>
    </row>
    <row r="61" spans="1:23" x14ac:dyDescent="0.3">
      <c r="A61" s="47" t="s">
        <v>550</v>
      </c>
      <c r="B61" s="2175"/>
      <c r="C61" s="2175"/>
      <c r="D61" s="2175">
        <v>0.66666666666666663</v>
      </c>
      <c r="E61" s="304"/>
      <c r="F61" s="304">
        <v>0.33333333333333331</v>
      </c>
      <c r="G61" s="304"/>
    </row>
    <row r="62" spans="1:23" x14ac:dyDescent="0.3">
      <c r="A62" s="47" t="s">
        <v>679</v>
      </c>
      <c r="B62" s="2175"/>
      <c r="C62" s="2175"/>
      <c r="D62" s="2175">
        <v>0.67021276595744683</v>
      </c>
      <c r="E62" s="304"/>
      <c r="F62" s="304">
        <v>0.32978723404255317</v>
      </c>
      <c r="G62" s="304"/>
    </row>
    <row r="63" spans="1:23" x14ac:dyDescent="0.3">
      <c r="A63" s="47" t="s">
        <v>568</v>
      </c>
      <c r="B63" s="47"/>
      <c r="C63" s="47"/>
      <c r="D63" s="2175">
        <v>0.6785714285714286</v>
      </c>
      <c r="E63" s="3"/>
      <c r="F63" s="304">
        <v>0.32142857142857145</v>
      </c>
    </row>
    <row r="64" spans="1:23" x14ac:dyDescent="0.3">
      <c r="A64" s="47"/>
      <c r="B64" s="47"/>
      <c r="C64" s="47"/>
      <c r="D64" s="48"/>
    </row>
    <row r="65" spans="1:7" x14ac:dyDescent="0.3">
      <c r="A65" s="47"/>
      <c r="B65" s="47"/>
      <c r="C65" s="47"/>
      <c r="D65" s="48"/>
    </row>
    <row r="66" spans="1:7" x14ac:dyDescent="0.3">
      <c r="A66" s="47"/>
      <c r="B66" s="47"/>
      <c r="C66" s="47"/>
      <c r="D66" s="48"/>
    </row>
    <row r="67" spans="1:7" x14ac:dyDescent="0.3">
      <c r="A67" s="47"/>
      <c r="B67" s="46"/>
      <c r="C67" s="46"/>
      <c r="D67" s="2314" t="s">
        <v>1164</v>
      </c>
      <c r="E67" s="2315"/>
      <c r="F67" s="2315"/>
      <c r="G67" s="2316"/>
    </row>
    <row r="68" spans="1:7" x14ac:dyDescent="0.3">
      <c r="A68" s="47" t="s">
        <v>1161</v>
      </c>
      <c r="B68" s="2175"/>
      <c r="C68" s="2175"/>
      <c r="D68" s="2175">
        <v>0.29487179487179488</v>
      </c>
      <c r="E68" s="2175">
        <v>0.26282051282051283</v>
      </c>
      <c r="F68" s="2175">
        <v>0.23717948717948717</v>
      </c>
      <c r="G68" s="2175">
        <v>0.20512820512820512</v>
      </c>
    </row>
    <row r="69" spans="1:7" x14ac:dyDescent="0.3">
      <c r="A69" s="47" t="s">
        <v>1162</v>
      </c>
      <c r="B69" s="6"/>
      <c r="C69" s="6"/>
      <c r="D69" s="6">
        <v>0.27536231884057971</v>
      </c>
      <c r="E69" s="2175">
        <v>0.25724637681159418</v>
      </c>
      <c r="F69" s="2175">
        <v>0.24275362318840579</v>
      </c>
      <c r="G69" s="2175">
        <v>0.22463768115942029</v>
      </c>
    </row>
    <row r="70" spans="1:7" x14ac:dyDescent="0.3">
      <c r="A70" s="47" t="s">
        <v>550</v>
      </c>
      <c r="B70" s="2175"/>
      <c r="C70" s="2175"/>
      <c r="D70" s="2175">
        <v>0.375</v>
      </c>
      <c r="E70" s="2175">
        <v>0.33333333333333331</v>
      </c>
      <c r="F70" s="2175">
        <v>0.29166666666666669</v>
      </c>
      <c r="G70" s="2175"/>
    </row>
    <row r="71" spans="1:7" x14ac:dyDescent="0.3">
      <c r="A71" s="47" t="s">
        <v>679</v>
      </c>
      <c r="B71" s="2175"/>
      <c r="C71" s="2175"/>
      <c r="D71" s="6">
        <v>0.36428571428571427</v>
      </c>
      <c r="E71" s="6">
        <v>0.32857142857142857</v>
      </c>
      <c r="F71" s="6">
        <v>0.30714285714285716</v>
      </c>
      <c r="G71" s="2200"/>
    </row>
    <row r="72" spans="1:7" x14ac:dyDescent="0.3">
      <c r="A72" s="47" t="s">
        <v>568</v>
      </c>
      <c r="B72" s="47"/>
      <c r="C72" s="47"/>
      <c r="D72" s="6">
        <v>0.36144578313253012</v>
      </c>
      <c r="E72" s="2175">
        <v>0.3253012048192771</v>
      </c>
      <c r="F72" s="2175">
        <v>0.31325301204819278</v>
      </c>
      <c r="G72" s="2175"/>
    </row>
    <row r="74" spans="1:7" x14ac:dyDescent="0.3">
      <c r="A74" s="47"/>
      <c r="B74" s="47"/>
      <c r="C74" s="47"/>
      <c r="D74" s="47"/>
      <c r="E74" s="48"/>
      <c r="F74" s="48"/>
      <c r="G74" s="48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G177"/>
  <sheetViews>
    <sheetView workbookViewId="0"/>
  </sheetViews>
  <sheetFormatPr defaultRowHeight="14.4" x14ac:dyDescent="0.3"/>
  <sheetData>
    <row r="1" spans="1:5" ht="21" x14ac:dyDescent="0.4">
      <c r="A1" s="92" t="s">
        <v>1197</v>
      </c>
    </row>
    <row r="2" spans="1:5" x14ac:dyDescent="0.3">
      <c r="A2" t="s">
        <v>452</v>
      </c>
    </row>
    <row r="3" spans="1:5" x14ac:dyDescent="0.3">
      <c r="A3" s="93"/>
      <c r="B3" s="94"/>
    </row>
    <row r="5" spans="1:5" x14ac:dyDescent="0.3">
      <c r="B5" s="95"/>
    </row>
    <row r="6" spans="1:5" x14ac:dyDescent="0.3">
      <c r="B6" s="96"/>
      <c r="C6" s="603"/>
    </row>
    <row r="7" spans="1:5" x14ac:dyDescent="0.3">
      <c r="A7" s="100" t="s">
        <v>1198</v>
      </c>
      <c r="B7" s="101">
        <v>623151.37</v>
      </c>
      <c r="C7" s="102"/>
    </row>
    <row r="8" spans="1:5" x14ac:dyDescent="0.3">
      <c r="A8" s="100" t="s">
        <v>1199</v>
      </c>
      <c r="B8" s="101">
        <v>989370.61999999988</v>
      </c>
      <c r="C8" s="97"/>
    </row>
    <row r="9" spans="1:5" x14ac:dyDescent="0.3">
      <c r="C9" s="97"/>
    </row>
    <row r="10" spans="1:5" x14ac:dyDescent="0.3">
      <c r="A10" s="103" t="s">
        <v>1200</v>
      </c>
      <c r="B10" s="104">
        <v>1213183.125</v>
      </c>
      <c r="C10" s="105"/>
    </row>
    <row r="11" spans="1:5" x14ac:dyDescent="0.3">
      <c r="A11" s="100" t="s">
        <v>1201</v>
      </c>
      <c r="B11" s="101">
        <v>1733118.75</v>
      </c>
      <c r="C11" s="3"/>
    </row>
    <row r="14" spans="1:5" x14ac:dyDescent="0.3">
      <c r="A14" s="4" t="s">
        <v>457</v>
      </c>
    </row>
    <row r="15" spans="1:5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</row>
    <row r="16" spans="1:5" x14ac:dyDescent="0.3">
      <c r="A16" s="107" t="s">
        <v>606</v>
      </c>
      <c r="B16" s="108" t="s">
        <v>463</v>
      </c>
      <c r="C16" s="109">
        <v>0.43</v>
      </c>
      <c r="D16" s="110">
        <f>B10*C16</f>
        <v>521668.74374999997</v>
      </c>
      <c r="E16" s="110">
        <f>D16/3</f>
        <v>173889.58124999999</v>
      </c>
    </row>
    <row r="17" spans="1:32" x14ac:dyDescent="0.3">
      <c r="A17" s="107" t="s">
        <v>607</v>
      </c>
      <c r="B17" s="108" t="s">
        <v>465</v>
      </c>
      <c r="C17" s="109">
        <v>0.46</v>
      </c>
      <c r="D17" s="110">
        <f>B10*C17</f>
        <v>558064.23750000005</v>
      </c>
      <c r="E17" s="110">
        <f>D17/5</f>
        <v>111612.8475</v>
      </c>
    </row>
    <row r="18" spans="1:32" x14ac:dyDescent="0.3">
      <c r="A18" s="107" t="s">
        <v>608</v>
      </c>
      <c r="B18" s="108">
        <v>3</v>
      </c>
      <c r="C18" s="109">
        <v>0.11</v>
      </c>
      <c r="D18" s="110">
        <f>B10*C18</f>
        <v>133450.14374999999</v>
      </c>
      <c r="E18" s="110">
        <f>D18/3</f>
        <v>44483.381249999999</v>
      </c>
    </row>
    <row r="19" spans="1:32" x14ac:dyDescent="0.3">
      <c r="B19" s="1" t="s">
        <v>467</v>
      </c>
      <c r="C19" s="3">
        <f>SUM(C16:C18)</f>
        <v>1</v>
      </c>
      <c r="D19" s="112">
        <f>SUM(D16:D18)</f>
        <v>1213183.125</v>
      </c>
    </row>
    <row r="22" spans="1:32" x14ac:dyDescent="0.3">
      <c r="A22" s="100" t="s">
        <v>769</v>
      </c>
      <c r="B22" s="769">
        <v>1037775</v>
      </c>
      <c r="Q22" s="115"/>
    </row>
    <row r="23" spans="1:32" x14ac:dyDescent="0.3">
      <c r="A23" s="714" t="s">
        <v>579</v>
      </c>
      <c r="B23" s="770">
        <v>408977</v>
      </c>
      <c r="E23" s="1" t="s">
        <v>470</v>
      </c>
      <c r="F23" s="2" t="s">
        <v>1082</v>
      </c>
      <c r="H23" s="1" t="s">
        <v>472</v>
      </c>
      <c r="J23" s="304">
        <v>0.47</v>
      </c>
      <c r="K23" s="304"/>
      <c r="L23" s="304"/>
    </row>
    <row r="24" spans="1:32" x14ac:dyDescent="0.3">
      <c r="E24" s="1" t="s">
        <v>473</v>
      </c>
      <c r="F24" s="2" t="s">
        <v>80</v>
      </c>
      <c r="H24" s="1" t="s">
        <v>473</v>
      </c>
      <c r="J24" s="1">
        <v>31</v>
      </c>
      <c r="K24" s="1"/>
      <c r="L24" s="1"/>
    </row>
    <row r="25" spans="1:32" x14ac:dyDescent="0.3">
      <c r="E25" s="1" t="s">
        <v>475</v>
      </c>
      <c r="F25" s="2" t="s">
        <v>1083</v>
      </c>
      <c r="H25" s="1" t="s">
        <v>475</v>
      </c>
      <c r="J25" s="95">
        <v>1462</v>
      </c>
      <c r="K25" s="95"/>
      <c r="L25" s="95"/>
      <c r="P25" s="115"/>
    </row>
    <row r="26" spans="1:32" x14ac:dyDescent="0.3">
      <c r="E26" s="1" t="s">
        <v>477</v>
      </c>
      <c r="F26" s="2" t="s">
        <v>1084</v>
      </c>
      <c r="H26" s="1" t="s">
        <v>477</v>
      </c>
      <c r="J26" s="95">
        <v>8328807</v>
      </c>
      <c r="K26" s="95"/>
      <c r="L26" s="95"/>
      <c r="O26" s="98"/>
      <c r="S26" s="116"/>
    </row>
    <row r="27" spans="1:32" x14ac:dyDescent="0.3">
      <c r="O27" s="98"/>
      <c r="P27" s="117"/>
    </row>
    <row r="28" spans="1:32" ht="18" x14ac:dyDescent="0.35">
      <c r="A28" s="1037" t="s">
        <v>479</v>
      </c>
      <c r="O28" s="98"/>
      <c r="P28" s="117"/>
    </row>
    <row r="29" spans="1:32" x14ac:dyDescent="0.3">
      <c r="O29" s="119"/>
    </row>
    <row r="30" spans="1:32" x14ac:dyDescent="0.3">
      <c r="A30" s="2587" t="s">
        <v>480</v>
      </c>
      <c r="B30" s="2588"/>
      <c r="C30" s="2588"/>
      <c r="D30" s="2588"/>
      <c r="E30" s="2588"/>
      <c r="F30" s="2588"/>
      <c r="G30" s="2588"/>
      <c r="H30" s="2588"/>
      <c r="I30" s="2588"/>
      <c r="J30" s="2588"/>
      <c r="K30" s="2588"/>
      <c r="L30" s="2588"/>
      <c r="M30" s="2588"/>
      <c r="N30" s="2588"/>
      <c r="O30" s="2588"/>
      <c r="P30" s="2588"/>
      <c r="Q30" s="2588"/>
      <c r="R30" s="2589"/>
      <c r="S30" s="2563" t="s">
        <v>584</v>
      </c>
      <c r="T30" s="2564"/>
      <c r="U30" s="2564"/>
      <c r="V30" s="2564"/>
      <c r="W30" s="2564"/>
      <c r="X30" s="2564"/>
      <c r="Y30" s="2564"/>
      <c r="Z30" s="2564"/>
      <c r="AA30" s="2564"/>
      <c r="AB30" s="2564"/>
      <c r="AC30" s="2564"/>
      <c r="AD30" s="2564"/>
      <c r="AE30" s="2564"/>
      <c r="AF30" s="2576"/>
    </row>
    <row r="31" spans="1:32" ht="18" x14ac:dyDescent="0.3">
      <c r="A31" s="2722" t="s">
        <v>482</v>
      </c>
      <c r="B31" s="2723" t="s">
        <v>483</v>
      </c>
      <c r="C31" s="2723" t="s">
        <v>484</v>
      </c>
      <c r="D31" s="2723" t="s">
        <v>485</v>
      </c>
      <c r="E31" s="2723" t="s">
        <v>486</v>
      </c>
      <c r="F31" s="2724" t="s">
        <v>487</v>
      </c>
      <c r="G31" s="2723" t="s">
        <v>488</v>
      </c>
      <c r="H31" s="2723" t="s">
        <v>489</v>
      </c>
      <c r="I31" s="1381" t="s">
        <v>490</v>
      </c>
      <c r="J31" s="1381"/>
      <c r="K31" s="1381"/>
      <c r="L31" s="1381"/>
      <c r="M31" s="1382" t="s">
        <v>491</v>
      </c>
      <c r="N31" s="1383" t="s">
        <v>492</v>
      </c>
      <c r="O31" s="1384" t="s">
        <v>493</v>
      </c>
      <c r="P31" s="1383" t="s">
        <v>492</v>
      </c>
      <c r="Q31" s="1383" t="s">
        <v>494</v>
      </c>
      <c r="R31" s="1385" t="s">
        <v>495</v>
      </c>
      <c r="S31" s="1052" t="s">
        <v>496</v>
      </c>
      <c r="T31" s="2582" t="s">
        <v>497</v>
      </c>
      <c r="U31" s="2581"/>
      <c r="V31" s="2581"/>
      <c r="W31" s="2581"/>
      <c r="X31" s="2581"/>
      <c r="Y31" s="2582" t="s">
        <v>498</v>
      </c>
      <c r="Z31" s="2581"/>
      <c r="AA31" s="2608" t="s">
        <v>499</v>
      </c>
      <c r="AB31" s="2607"/>
      <c r="AC31" s="2607"/>
      <c r="AD31" s="2607"/>
      <c r="AE31" s="2607"/>
      <c r="AF31" s="2609"/>
    </row>
    <row r="32" spans="1:32" ht="18" x14ac:dyDescent="0.3">
      <c r="A32" s="2722"/>
      <c r="B32" s="2723"/>
      <c r="C32" s="2723"/>
      <c r="D32" s="2723"/>
      <c r="E32" s="2723"/>
      <c r="F32" s="2724"/>
      <c r="G32" s="2723"/>
      <c r="H32" s="2723"/>
      <c r="I32" s="1386" t="s">
        <v>500</v>
      </c>
      <c r="J32" s="1386" t="s">
        <v>501</v>
      </c>
      <c r="K32" s="1386" t="s">
        <v>502</v>
      </c>
      <c r="L32" s="1386" t="s">
        <v>503</v>
      </c>
      <c r="M32" s="1382" t="s">
        <v>504</v>
      </c>
      <c r="N32" s="1383" t="s">
        <v>505</v>
      </c>
      <c r="O32" s="1384" t="s">
        <v>506</v>
      </c>
      <c r="P32" s="1383" t="s">
        <v>507</v>
      </c>
      <c r="Q32" s="1383" t="s">
        <v>507</v>
      </c>
      <c r="R32" s="1385"/>
      <c r="S32" s="1052" t="s">
        <v>508</v>
      </c>
      <c r="T32" s="2787"/>
      <c r="U32" s="2788"/>
      <c r="V32" s="2788"/>
      <c r="W32" s="2788"/>
      <c r="X32" s="2788"/>
      <c r="Y32" s="2787"/>
      <c r="Z32" s="2788"/>
      <c r="AA32" s="2787"/>
      <c r="AB32" s="2788"/>
      <c r="AC32" s="2788"/>
      <c r="AD32" s="2788"/>
      <c r="AE32" s="2788"/>
      <c r="AF32" s="2789"/>
    </row>
    <row r="33" spans="1:32" ht="15.6" x14ac:dyDescent="0.3">
      <c r="A33" s="2796" t="s">
        <v>509</v>
      </c>
      <c r="B33" s="2797"/>
      <c r="C33" s="2797"/>
      <c r="D33" s="2797"/>
      <c r="E33" s="2797"/>
      <c r="F33" s="2797"/>
      <c r="G33" s="2797"/>
      <c r="H33" s="2797"/>
      <c r="I33" s="2797"/>
      <c r="J33" s="2797"/>
      <c r="K33" s="2797"/>
      <c r="L33" s="2797"/>
      <c r="M33" s="2797"/>
      <c r="N33" s="2797"/>
      <c r="O33" s="2797"/>
      <c r="P33" s="2797"/>
      <c r="Q33" s="2797"/>
      <c r="R33" s="2797"/>
      <c r="S33" s="1577"/>
      <c r="T33" s="1553" t="s">
        <v>510</v>
      </c>
      <c r="U33" s="1554" t="s">
        <v>11</v>
      </c>
      <c r="V33" s="1554" t="s">
        <v>511</v>
      </c>
      <c r="W33" s="1554" t="s">
        <v>512</v>
      </c>
      <c r="X33" s="1578" t="s">
        <v>513</v>
      </c>
      <c r="Y33" s="1553" t="s">
        <v>514</v>
      </c>
      <c r="Z33" s="1578" t="s">
        <v>515</v>
      </c>
      <c r="AA33" s="1553" t="s">
        <v>239</v>
      </c>
      <c r="AB33" s="1554" t="s">
        <v>240</v>
      </c>
      <c r="AC33" s="1554" t="s">
        <v>241</v>
      </c>
      <c r="AD33" s="1554" t="s">
        <v>242</v>
      </c>
      <c r="AE33" s="1554" t="s">
        <v>10</v>
      </c>
      <c r="AF33" s="1578" t="s">
        <v>5</v>
      </c>
    </row>
    <row r="34" spans="1:32" x14ac:dyDescent="0.3">
      <c r="A34" s="157"/>
      <c r="B34" s="157"/>
      <c r="C34" s="157"/>
      <c r="D34" s="157"/>
      <c r="E34" s="157"/>
      <c r="F34" s="158"/>
      <c r="G34" s="157"/>
      <c r="H34" s="157"/>
      <c r="I34" s="188"/>
      <c r="L34" s="286"/>
      <c r="M34" s="163"/>
      <c r="N34" s="164"/>
      <c r="O34" s="165"/>
      <c r="P34" s="164"/>
      <c r="Q34" s="164"/>
      <c r="R34" s="1046"/>
      <c r="S34" s="164"/>
      <c r="T34" s="394"/>
      <c r="U34" s="169"/>
      <c r="V34" s="169"/>
      <c r="W34" s="169"/>
      <c r="X34" s="395"/>
      <c r="Y34" s="394"/>
      <c r="Z34" s="395"/>
      <c r="AA34" s="464"/>
      <c r="AB34" s="465"/>
      <c r="AC34" s="465"/>
      <c r="AD34" s="465"/>
      <c r="AE34" s="465"/>
      <c r="AF34" s="466"/>
    </row>
    <row r="35" spans="1:32" x14ac:dyDescent="0.3">
      <c r="A35" s="157" t="s">
        <v>1085</v>
      </c>
      <c r="B35" s="157" t="s">
        <v>243</v>
      </c>
      <c r="C35" s="157" t="s">
        <v>1075</v>
      </c>
      <c r="D35" s="157" t="s">
        <v>208</v>
      </c>
      <c r="E35" s="157" t="s">
        <v>520</v>
      </c>
      <c r="F35" s="158" t="s">
        <v>876</v>
      </c>
      <c r="G35" s="157">
        <v>14</v>
      </c>
      <c r="H35" s="157" t="s">
        <v>63</v>
      </c>
      <c r="I35" s="175">
        <v>14</v>
      </c>
      <c r="J35" s="688"/>
      <c r="L35" s="286"/>
      <c r="M35" s="163">
        <v>1</v>
      </c>
      <c r="N35" s="166">
        <v>2268</v>
      </c>
      <c r="O35" s="173">
        <v>0.1</v>
      </c>
      <c r="P35" s="166">
        <f t="shared" ref="P35" si="0">N35*(1-O35)</f>
        <v>2041.2</v>
      </c>
      <c r="Q35" s="166">
        <f t="shared" ref="Q35:Q42" si="1">P35*M35*G35</f>
        <v>28576.799999999999</v>
      </c>
      <c r="R35" s="184">
        <f t="shared" ref="R35:R42" si="2">Q35/$Q$48</f>
        <v>0.16462997315389843</v>
      </c>
      <c r="S35" s="503">
        <f t="shared" ref="S35:S46" si="3">Q35*2</f>
        <v>57153.599999999999</v>
      </c>
      <c r="T35" s="394">
        <f t="shared" ref="T35:T37" si="4">S35</f>
        <v>57153.599999999999</v>
      </c>
      <c r="X35" s="286"/>
      <c r="Y35" s="394">
        <f>S35</f>
        <v>57153.599999999999</v>
      </c>
      <c r="Z35" s="395"/>
      <c r="AA35" s="394">
        <f>S35</f>
        <v>57153.599999999999</v>
      </c>
      <c r="AF35" s="286"/>
    </row>
    <row r="36" spans="1:32" x14ac:dyDescent="0.3">
      <c r="A36" s="157" t="s">
        <v>1085</v>
      </c>
      <c r="B36" s="157" t="s">
        <v>210</v>
      </c>
      <c r="C36" s="157" t="s">
        <v>1075</v>
      </c>
      <c r="D36" s="157" t="s">
        <v>102</v>
      </c>
      <c r="E36" s="157" t="s">
        <v>518</v>
      </c>
      <c r="F36" s="158" t="s">
        <v>1077</v>
      </c>
      <c r="G36" s="157">
        <v>3</v>
      </c>
      <c r="H36" s="157" t="s">
        <v>24</v>
      </c>
      <c r="I36" s="2445">
        <v>3</v>
      </c>
      <c r="J36" s="726"/>
      <c r="K36" s="726"/>
      <c r="L36" s="727"/>
      <c r="M36" s="163">
        <v>1</v>
      </c>
      <c r="N36" s="166">
        <v>20755</v>
      </c>
      <c r="O36" s="173">
        <v>0.6</v>
      </c>
      <c r="P36" s="166">
        <f>N36*(1-O36)</f>
        <v>8302</v>
      </c>
      <c r="Q36" s="166">
        <f t="shared" si="1"/>
        <v>24906</v>
      </c>
      <c r="R36" s="167">
        <f t="shared" si="2"/>
        <v>0.14348261916558169</v>
      </c>
      <c r="S36" s="503">
        <f t="shared" si="3"/>
        <v>49812</v>
      </c>
      <c r="T36" s="394">
        <f t="shared" si="4"/>
        <v>49812</v>
      </c>
      <c r="X36" s="286"/>
      <c r="Y36" s="394"/>
      <c r="Z36" s="395">
        <f>S36</f>
        <v>49812</v>
      </c>
      <c r="AA36" s="188"/>
      <c r="AB36" s="169">
        <f>S36</f>
        <v>49812</v>
      </c>
      <c r="AF36" s="286"/>
    </row>
    <row r="37" spans="1:32" x14ac:dyDescent="0.3">
      <c r="A37" s="157" t="s">
        <v>1085</v>
      </c>
      <c r="B37" s="157" t="s">
        <v>243</v>
      </c>
      <c r="C37" s="157" t="s">
        <v>1075</v>
      </c>
      <c r="D37" s="157" t="s">
        <v>244</v>
      </c>
      <c r="E37" s="157" t="s">
        <v>520</v>
      </c>
      <c r="F37" s="158" t="s">
        <v>587</v>
      </c>
      <c r="G37" s="157">
        <v>3</v>
      </c>
      <c r="H37" s="157" t="s">
        <v>63</v>
      </c>
      <c r="I37" s="175">
        <v>3</v>
      </c>
      <c r="J37" s="176"/>
      <c r="K37" s="1648"/>
      <c r="L37" s="1649"/>
      <c r="M37" s="163">
        <v>1</v>
      </c>
      <c r="N37" s="166">
        <v>6804</v>
      </c>
      <c r="O37" s="173">
        <v>0.1</v>
      </c>
      <c r="P37" s="166">
        <f t="shared" ref="P37:P42" si="5">N37*(1-O37)</f>
        <v>6123.6</v>
      </c>
      <c r="Q37" s="166">
        <f t="shared" si="1"/>
        <v>18370.800000000003</v>
      </c>
      <c r="R37" s="184">
        <f t="shared" si="2"/>
        <v>0.1058335541703633</v>
      </c>
      <c r="S37" s="503">
        <f t="shared" si="3"/>
        <v>36741.600000000006</v>
      </c>
      <c r="T37" s="394">
        <f t="shared" si="4"/>
        <v>36741.600000000006</v>
      </c>
      <c r="X37" s="286"/>
      <c r="Y37" s="394">
        <f>S37</f>
        <v>36741.600000000006</v>
      </c>
      <c r="Z37" s="395"/>
      <c r="AA37" s="394">
        <f>S37</f>
        <v>36741.600000000006</v>
      </c>
      <c r="AF37" s="286"/>
    </row>
    <row r="38" spans="1:32" x14ac:dyDescent="0.3">
      <c r="A38" s="157" t="s">
        <v>1085</v>
      </c>
      <c r="B38" s="157" t="s">
        <v>245</v>
      </c>
      <c r="C38" s="157" t="s">
        <v>1075</v>
      </c>
      <c r="D38" s="157" t="s">
        <v>102</v>
      </c>
      <c r="E38" s="157" t="s">
        <v>518</v>
      </c>
      <c r="F38" s="158" t="s">
        <v>1077</v>
      </c>
      <c r="G38" s="157">
        <v>1</v>
      </c>
      <c r="H38" s="157" t="s">
        <v>24</v>
      </c>
      <c r="I38" s="182">
        <v>1</v>
      </c>
      <c r="J38" s="183"/>
      <c r="K38" s="183"/>
      <c r="L38" s="2239"/>
      <c r="M38" s="163">
        <v>1</v>
      </c>
      <c r="N38" s="166">
        <v>7290</v>
      </c>
      <c r="O38" s="173">
        <v>0.18</v>
      </c>
      <c r="P38" s="166">
        <f t="shared" si="5"/>
        <v>5977.8</v>
      </c>
      <c r="Q38" s="166">
        <f t="shared" si="1"/>
        <v>5977.8</v>
      </c>
      <c r="R38" s="167">
        <f t="shared" si="2"/>
        <v>3.4437902547499163E-2</v>
      </c>
      <c r="S38" s="503">
        <f>Q38*2</f>
        <v>11955.6</v>
      </c>
      <c r="T38" s="394">
        <f>S38</f>
        <v>11955.6</v>
      </c>
      <c r="X38" s="286"/>
      <c r="Y38" s="394"/>
      <c r="Z38" s="395">
        <f>S38</f>
        <v>11955.6</v>
      </c>
      <c r="AA38" s="188"/>
      <c r="AC38" s="169">
        <f>S38</f>
        <v>11955.6</v>
      </c>
      <c r="AF38" s="286"/>
    </row>
    <row r="39" spans="1:32" x14ac:dyDescent="0.3">
      <c r="A39" s="157" t="s">
        <v>1085</v>
      </c>
      <c r="B39" s="157" t="s">
        <v>245</v>
      </c>
      <c r="C39" s="157" t="s">
        <v>1075</v>
      </c>
      <c r="D39" s="157" t="s">
        <v>102</v>
      </c>
      <c r="E39" s="157" t="s">
        <v>518</v>
      </c>
      <c r="F39" s="158" t="s">
        <v>1077</v>
      </c>
      <c r="G39" s="157">
        <v>2</v>
      </c>
      <c r="H39" s="157" t="s">
        <v>24</v>
      </c>
      <c r="I39" s="182">
        <v>2</v>
      </c>
      <c r="J39" s="183"/>
      <c r="K39" s="183"/>
      <c r="L39" s="2239"/>
      <c r="M39" s="163">
        <v>1</v>
      </c>
      <c r="N39" s="166">
        <v>12670</v>
      </c>
      <c r="O39" s="173">
        <v>0.41</v>
      </c>
      <c r="P39" s="166">
        <f t="shared" si="5"/>
        <v>7475.3000000000011</v>
      </c>
      <c r="Q39" s="166">
        <f t="shared" si="1"/>
        <v>14950.600000000002</v>
      </c>
      <c r="R39" s="167">
        <f t="shared" si="2"/>
        <v>8.6129898261340473E-2</v>
      </c>
      <c r="S39" s="503">
        <f>Q39*2</f>
        <v>29901.200000000004</v>
      </c>
      <c r="T39" s="394">
        <f>S39</f>
        <v>29901.200000000004</v>
      </c>
      <c r="V39" s="169"/>
      <c r="X39" s="286"/>
      <c r="Y39" s="394"/>
      <c r="Z39" s="395">
        <f>S39</f>
        <v>29901.200000000004</v>
      </c>
      <c r="AA39" s="188"/>
      <c r="AC39" s="169">
        <f>S39</f>
        <v>29901.200000000004</v>
      </c>
      <c r="AF39" s="286"/>
    </row>
    <row r="40" spans="1:32" x14ac:dyDescent="0.3">
      <c r="A40" s="157" t="s">
        <v>1085</v>
      </c>
      <c r="B40" s="157" t="s">
        <v>246</v>
      </c>
      <c r="C40" s="157" t="s">
        <v>1075</v>
      </c>
      <c r="D40" s="157" t="s">
        <v>102</v>
      </c>
      <c r="E40" s="157" t="s">
        <v>518</v>
      </c>
      <c r="F40" s="158" t="s">
        <v>1077</v>
      </c>
      <c r="G40" s="157">
        <v>3</v>
      </c>
      <c r="H40" s="157" t="s">
        <v>24</v>
      </c>
      <c r="I40" s="175">
        <v>3</v>
      </c>
      <c r="J40" s="176"/>
      <c r="K40" s="176"/>
      <c r="L40" s="177"/>
      <c r="M40" s="163">
        <v>1</v>
      </c>
      <c r="N40" s="166">
        <v>20000</v>
      </c>
      <c r="O40" s="173">
        <v>0.53</v>
      </c>
      <c r="P40" s="166">
        <f t="shared" si="5"/>
        <v>9400</v>
      </c>
      <c r="Q40" s="166">
        <f t="shared" si="1"/>
        <v>28200</v>
      </c>
      <c r="R40" s="167">
        <f t="shared" si="2"/>
        <v>0.16245924116555865</v>
      </c>
      <c r="S40" s="503">
        <f>Q40*2</f>
        <v>56400</v>
      </c>
      <c r="T40" s="394">
        <f>S40</f>
        <v>56400</v>
      </c>
      <c r="V40" s="169"/>
      <c r="X40" s="286"/>
      <c r="Y40" s="394"/>
      <c r="Z40" s="395">
        <f>S40</f>
        <v>56400</v>
      </c>
      <c r="AA40" s="188"/>
      <c r="AD40" s="169">
        <f>S40</f>
        <v>56400</v>
      </c>
      <c r="AF40" s="286"/>
    </row>
    <row r="41" spans="1:32" x14ac:dyDescent="0.3">
      <c r="A41" s="157" t="s">
        <v>1085</v>
      </c>
      <c r="B41" s="157" t="s">
        <v>246</v>
      </c>
      <c r="C41" s="157" t="s">
        <v>1075</v>
      </c>
      <c r="D41" s="157" t="s">
        <v>208</v>
      </c>
      <c r="E41" s="157" t="s">
        <v>520</v>
      </c>
      <c r="F41" s="158" t="s">
        <v>876</v>
      </c>
      <c r="G41" s="157">
        <v>8</v>
      </c>
      <c r="H41" s="157" t="s">
        <v>63</v>
      </c>
      <c r="I41" s="1650"/>
      <c r="J41" s="1651"/>
      <c r="K41" s="725">
        <v>8</v>
      </c>
      <c r="L41" s="2209"/>
      <c r="M41" s="163">
        <v>1</v>
      </c>
      <c r="N41" s="166">
        <v>3500</v>
      </c>
      <c r="O41" s="173">
        <v>0.49</v>
      </c>
      <c r="P41" s="166">
        <f t="shared" si="5"/>
        <v>1785</v>
      </c>
      <c r="Q41" s="166">
        <f t="shared" si="1"/>
        <v>14280</v>
      </c>
      <c r="R41" s="184">
        <f t="shared" si="2"/>
        <v>8.2266594462559475E-2</v>
      </c>
      <c r="S41" s="503">
        <f t="shared" ref="S41" si="6">Q41*2</f>
        <v>28560</v>
      </c>
      <c r="T41" s="394">
        <f t="shared" ref="T41" si="7">S41</f>
        <v>28560</v>
      </c>
      <c r="X41" s="286"/>
      <c r="Y41" s="394">
        <f>S41</f>
        <v>28560</v>
      </c>
      <c r="Z41" s="395"/>
      <c r="AA41" s="188"/>
      <c r="AD41" s="169">
        <f>S41</f>
        <v>28560</v>
      </c>
      <c r="AF41" s="286"/>
    </row>
    <row r="42" spans="1:32" x14ac:dyDescent="0.3">
      <c r="A42" s="157" t="s">
        <v>1085</v>
      </c>
      <c r="B42" s="157" t="s">
        <v>246</v>
      </c>
      <c r="C42" s="157" t="s">
        <v>1075</v>
      </c>
      <c r="D42" s="157" t="s">
        <v>26</v>
      </c>
      <c r="E42" s="157" t="s">
        <v>520</v>
      </c>
      <c r="F42" s="158" t="s">
        <v>654</v>
      </c>
      <c r="G42" s="157">
        <v>3</v>
      </c>
      <c r="H42" s="157" t="s">
        <v>24</v>
      </c>
      <c r="I42" s="182">
        <v>3</v>
      </c>
      <c r="J42" s="183"/>
      <c r="K42" s="183"/>
      <c r="L42" s="2239"/>
      <c r="M42" s="163">
        <v>1</v>
      </c>
      <c r="N42" s="166">
        <v>12000</v>
      </c>
      <c r="O42" s="173">
        <v>0.38</v>
      </c>
      <c r="P42" s="166">
        <f t="shared" si="5"/>
        <v>7440</v>
      </c>
      <c r="Q42" s="166">
        <f t="shared" si="1"/>
        <v>22320</v>
      </c>
      <c r="R42" s="184">
        <f t="shared" si="2"/>
        <v>0.12858476109274003</v>
      </c>
      <c r="S42" s="503">
        <f>Q42*2</f>
        <v>44640</v>
      </c>
      <c r="T42" s="394">
        <f>S42</f>
        <v>44640</v>
      </c>
      <c r="V42" s="169"/>
      <c r="X42" s="286"/>
      <c r="Y42" s="394">
        <f>S42</f>
        <v>44640</v>
      </c>
      <c r="Z42" s="286"/>
      <c r="AA42" s="188"/>
      <c r="AD42" s="169">
        <f>S42</f>
        <v>44640</v>
      </c>
      <c r="AF42" s="286"/>
    </row>
    <row r="43" spans="1:32" x14ac:dyDescent="0.3">
      <c r="A43" s="172"/>
      <c r="B43" s="157"/>
      <c r="C43" s="157"/>
      <c r="D43" s="157"/>
      <c r="E43" s="157"/>
      <c r="F43" s="158"/>
      <c r="G43" s="157"/>
      <c r="H43" s="157"/>
      <c r="L43" s="286"/>
      <c r="M43" s="157"/>
      <c r="N43" s="166"/>
      <c r="O43" s="173"/>
      <c r="P43" s="166"/>
      <c r="Q43" s="166"/>
      <c r="R43" s="393"/>
      <c r="S43" s="503"/>
      <c r="T43" s="188"/>
      <c r="X43" s="286"/>
      <c r="Y43" s="188"/>
      <c r="Z43" s="286"/>
      <c r="AA43" s="188"/>
      <c r="AF43" s="286"/>
    </row>
    <row r="44" spans="1:32" x14ac:dyDescent="0.3">
      <c r="A44" s="172"/>
      <c r="B44" s="157"/>
      <c r="C44" s="157"/>
      <c r="D44" s="157"/>
      <c r="E44" s="157"/>
      <c r="F44" s="157"/>
      <c r="G44" s="157"/>
      <c r="H44" s="157"/>
      <c r="I44" s="192"/>
      <c r="J44" s="193"/>
      <c r="K44" s="193"/>
      <c r="L44" s="163"/>
      <c r="M44" s="157"/>
      <c r="N44" s="157"/>
      <c r="O44" s="157"/>
      <c r="P44" s="157"/>
      <c r="Q44" s="166"/>
      <c r="R44" s="393"/>
      <c r="S44" s="503"/>
      <c r="T44" s="188"/>
      <c r="X44" s="286"/>
      <c r="Y44" s="188"/>
      <c r="Z44" s="286"/>
      <c r="AA44" s="188"/>
      <c r="AF44" s="286"/>
    </row>
    <row r="45" spans="1:32" x14ac:dyDescent="0.3">
      <c r="A45" s="108" t="s">
        <v>1085</v>
      </c>
      <c r="B45" s="108" t="s">
        <v>528</v>
      </c>
      <c r="C45" s="289"/>
      <c r="D45" s="252"/>
      <c r="E45" s="252"/>
      <c r="F45" s="253"/>
      <c r="G45" s="252"/>
      <c r="H45" s="252"/>
      <c r="I45" s="254"/>
      <c r="J45" s="254"/>
      <c r="K45" s="254"/>
      <c r="L45" s="254"/>
      <c r="M45" s="252"/>
      <c r="N45" s="255"/>
      <c r="O45" s="256"/>
      <c r="P45" s="290"/>
      <c r="Q45" s="257"/>
      <c r="R45" s="291">
        <f>Q45/Q48</f>
        <v>0</v>
      </c>
      <c r="S45" s="503">
        <f>Q45*2</f>
        <v>0</v>
      </c>
      <c r="T45" s="188"/>
      <c r="W45" s="169">
        <f>S45</f>
        <v>0</v>
      </c>
      <c r="X45" s="286"/>
      <c r="Y45" s="188"/>
      <c r="Z45" s="286"/>
      <c r="AA45" s="188"/>
      <c r="AF45" s="286"/>
    </row>
    <row r="46" spans="1:32" x14ac:dyDescent="0.3">
      <c r="A46" s="108" t="s">
        <v>1085</v>
      </c>
      <c r="B46" s="108" t="s">
        <v>529</v>
      </c>
      <c r="C46" s="289"/>
      <c r="D46" s="252"/>
      <c r="E46" s="252"/>
      <c r="F46" s="253"/>
      <c r="G46" s="252"/>
      <c r="H46" s="252"/>
      <c r="I46" s="254"/>
      <c r="J46" s="254"/>
      <c r="K46" s="254"/>
      <c r="L46" s="254"/>
      <c r="M46" s="252"/>
      <c r="N46" s="255"/>
      <c r="O46" s="256"/>
      <c r="P46" s="290"/>
      <c r="Q46" s="257">
        <v>16000</v>
      </c>
      <c r="R46" s="291">
        <f>Q46/Q48</f>
        <v>9.2175455980458801E-2</v>
      </c>
      <c r="S46" s="503">
        <f t="shared" si="3"/>
        <v>32000</v>
      </c>
      <c r="T46" s="188"/>
      <c r="X46" s="395">
        <f>S46</f>
        <v>32000</v>
      </c>
      <c r="Y46" s="188"/>
      <c r="Z46" s="286"/>
      <c r="AA46" s="188"/>
      <c r="AF46" s="286"/>
    </row>
    <row r="47" spans="1:32" x14ac:dyDescent="0.3">
      <c r="I47" s="115">
        <f>I48/M48</f>
        <v>0.78378378378378377</v>
      </c>
      <c r="J47" s="115"/>
      <c r="K47" s="115">
        <f>K48/M48</f>
        <v>0.21621621621621623</v>
      </c>
      <c r="S47" s="166"/>
      <c r="T47" s="188"/>
      <c r="X47" s="286"/>
      <c r="Y47" s="188"/>
      <c r="Z47" s="286"/>
      <c r="AA47" s="188"/>
      <c r="AF47" s="286"/>
    </row>
    <row r="48" spans="1:32" x14ac:dyDescent="0.3">
      <c r="A48" s="212" t="s">
        <v>531</v>
      </c>
      <c r="B48" s="213"/>
      <c r="C48" s="213"/>
      <c r="D48" s="213"/>
      <c r="E48" s="213"/>
      <c r="F48" s="214"/>
      <c r="G48" s="213"/>
      <c r="H48" s="213"/>
      <c r="I48" s="213">
        <f>I42+I40+I39+I38+I37+I36+I35</f>
        <v>29</v>
      </c>
      <c r="J48" s="213"/>
      <c r="K48" s="213">
        <f>K41</f>
        <v>8</v>
      </c>
      <c r="L48" s="213"/>
      <c r="M48" s="213">
        <f>SUM(I48:L48)</f>
        <v>37</v>
      </c>
      <c r="N48" s="215"/>
      <c r="O48" s="216"/>
      <c r="P48" s="215"/>
      <c r="Q48" s="481">
        <f>SUM(Q34:Q47)</f>
        <v>173582</v>
      </c>
      <c r="R48" s="216">
        <f>SUM(R34:R46)</f>
        <v>1</v>
      </c>
      <c r="S48" s="1531">
        <f>SUM(S34:S47)</f>
        <v>347164</v>
      </c>
      <c r="T48" s="509">
        <f t="shared" ref="T48:Z48" si="8">SUM(T34:T46)</f>
        <v>315164</v>
      </c>
      <c r="U48" s="294">
        <f t="shared" si="8"/>
        <v>0</v>
      </c>
      <c r="V48" s="294">
        <f t="shared" si="8"/>
        <v>0</v>
      </c>
      <c r="W48" s="294">
        <f t="shared" si="8"/>
        <v>0</v>
      </c>
      <c r="X48" s="294">
        <f t="shared" si="8"/>
        <v>32000</v>
      </c>
      <c r="Y48" s="482">
        <f t="shared" si="8"/>
        <v>167095.20000000001</v>
      </c>
      <c r="Z48" s="483">
        <f t="shared" si="8"/>
        <v>148068.79999999999</v>
      </c>
      <c r="AA48" s="1657">
        <f>SUM(AA34:AA47)</f>
        <v>93895.200000000012</v>
      </c>
      <c r="AB48" s="616">
        <f>SUM(AB34:AB47)</f>
        <v>49812</v>
      </c>
      <c r="AC48" s="616">
        <f t="shared" ref="AC48:AF48" si="9">SUM(AC34:AC47)</f>
        <v>41856.800000000003</v>
      </c>
      <c r="AD48" s="616">
        <f t="shared" si="9"/>
        <v>129600</v>
      </c>
      <c r="AE48" s="616">
        <f t="shared" si="9"/>
        <v>0</v>
      </c>
      <c r="AF48" s="227">
        <f t="shared" si="9"/>
        <v>0</v>
      </c>
    </row>
    <row r="49" spans="1:33" x14ac:dyDescent="0.3">
      <c r="A49" s="228" t="s">
        <v>532</v>
      </c>
      <c r="B49" s="229"/>
      <c r="C49" s="229"/>
      <c r="D49" s="229"/>
      <c r="E49" s="229"/>
      <c r="F49" s="230"/>
      <c r="G49" s="229"/>
      <c r="H49" s="229"/>
      <c r="I49" s="229">
        <f>I42+I40+I39+I38+I37+I36+I35</f>
        <v>29</v>
      </c>
      <c r="J49" s="229">
        <f>I42+I40+I39+I38+I37+I36+I35</f>
        <v>29</v>
      </c>
      <c r="K49" s="229">
        <f>I42+K41+I40+I39+I38+I36</f>
        <v>20</v>
      </c>
      <c r="L49" s="229">
        <f>K49</f>
        <v>20</v>
      </c>
      <c r="M49" s="229">
        <f>SUM(I49:L49)</f>
        <v>98</v>
      </c>
      <c r="N49" s="231"/>
      <c r="O49" s="232"/>
      <c r="P49" s="231"/>
      <c r="Q49" s="231"/>
      <c r="R49" s="232"/>
      <c r="S49" s="1532">
        <f>Q48/M48</f>
        <v>4691.405405405405</v>
      </c>
      <c r="T49" s="1491">
        <f>T48/S48</f>
        <v>0.90782454401954116</v>
      </c>
      <c r="U49" s="236">
        <f>U48/S48</f>
        <v>0</v>
      </c>
      <c r="V49" s="236">
        <f>V48/S48</f>
        <v>0</v>
      </c>
      <c r="W49" s="236">
        <f>W48/S48</f>
        <v>0</v>
      </c>
      <c r="X49" s="236">
        <f>X48/S48</f>
        <v>9.2175455980458801E-2</v>
      </c>
      <c r="Y49" s="272">
        <f>Y48/S48</f>
        <v>0.48131488287956126</v>
      </c>
      <c r="Z49" s="485">
        <f>Z48/S48</f>
        <v>0.4265096611399799</v>
      </c>
      <c r="AA49" s="1658"/>
      <c r="AB49" s="487"/>
      <c r="AC49" s="487"/>
      <c r="AD49" s="487"/>
      <c r="AE49" s="487"/>
      <c r="AF49" s="242"/>
    </row>
    <row r="50" spans="1:33" x14ac:dyDescent="0.3">
      <c r="A50" s="243" t="s">
        <v>533</v>
      </c>
      <c r="B50" s="193"/>
      <c r="C50" s="193"/>
      <c r="D50" s="193"/>
      <c r="E50" s="193"/>
      <c r="F50" s="244"/>
      <c r="G50" s="193"/>
      <c r="H50" s="193"/>
      <c r="I50" s="2182">
        <f>I49/M49</f>
        <v>0.29591836734693877</v>
      </c>
      <c r="J50" s="2182">
        <f>J49/M49</f>
        <v>0.29591836734693877</v>
      </c>
      <c r="K50" s="2182">
        <f>K49/M49</f>
        <v>0.20408163265306123</v>
      </c>
      <c r="L50" s="2182">
        <f>L49/M49</f>
        <v>0.20408163265306123</v>
      </c>
      <c r="M50" s="193"/>
      <c r="N50" s="246"/>
      <c r="O50" s="196"/>
      <c r="P50" s="246"/>
      <c r="Q50" s="194">
        <f>T48/2</f>
        <v>157582</v>
      </c>
      <c r="R50" s="247">
        <f>Q50/Q55</f>
        <v>0.90782454401954116</v>
      </c>
      <c r="X50" s="248">
        <f>SUM(T34:X47)</f>
        <v>347164</v>
      </c>
      <c r="Y50" s="357">
        <f>I35+I37+K41+I42</f>
        <v>28</v>
      </c>
      <c r="Z50" s="358">
        <f>I36+I38+I39+I40</f>
        <v>9</v>
      </c>
    </row>
    <row r="51" spans="1:33" x14ac:dyDescent="0.3">
      <c r="A51" s="251" t="s">
        <v>11</v>
      </c>
      <c r="B51" s="252"/>
      <c r="C51" s="252"/>
      <c r="D51" s="252"/>
      <c r="E51" s="252"/>
      <c r="F51" s="253"/>
      <c r="G51" s="252"/>
      <c r="H51" s="252"/>
      <c r="I51" s="254"/>
      <c r="J51" s="254"/>
      <c r="K51" s="254"/>
      <c r="L51" s="254"/>
      <c r="M51" s="252"/>
      <c r="N51" s="255"/>
      <c r="O51" s="256"/>
      <c r="P51" s="255"/>
      <c r="Q51" s="257">
        <f>U48/2</f>
        <v>0</v>
      </c>
      <c r="R51" s="262">
        <f>Q51/Q55</f>
        <v>0</v>
      </c>
      <c r="S51" s="1050">
        <f>Q48/M48</f>
        <v>4691.405405405405</v>
      </c>
      <c r="T51" s="1051" t="s">
        <v>535</v>
      </c>
      <c r="Y51" s="195">
        <f>Y50/M48</f>
        <v>0.7567567567567568</v>
      </c>
      <c r="Z51" s="247">
        <f>Z50/M48</f>
        <v>0.24324324324324326</v>
      </c>
    </row>
    <row r="52" spans="1:33" x14ac:dyDescent="0.3">
      <c r="A52" s="251" t="s">
        <v>536</v>
      </c>
      <c r="B52" s="252"/>
      <c r="C52" s="252"/>
      <c r="D52" s="252"/>
      <c r="E52" s="252"/>
      <c r="F52" s="253"/>
      <c r="G52" s="252"/>
      <c r="H52" s="252"/>
      <c r="I52" s="254"/>
      <c r="J52" s="254"/>
      <c r="K52" s="254"/>
      <c r="L52" s="254"/>
      <c r="M52" s="252"/>
      <c r="N52" s="255"/>
      <c r="O52" s="256"/>
      <c r="P52" s="255"/>
      <c r="Q52" s="257">
        <f>V48/2</f>
        <v>0</v>
      </c>
      <c r="R52" s="262">
        <f>Q52/Q55</f>
        <v>0</v>
      </c>
      <c r="W52" s="99"/>
      <c r="Y52" s="2551" t="s">
        <v>537</v>
      </c>
      <c r="Z52" s="2551"/>
    </row>
    <row r="53" spans="1:33" x14ac:dyDescent="0.3">
      <c r="A53" s="251" t="s">
        <v>529</v>
      </c>
      <c r="B53" s="252"/>
      <c r="C53" s="252"/>
      <c r="D53" s="252"/>
      <c r="E53" s="252"/>
      <c r="F53" s="253"/>
      <c r="G53" s="252"/>
      <c r="H53" s="252"/>
      <c r="I53" s="254"/>
      <c r="J53" s="254"/>
      <c r="K53" s="254"/>
      <c r="L53" s="254"/>
      <c r="M53" s="252"/>
      <c r="N53" s="255"/>
      <c r="O53" s="256"/>
      <c r="P53" s="255"/>
      <c r="Q53" s="257">
        <f>X48/2</f>
        <v>16000</v>
      </c>
      <c r="R53" s="262">
        <f>Q53/Q55</f>
        <v>9.2175455980458801E-2</v>
      </c>
    </row>
    <row r="54" spans="1:33" x14ac:dyDescent="0.3">
      <c r="A54" s="251" t="s">
        <v>528</v>
      </c>
      <c r="B54" s="252"/>
      <c r="C54" s="252"/>
      <c r="D54" s="252"/>
      <c r="E54" s="252"/>
      <c r="F54" s="253"/>
      <c r="G54" s="252"/>
      <c r="H54" s="252"/>
      <c r="I54" s="254"/>
      <c r="J54" s="254"/>
      <c r="K54" s="254"/>
      <c r="L54" s="254"/>
      <c r="M54" s="252"/>
      <c r="N54" s="255"/>
      <c r="O54" s="256"/>
      <c r="P54" s="255"/>
      <c r="Q54" s="257">
        <f>W48/2</f>
        <v>0</v>
      </c>
      <c r="R54" s="262">
        <f>Q54/Q55</f>
        <v>0</v>
      </c>
    </row>
    <row r="55" spans="1:33" x14ac:dyDescent="0.3">
      <c r="A55" s="251"/>
      <c r="B55" s="252"/>
      <c r="C55" s="252"/>
      <c r="D55" s="252"/>
      <c r="E55" s="252"/>
      <c r="F55" s="253"/>
      <c r="G55" s="252"/>
      <c r="H55" s="252"/>
      <c r="I55" s="254"/>
      <c r="J55" s="254"/>
      <c r="K55" s="254"/>
      <c r="L55" s="254"/>
      <c r="M55" s="252"/>
      <c r="N55" s="255"/>
      <c r="O55" s="256"/>
      <c r="P55" s="255"/>
      <c r="Q55" s="264">
        <f>SUM(Q50:Q54)</f>
        <v>173582</v>
      </c>
      <c r="R55" s="262">
        <f>SUM(R50:R54)</f>
        <v>1</v>
      </c>
    </row>
    <row r="57" spans="1:33" ht="18" x14ac:dyDescent="0.35">
      <c r="A57" s="1037" t="s">
        <v>538</v>
      </c>
    </row>
    <row r="59" spans="1:33" x14ac:dyDescent="0.3">
      <c r="A59" s="2587" t="s">
        <v>480</v>
      </c>
      <c r="B59" s="2588"/>
      <c r="C59" s="2588"/>
      <c r="D59" s="2588"/>
      <c r="E59" s="2588"/>
      <c r="F59" s="2588"/>
      <c r="G59" s="2588"/>
      <c r="H59" s="2588"/>
      <c r="I59" s="2588"/>
      <c r="J59" s="2588"/>
      <c r="K59" s="2588"/>
      <c r="L59" s="2588"/>
      <c r="M59" s="2588"/>
      <c r="N59" s="2588"/>
      <c r="O59" s="2588"/>
      <c r="P59" s="2588"/>
      <c r="Q59" s="2588"/>
      <c r="R59" s="2589"/>
      <c r="S59" s="2563" t="s">
        <v>584</v>
      </c>
      <c r="T59" s="2564"/>
      <c r="U59" s="2564"/>
      <c r="V59" s="2564"/>
      <c r="W59" s="2564"/>
      <c r="X59" s="2564"/>
      <c r="Y59" s="2564"/>
      <c r="Z59" s="2564"/>
      <c r="AA59" s="2564"/>
      <c r="AB59" s="2564"/>
      <c r="AC59" s="2564"/>
      <c r="AD59" s="2564"/>
      <c r="AE59" s="2564"/>
      <c r="AF59" s="2576"/>
    </row>
    <row r="60" spans="1:33" ht="18" x14ac:dyDescent="0.3">
      <c r="A60" s="2284" t="s">
        <v>482</v>
      </c>
      <c r="B60" s="2286" t="s">
        <v>483</v>
      </c>
      <c r="C60" s="2286" t="s">
        <v>484</v>
      </c>
      <c r="D60" s="2286" t="s">
        <v>485</v>
      </c>
      <c r="E60" s="2286" t="s">
        <v>486</v>
      </c>
      <c r="F60" s="2288" t="s">
        <v>487</v>
      </c>
      <c r="G60" s="2286" t="s">
        <v>488</v>
      </c>
      <c r="H60" s="2286" t="s">
        <v>489</v>
      </c>
      <c r="I60" s="2266" t="s">
        <v>490</v>
      </c>
      <c r="J60" s="2266"/>
      <c r="K60" s="2266"/>
      <c r="L60" s="2266"/>
      <c r="M60" s="265" t="s">
        <v>491</v>
      </c>
      <c r="N60" s="266" t="s">
        <v>492</v>
      </c>
      <c r="O60" s="267" t="s">
        <v>493</v>
      </c>
      <c r="P60" s="266" t="s">
        <v>492</v>
      </c>
      <c r="Q60" s="266" t="s">
        <v>494</v>
      </c>
      <c r="R60" s="2808" t="s">
        <v>495</v>
      </c>
      <c r="S60" s="1086" t="s">
        <v>496</v>
      </c>
      <c r="T60" s="2608" t="s">
        <v>497</v>
      </c>
      <c r="U60" s="2607"/>
      <c r="V60" s="2607"/>
      <c r="W60" s="2607"/>
      <c r="X60" s="2607"/>
      <c r="Y60" s="2608" t="s">
        <v>498</v>
      </c>
      <c r="Z60" s="2607"/>
      <c r="AA60" s="2608" t="s">
        <v>499</v>
      </c>
      <c r="AB60" s="2607"/>
      <c r="AC60" s="2607"/>
      <c r="AD60" s="2607"/>
      <c r="AE60" s="2607"/>
      <c r="AF60" s="2609"/>
    </row>
    <row r="61" spans="1:33" ht="18" x14ac:dyDescent="0.3">
      <c r="A61" s="2798"/>
      <c r="B61" s="2799"/>
      <c r="C61" s="2799"/>
      <c r="D61" s="2799"/>
      <c r="E61" s="2799"/>
      <c r="F61" s="2800"/>
      <c r="G61" s="2799"/>
      <c r="H61" s="2799"/>
      <c r="I61" s="1595" t="s">
        <v>500</v>
      </c>
      <c r="J61" s="1595" t="s">
        <v>501</v>
      </c>
      <c r="K61" s="1595" t="s">
        <v>502</v>
      </c>
      <c r="L61" s="1595" t="s">
        <v>503</v>
      </c>
      <c r="M61" s="1381" t="s">
        <v>504</v>
      </c>
      <c r="N61" s="1596" t="s">
        <v>505</v>
      </c>
      <c r="O61" s="1589" t="s">
        <v>506</v>
      </c>
      <c r="P61" s="1596" t="s">
        <v>507</v>
      </c>
      <c r="Q61" s="1596" t="s">
        <v>507</v>
      </c>
      <c r="R61" s="2806"/>
      <c r="S61" s="1598" t="s">
        <v>508</v>
      </c>
      <c r="T61" s="2787"/>
      <c r="U61" s="2788"/>
      <c r="V61" s="2788"/>
      <c r="W61" s="2788"/>
      <c r="X61" s="2788"/>
      <c r="Y61" s="2787"/>
      <c r="Z61" s="2788"/>
      <c r="AA61" s="2787"/>
      <c r="AB61" s="2788"/>
      <c r="AC61" s="2788"/>
      <c r="AD61" s="2788"/>
      <c r="AE61" s="2788"/>
      <c r="AF61" s="2789"/>
    </row>
    <row r="62" spans="1:33" ht="18" x14ac:dyDescent="0.35">
      <c r="A62" s="2476" t="s">
        <v>540</v>
      </c>
      <c r="B62" s="2477"/>
      <c r="C62" s="2477"/>
      <c r="D62" s="2477"/>
      <c r="E62" s="2477"/>
      <c r="F62" s="2477"/>
      <c r="G62" s="2477"/>
      <c r="H62" s="2477"/>
      <c r="I62" s="2477"/>
      <c r="J62" s="2477"/>
      <c r="K62" s="2477"/>
      <c r="L62" s="2477"/>
      <c r="M62" s="2477"/>
      <c r="N62" s="2477"/>
      <c r="O62" s="2477"/>
      <c r="P62" s="2477"/>
      <c r="Q62" s="2477"/>
      <c r="R62" s="2477"/>
      <c r="S62" s="1577"/>
      <c r="T62" s="1553" t="s">
        <v>510</v>
      </c>
      <c r="U62" s="1554" t="s">
        <v>11</v>
      </c>
      <c r="V62" s="1554" t="s">
        <v>511</v>
      </c>
      <c r="W62" s="1554" t="s">
        <v>512</v>
      </c>
      <c r="X62" s="1578" t="s">
        <v>513</v>
      </c>
      <c r="Y62" s="1553" t="s">
        <v>514</v>
      </c>
      <c r="Z62" s="1578" t="s">
        <v>515</v>
      </c>
      <c r="AA62" s="1553" t="s">
        <v>239</v>
      </c>
      <c r="AB62" s="1554" t="s">
        <v>240</v>
      </c>
      <c r="AC62" s="1554" t="s">
        <v>241</v>
      </c>
      <c r="AD62" s="1554" t="s">
        <v>242</v>
      </c>
      <c r="AE62" s="1554" t="s">
        <v>10</v>
      </c>
      <c r="AF62" s="1578" t="s">
        <v>5</v>
      </c>
      <c r="AG62" s="392"/>
    </row>
    <row r="63" spans="1:33" x14ac:dyDescent="0.3">
      <c r="A63" s="154"/>
      <c r="B63" s="462"/>
      <c r="C63" s="462"/>
      <c r="D63" s="462"/>
      <c r="E63" s="462"/>
      <c r="F63" s="463"/>
      <c r="G63" s="462"/>
      <c r="H63" s="462"/>
      <c r="I63" s="465"/>
      <c r="J63" s="465"/>
      <c r="K63" s="465"/>
      <c r="L63" s="465"/>
      <c r="M63" s="462"/>
      <c r="N63" s="468"/>
      <c r="O63" s="469"/>
      <c r="P63" s="468"/>
      <c r="Q63" s="468"/>
      <c r="R63" s="501"/>
      <c r="S63" s="166"/>
      <c r="T63" s="188"/>
      <c r="X63" s="286"/>
      <c r="Y63" s="188"/>
      <c r="Z63" s="286"/>
      <c r="AA63" s="464"/>
      <c r="AB63" s="465"/>
      <c r="AC63" s="465"/>
      <c r="AD63" s="465"/>
      <c r="AE63" s="465"/>
      <c r="AF63" s="466"/>
    </row>
    <row r="64" spans="1:33" x14ac:dyDescent="0.3">
      <c r="A64" s="157" t="s">
        <v>1085</v>
      </c>
      <c r="B64" s="157" t="s">
        <v>243</v>
      </c>
      <c r="C64" s="157" t="s">
        <v>1075</v>
      </c>
      <c r="D64" s="157" t="s">
        <v>208</v>
      </c>
      <c r="E64" s="157" t="s">
        <v>520</v>
      </c>
      <c r="F64" s="158" t="s">
        <v>876</v>
      </c>
      <c r="G64" s="157">
        <v>16</v>
      </c>
      <c r="H64" s="157" t="s">
        <v>63</v>
      </c>
      <c r="I64" s="175">
        <v>16</v>
      </c>
      <c r="J64" s="688"/>
      <c r="L64" s="286"/>
      <c r="M64" s="163">
        <v>1</v>
      </c>
      <c r="N64" s="166">
        <v>2268</v>
      </c>
      <c r="O64" s="173">
        <v>0.1</v>
      </c>
      <c r="P64" s="166">
        <f t="shared" ref="P64:P71" si="10">N64*(1-O64)</f>
        <v>2041.2</v>
      </c>
      <c r="Q64" s="166">
        <f t="shared" ref="Q64:Q71" si="11">P64*M64*G64</f>
        <v>32659.200000000001</v>
      </c>
      <c r="R64" s="184">
        <f t="shared" ref="R64:R71" si="12">Q64/$Q$77</f>
        <v>0.18741585877702704</v>
      </c>
      <c r="S64" s="503">
        <f>Q64</f>
        <v>32659.200000000001</v>
      </c>
      <c r="T64" s="394">
        <f t="shared" ref="T64" si="13">S64</f>
        <v>32659.200000000001</v>
      </c>
      <c r="X64" s="286"/>
      <c r="Y64" s="394">
        <f>S64</f>
        <v>32659.200000000001</v>
      </c>
      <c r="Z64" s="395"/>
      <c r="AA64" s="394">
        <f>S64</f>
        <v>32659.200000000001</v>
      </c>
      <c r="AF64" s="286"/>
    </row>
    <row r="65" spans="1:32" x14ac:dyDescent="0.3">
      <c r="A65" s="157" t="s">
        <v>1085</v>
      </c>
      <c r="B65" s="157" t="s">
        <v>245</v>
      </c>
      <c r="C65" s="157" t="s">
        <v>1075</v>
      </c>
      <c r="D65" s="157" t="s">
        <v>102</v>
      </c>
      <c r="E65" s="157" t="s">
        <v>518</v>
      </c>
      <c r="F65" s="158" t="s">
        <v>1077</v>
      </c>
      <c r="G65" s="157">
        <v>2</v>
      </c>
      <c r="H65" s="157" t="s">
        <v>24</v>
      </c>
      <c r="I65" s="182">
        <v>2</v>
      </c>
      <c r="J65" s="183"/>
      <c r="K65" s="183"/>
      <c r="L65" s="2239"/>
      <c r="M65" s="163">
        <v>1</v>
      </c>
      <c r="N65" s="166">
        <v>7290</v>
      </c>
      <c r="O65" s="173">
        <v>0.18</v>
      </c>
      <c r="P65" s="166">
        <f t="shared" si="10"/>
        <v>5977.8</v>
      </c>
      <c r="Q65" s="166">
        <f t="shared" si="11"/>
        <v>11955.6</v>
      </c>
      <c r="R65" s="167">
        <f t="shared" si="12"/>
        <v>6.8607591159447395E-2</v>
      </c>
      <c r="S65" s="503">
        <f t="shared" ref="S65:S71" si="14">Q65</f>
        <v>11955.6</v>
      </c>
      <c r="T65" s="394">
        <f>S65</f>
        <v>11955.6</v>
      </c>
      <c r="X65" s="286"/>
      <c r="Y65" s="394"/>
      <c r="Z65" s="395">
        <f>S65</f>
        <v>11955.6</v>
      </c>
      <c r="AA65" s="188"/>
      <c r="AC65" s="169">
        <f>S65</f>
        <v>11955.6</v>
      </c>
      <c r="AF65" s="286"/>
    </row>
    <row r="66" spans="1:32" x14ac:dyDescent="0.3">
      <c r="A66" s="157" t="s">
        <v>1085</v>
      </c>
      <c r="B66" s="157" t="s">
        <v>245</v>
      </c>
      <c r="C66" s="157" t="s">
        <v>1075</v>
      </c>
      <c r="D66" s="157" t="s">
        <v>102</v>
      </c>
      <c r="E66" s="157" t="s">
        <v>518</v>
      </c>
      <c r="F66" s="158" t="s">
        <v>1077</v>
      </c>
      <c r="G66" s="157">
        <v>2</v>
      </c>
      <c r="H66" s="157" t="s">
        <v>24</v>
      </c>
      <c r="I66" s="182">
        <v>2</v>
      </c>
      <c r="J66" s="183"/>
      <c r="K66" s="183"/>
      <c r="L66" s="2239"/>
      <c r="M66" s="163">
        <v>1</v>
      </c>
      <c r="N66" s="166">
        <v>12670</v>
      </c>
      <c r="O66" s="173">
        <v>0.41</v>
      </c>
      <c r="P66" s="166">
        <f t="shared" si="10"/>
        <v>7475.3000000000011</v>
      </c>
      <c r="Q66" s="166">
        <f t="shared" si="11"/>
        <v>14950.600000000002</v>
      </c>
      <c r="R66" s="167">
        <f t="shared" si="12"/>
        <v>8.5794493993478743E-2</v>
      </c>
      <c r="S66" s="503">
        <f t="shared" si="14"/>
        <v>14950.600000000002</v>
      </c>
      <c r="T66" s="394">
        <f>S66</f>
        <v>14950.600000000002</v>
      </c>
      <c r="V66" s="169"/>
      <c r="X66" s="286"/>
      <c r="Y66" s="394"/>
      <c r="Z66" s="395">
        <f>S66</f>
        <v>14950.600000000002</v>
      </c>
      <c r="AA66" s="188"/>
      <c r="AC66" s="169">
        <f>S66</f>
        <v>14950.600000000002</v>
      </c>
      <c r="AF66" s="286"/>
    </row>
    <row r="67" spans="1:32" x14ac:dyDescent="0.3">
      <c r="A67" s="157" t="s">
        <v>1085</v>
      </c>
      <c r="B67" s="157" t="s">
        <v>246</v>
      </c>
      <c r="C67" s="157" t="s">
        <v>1075</v>
      </c>
      <c r="D67" s="157" t="s">
        <v>102</v>
      </c>
      <c r="E67" s="157" t="s">
        <v>518</v>
      </c>
      <c r="F67" s="158" t="s">
        <v>1077</v>
      </c>
      <c r="G67" s="157">
        <v>3</v>
      </c>
      <c r="H67" s="157" t="s">
        <v>24</v>
      </c>
      <c r="I67" s="175">
        <v>3</v>
      </c>
      <c r="J67" s="176"/>
      <c r="K67" s="176"/>
      <c r="L67" s="177"/>
      <c r="M67" s="163">
        <v>1</v>
      </c>
      <c r="N67" s="166">
        <v>20000</v>
      </c>
      <c r="O67" s="173">
        <v>0.53</v>
      </c>
      <c r="P67" s="166">
        <f t="shared" si="10"/>
        <v>9400</v>
      </c>
      <c r="Q67" s="166">
        <f t="shared" si="11"/>
        <v>28200</v>
      </c>
      <c r="R67" s="167">
        <f t="shared" si="12"/>
        <v>0.16182659763595442</v>
      </c>
      <c r="S67" s="503">
        <f t="shared" si="14"/>
        <v>28200</v>
      </c>
      <c r="T67" s="394">
        <f>S67</f>
        <v>28200</v>
      </c>
      <c r="V67" s="169"/>
      <c r="X67" s="286"/>
      <c r="Y67" s="394"/>
      <c r="Z67" s="395">
        <f>S67</f>
        <v>28200</v>
      </c>
      <c r="AA67" s="188"/>
      <c r="AD67" s="169">
        <f>S67</f>
        <v>28200</v>
      </c>
      <c r="AF67" s="286"/>
    </row>
    <row r="68" spans="1:32" x14ac:dyDescent="0.3">
      <c r="A68" s="157" t="s">
        <v>1085</v>
      </c>
      <c r="B68" s="157" t="s">
        <v>246</v>
      </c>
      <c r="C68" s="157" t="s">
        <v>1075</v>
      </c>
      <c r="D68" s="157" t="s">
        <v>208</v>
      </c>
      <c r="E68" s="157" t="s">
        <v>520</v>
      </c>
      <c r="F68" s="158" t="s">
        <v>876</v>
      </c>
      <c r="G68" s="157">
        <v>10</v>
      </c>
      <c r="H68" s="157" t="s">
        <v>63</v>
      </c>
      <c r="I68" s="1650"/>
      <c r="J68" s="1651"/>
      <c r="K68" s="725">
        <v>10</v>
      </c>
      <c r="L68" s="2209"/>
      <c r="M68" s="163">
        <v>1</v>
      </c>
      <c r="N68" s="166">
        <v>3500</v>
      </c>
      <c r="O68" s="173">
        <v>0.49</v>
      </c>
      <c r="P68" s="166">
        <f t="shared" si="10"/>
        <v>1785</v>
      </c>
      <c r="Q68" s="166">
        <f t="shared" si="11"/>
        <v>17850</v>
      </c>
      <c r="R68" s="184">
        <f t="shared" si="12"/>
        <v>0.10243279318446051</v>
      </c>
      <c r="S68" s="503">
        <f t="shared" si="14"/>
        <v>17850</v>
      </c>
      <c r="T68" s="394">
        <f t="shared" ref="T68" si="15">S68</f>
        <v>17850</v>
      </c>
      <c r="X68" s="286"/>
      <c r="Y68" s="394">
        <f>S68</f>
        <v>17850</v>
      </c>
      <c r="Z68" s="395"/>
      <c r="AA68" s="188"/>
      <c r="AD68" s="169">
        <f>S68</f>
        <v>17850</v>
      </c>
      <c r="AF68" s="286"/>
    </row>
    <row r="69" spans="1:32" x14ac:dyDescent="0.3">
      <c r="A69" s="157" t="s">
        <v>1085</v>
      </c>
      <c r="B69" s="157" t="s">
        <v>246</v>
      </c>
      <c r="C69" s="157" t="s">
        <v>1075</v>
      </c>
      <c r="D69" s="157" t="s">
        <v>26</v>
      </c>
      <c r="E69" s="157" t="s">
        <v>520</v>
      </c>
      <c r="F69" s="158" t="s">
        <v>654</v>
      </c>
      <c r="G69" s="157">
        <v>1</v>
      </c>
      <c r="H69" s="157" t="s">
        <v>24</v>
      </c>
      <c r="I69" s="182">
        <v>1</v>
      </c>
      <c r="J69" s="183"/>
      <c r="K69" s="183"/>
      <c r="L69" s="2239"/>
      <c r="M69" s="163">
        <v>1</v>
      </c>
      <c r="N69" s="166">
        <v>12000</v>
      </c>
      <c r="O69" s="173">
        <v>0.38</v>
      </c>
      <c r="P69" s="166">
        <f t="shared" si="10"/>
        <v>7440</v>
      </c>
      <c r="Q69" s="166">
        <f t="shared" si="11"/>
        <v>7440</v>
      </c>
      <c r="R69" s="184">
        <f t="shared" si="12"/>
        <v>4.2694676823102871E-2</v>
      </c>
      <c r="S69" s="503">
        <f t="shared" si="14"/>
        <v>7440</v>
      </c>
      <c r="T69" s="394">
        <f>S69</f>
        <v>7440</v>
      </c>
      <c r="V69" s="169"/>
      <c r="X69" s="286"/>
      <c r="Y69" s="394">
        <f>S69</f>
        <v>7440</v>
      </c>
      <c r="Z69" s="286"/>
      <c r="AA69" s="188"/>
      <c r="AD69" s="169">
        <f>S69</f>
        <v>7440</v>
      </c>
      <c r="AF69" s="286"/>
    </row>
    <row r="70" spans="1:32" x14ac:dyDescent="0.3">
      <c r="A70" s="157" t="s">
        <v>1085</v>
      </c>
      <c r="B70" s="157" t="s">
        <v>247</v>
      </c>
      <c r="C70" s="157" t="s">
        <v>592</v>
      </c>
      <c r="D70" s="157" t="s">
        <v>50</v>
      </c>
      <c r="E70" s="157" t="s">
        <v>520</v>
      </c>
      <c r="F70" s="158" t="s">
        <v>552</v>
      </c>
      <c r="G70" s="157">
        <v>15</v>
      </c>
      <c r="H70" s="157" t="s">
        <v>24</v>
      </c>
      <c r="I70" s="175">
        <v>15</v>
      </c>
      <c r="J70" s="176"/>
      <c r="K70" s="176"/>
      <c r="L70" s="177"/>
      <c r="M70" s="163">
        <v>1</v>
      </c>
      <c r="N70" s="166">
        <v>3528</v>
      </c>
      <c r="O70" s="173">
        <v>0.69</v>
      </c>
      <c r="P70" s="166">
        <f t="shared" si="10"/>
        <v>1093.6800000000003</v>
      </c>
      <c r="Q70" s="166">
        <f t="shared" si="11"/>
        <v>16405.200000000004</v>
      </c>
      <c r="R70" s="184">
        <f t="shared" si="12"/>
        <v>9.4141762394941847E-2</v>
      </c>
      <c r="S70" s="503">
        <f t="shared" si="14"/>
        <v>16405.200000000004</v>
      </c>
      <c r="T70" s="394"/>
      <c r="V70" s="169">
        <f>S70</f>
        <v>16405.200000000004</v>
      </c>
      <c r="X70" s="286"/>
      <c r="Y70" s="394">
        <f>V70</f>
        <v>16405.200000000004</v>
      </c>
      <c r="Z70" s="286"/>
      <c r="AA70" s="188"/>
      <c r="AE70" s="169">
        <f>S70</f>
        <v>16405.200000000004</v>
      </c>
      <c r="AF70" s="286"/>
    </row>
    <row r="71" spans="1:32" x14ac:dyDescent="0.3">
      <c r="A71" s="157" t="s">
        <v>1085</v>
      </c>
      <c r="B71" s="157" t="s">
        <v>41</v>
      </c>
      <c r="C71" s="157" t="s">
        <v>525</v>
      </c>
      <c r="D71" s="157" t="s">
        <v>168</v>
      </c>
      <c r="E71" s="157" t="s">
        <v>520</v>
      </c>
      <c r="F71" s="158" t="s">
        <v>829</v>
      </c>
      <c r="G71" s="157">
        <v>30</v>
      </c>
      <c r="H71" s="157" t="s">
        <v>63</v>
      </c>
      <c r="I71" s="175">
        <v>30</v>
      </c>
      <c r="J71" s="688"/>
      <c r="K71" s="725">
        <v>30</v>
      </c>
      <c r="L71" s="2209"/>
      <c r="M71" s="163">
        <v>2</v>
      </c>
      <c r="N71" s="166">
        <v>1600</v>
      </c>
      <c r="O71" s="173">
        <v>0.7</v>
      </c>
      <c r="P71" s="166">
        <f t="shared" si="10"/>
        <v>480.00000000000006</v>
      </c>
      <c r="Q71" s="166">
        <f t="shared" si="11"/>
        <v>28800.000000000004</v>
      </c>
      <c r="R71" s="184">
        <f t="shared" si="12"/>
        <v>0.16526971673459176</v>
      </c>
      <c r="S71" s="503">
        <f t="shared" si="14"/>
        <v>28800.000000000004</v>
      </c>
      <c r="T71" s="394"/>
      <c r="V71" s="169">
        <f>S71</f>
        <v>28800.000000000004</v>
      </c>
      <c r="X71" s="286"/>
      <c r="Y71" s="394">
        <f>S71</f>
        <v>28800.000000000004</v>
      </c>
      <c r="Z71" s="286"/>
      <c r="AA71" s="188"/>
      <c r="AF71" s="395">
        <f>S71</f>
        <v>28800.000000000004</v>
      </c>
    </row>
    <row r="72" spans="1:32" x14ac:dyDescent="0.3">
      <c r="A72" s="157"/>
      <c r="B72" s="157"/>
      <c r="C72" s="157"/>
      <c r="D72" s="157"/>
      <c r="E72" s="157"/>
      <c r="F72" s="158"/>
      <c r="G72" s="157"/>
      <c r="H72" s="157"/>
      <c r="I72" s="1"/>
      <c r="J72" s="1"/>
      <c r="K72" s="1"/>
      <c r="L72" s="163"/>
      <c r="M72" s="163"/>
      <c r="N72" s="166"/>
      <c r="O72" s="173"/>
      <c r="P72" s="166"/>
      <c r="Q72" s="166"/>
      <c r="R72" s="184"/>
      <c r="S72" s="503"/>
      <c r="T72" s="394"/>
      <c r="V72" s="169"/>
      <c r="X72" s="286"/>
      <c r="Y72" s="394"/>
      <c r="Z72" s="286"/>
      <c r="AA72" s="188"/>
      <c r="AF72" s="286"/>
    </row>
    <row r="73" spans="1:32" x14ac:dyDescent="0.3">
      <c r="A73" s="157"/>
      <c r="B73" s="157"/>
      <c r="C73" s="157"/>
      <c r="D73" s="157"/>
      <c r="E73" s="157"/>
      <c r="F73" s="158"/>
      <c r="G73" s="157"/>
      <c r="H73" s="157"/>
      <c r="L73" s="286"/>
      <c r="M73" s="157"/>
      <c r="N73" s="166"/>
      <c r="O73" s="173"/>
      <c r="P73" s="166"/>
      <c r="Q73" s="166"/>
      <c r="R73" s="393"/>
      <c r="S73" s="503"/>
      <c r="T73" s="188"/>
      <c r="X73" s="286"/>
      <c r="Y73" s="188"/>
      <c r="Z73" s="286"/>
      <c r="AA73" s="188"/>
      <c r="AF73" s="286"/>
    </row>
    <row r="74" spans="1:32" x14ac:dyDescent="0.3">
      <c r="A74" s="108" t="s">
        <v>1085</v>
      </c>
      <c r="B74" s="108" t="s">
        <v>528</v>
      </c>
      <c r="C74" s="289"/>
      <c r="D74" s="252"/>
      <c r="E74" s="252"/>
      <c r="F74" s="253"/>
      <c r="G74" s="252"/>
      <c r="H74" s="252"/>
      <c r="I74" s="254"/>
      <c r="J74" s="254"/>
      <c r="K74" s="254"/>
      <c r="L74" s="254"/>
      <c r="M74" s="252"/>
      <c r="N74" s="255"/>
      <c r="O74" s="256"/>
      <c r="P74" s="290"/>
      <c r="Q74" s="257"/>
      <c r="R74" s="291">
        <f>Q74/Q77</f>
        <v>0</v>
      </c>
      <c r="S74" s="503"/>
      <c r="T74" s="188"/>
      <c r="W74" s="169">
        <f>S74</f>
        <v>0</v>
      </c>
      <c r="X74" s="286"/>
      <c r="Y74" s="188"/>
      <c r="Z74" s="286"/>
      <c r="AA74" s="188"/>
      <c r="AF74" s="286"/>
    </row>
    <row r="75" spans="1:32" x14ac:dyDescent="0.3">
      <c r="A75" s="108" t="s">
        <v>1085</v>
      </c>
      <c r="B75" s="108" t="s">
        <v>529</v>
      </c>
      <c r="C75" s="289"/>
      <c r="D75" s="252"/>
      <c r="E75" s="252"/>
      <c r="F75" s="253"/>
      <c r="G75" s="252"/>
      <c r="H75" s="252"/>
      <c r="I75" s="254"/>
      <c r="J75" s="254"/>
      <c r="K75" s="254"/>
      <c r="L75" s="254"/>
      <c r="M75" s="252"/>
      <c r="N75" s="255"/>
      <c r="O75" s="256"/>
      <c r="P75" s="290"/>
      <c r="Q75" s="257">
        <v>16000</v>
      </c>
      <c r="R75" s="291">
        <f>Q75/Q77</f>
        <v>9.1816509296995419E-2</v>
      </c>
      <c r="S75" s="503">
        <f>Q75</f>
        <v>16000</v>
      </c>
      <c r="T75" s="188"/>
      <c r="X75" s="395">
        <f>S75</f>
        <v>16000</v>
      </c>
      <c r="Y75" s="188"/>
      <c r="Z75" s="286"/>
      <c r="AA75" s="188"/>
      <c r="AF75" s="286"/>
    </row>
    <row r="76" spans="1:32" x14ac:dyDescent="0.3">
      <c r="I76" s="115">
        <f>I77/M77</f>
        <v>0.6330275229357798</v>
      </c>
      <c r="J76" s="115"/>
      <c r="K76" s="115">
        <f>K77/M77</f>
        <v>0.3669724770642202</v>
      </c>
      <c r="S76" s="166"/>
      <c r="T76" s="188"/>
      <c r="X76" s="286"/>
      <c r="Y76" s="188"/>
      <c r="Z76" s="286"/>
      <c r="AA76" s="188"/>
      <c r="AF76" s="286"/>
    </row>
    <row r="77" spans="1:32" x14ac:dyDescent="0.3">
      <c r="A77" s="840" t="s">
        <v>531</v>
      </c>
      <c r="B77" s="841"/>
      <c r="C77" s="841"/>
      <c r="D77" s="841"/>
      <c r="E77" s="841"/>
      <c r="F77" s="842"/>
      <c r="G77" s="841"/>
      <c r="H77" s="841"/>
      <c r="I77" s="841">
        <f>I71+I70+I69+I67+I66+I65+I64</f>
        <v>69</v>
      </c>
      <c r="J77" s="841"/>
      <c r="K77" s="841">
        <f>K68+K71</f>
        <v>40</v>
      </c>
      <c r="L77" s="841"/>
      <c r="M77" s="841">
        <f>SUM(I77:L77)</f>
        <v>109</v>
      </c>
      <c r="N77" s="843"/>
      <c r="O77" s="844"/>
      <c r="P77" s="843"/>
      <c r="Q77" s="845">
        <f>SUM(Q63:Q76)</f>
        <v>174260.6</v>
      </c>
      <c r="R77" s="844">
        <f>SUM(R63:R75)</f>
        <v>1</v>
      </c>
      <c r="S77" s="1580">
        <f>SUM(S63:S76)</f>
        <v>174260.6</v>
      </c>
      <c r="T77" s="1581">
        <f t="shared" ref="T77:X77" si="16">SUM(T63:T75)</f>
        <v>113055.40000000001</v>
      </c>
      <c r="U77" s="570">
        <f t="shared" si="16"/>
        <v>0</v>
      </c>
      <c r="V77" s="570">
        <f t="shared" si="16"/>
        <v>45205.200000000012</v>
      </c>
      <c r="W77" s="570">
        <f t="shared" si="16"/>
        <v>0</v>
      </c>
      <c r="X77" s="570">
        <f t="shared" si="16"/>
        <v>16000</v>
      </c>
      <c r="Y77" s="1091">
        <f>SUM(Y63:Y75)</f>
        <v>103154.4</v>
      </c>
      <c r="Z77" s="1056">
        <f>SUM(Z63:Z75)</f>
        <v>55106.200000000004</v>
      </c>
      <c r="AA77" s="1582">
        <f>SUM(AA64:AA76)</f>
        <v>32659.200000000001</v>
      </c>
      <c r="AB77" s="1583">
        <f>SUM(AB63:AB76)</f>
        <v>0</v>
      </c>
      <c r="AC77" s="1583">
        <f t="shared" ref="AC77:AF77" si="17">SUM(AC63:AC76)</f>
        <v>26906.200000000004</v>
      </c>
      <c r="AD77" s="1583">
        <f t="shared" si="17"/>
        <v>53490</v>
      </c>
      <c r="AE77" s="1583">
        <f t="shared" si="17"/>
        <v>16405.200000000004</v>
      </c>
      <c r="AF77" s="1583">
        <f t="shared" si="17"/>
        <v>28800.000000000004</v>
      </c>
    </row>
    <row r="78" spans="1:32" x14ac:dyDescent="0.3">
      <c r="A78" s="840" t="s">
        <v>532</v>
      </c>
      <c r="B78" s="841"/>
      <c r="C78" s="841"/>
      <c r="D78" s="841"/>
      <c r="E78" s="841"/>
      <c r="F78" s="842"/>
      <c r="G78" s="841"/>
      <c r="H78" s="841"/>
      <c r="I78" s="841">
        <f>I71+I70+I69+I67+I66+I65+I64</f>
        <v>69</v>
      </c>
      <c r="J78" s="841">
        <f>I71+I70+I69+I67+I66+I65+I64</f>
        <v>69</v>
      </c>
      <c r="K78" s="841">
        <f>K71+I70+I69+K68+I67+I66+I65</f>
        <v>63</v>
      </c>
      <c r="L78" s="841">
        <f>K71+I70+I69+K68+I67+I66+I65</f>
        <v>63</v>
      </c>
      <c r="M78" s="841">
        <f>SUM(I78:L78)</f>
        <v>264</v>
      </c>
      <c r="N78" s="843"/>
      <c r="O78" s="844"/>
      <c r="P78" s="843"/>
      <c r="Q78" s="843"/>
      <c r="R78" s="844"/>
      <c r="S78" s="1585">
        <f>Q77/M77</f>
        <v>1598.7211009174312</v>
      </c>
      <c r="T78" s="1586">
        <f>T77/S77</f>
        <v>0.64877201157347097</v>
      </c>
      <c r="U78" s="1587">
        <f>U77/S77</f>
        <v>0</v>
      </c>
      <c r="V78" s="1587">
        <f>V77/S77</f>
        <v>0.25941147912953366</v>
      </c>
      <c r="W78" s="1587">
        <f>W77/S77</f>
        <v>0</v>
      </c>
      <c r="X78" s="1587">
        <f>X77/S77</f>
        <v>9.1816509296995419E-2</v>
      </c>
      <c r="Y78" s="1589">
        <f>Y77/S77</f>
        <v>0.59195480791412391</v>
      </c>
      <c r="Z78" s="1590">
        <f>Z77/S77</f>
        <v>0.31622868278888056</v>
      </c>
      <c r="AA78" s="1591"/>
      <c r="AB78" s="1592"/>
      <c r="AC78" s="1592"/>
      <c r="AD78" s="1592"/>
      <c r="AE78" s="1592"/>
      <c r="AF78" s="1593"/>
    </row>
    <row r="79" spans="1:32" x14ac:dyDescent="0.3">
      <c r="A79" s="251" t="s">
        <v>533</v>
      </c>
      <c r="B79" s="252"/>
      <c r="C79" s="252"/>
      <c r="D79" s="252"/>
      <c r="E79" s="252"/>
      <c r="F79" s="253"/>
      <c r="G79" s="252"/>
      <c r="H79" s="252"/>
      <c r="I79" s="2188">
        <f>I78/$M$78</f>
        <v>0.26136363636363635</v>
      </c>
      <c r="J79" s="2188">
        <f t="shared" ref="J79:L79" si="18">J78/$M$78</f>
        <v>0.26136363636363635</v>
      </c>
      <c r="K79" s="2188">
        <f t="shared" si="18"/>
        <v>0.23863636363636365</v>
      </c>
      <c r="L79" s="2188">
        <f t="shared" si="18"/>
        <v>0.23863636363636365</v>
      </c>
      <c r="M79" s="252"/>
      <c r="N79" s="255"/>
      <c r="O79" s="256"/>
      <c r="P79" s="255"/>
      <c r="Q79" s="257">
        <f>T77/2</f>
        <v>56527.700000000004</v>
      </c>
      <c r="R79" s="262">
        <f>Q79/Q84</f>
        <v>0.64877201157347086</v>
      </c>
      <c r="X79" s="248"/>
      <c r="Y79" s="357">
        <f>I64+K68+I69+I70+I71+K71</f>
        <v>102</v>
      </c>
      <c r="Z79" s="358">
        <f>I65+I66+I67</f>
        <v>7</v>
      </c>
    </row>
    <row r="80" spans="1:32" x14ac:dyDescent="0.3">
      <c r="A80" s="251" t="s">
        <v>11</v>
      </c>
      <c r="B80" s="252"/>
      <c r="C80" s="252"/>
      <c r="D80" s="252"/>
      <c r="E80" s="252"/>
      <c r="F80" s="253"/>
      <c r="G80" s="252"/>
      <c r="H80" s="252"/>
      <c r="I80" s="254"/>
      <c r="J80" s="254"/>
      <c r="K80" s="254"/>
      <c r="L80" s="254"/>
      <c r="M80" s="252"/>
      <c r="N80" s="255"/>
      <c r="O80" s="256"/>
      <c r="P80" s="255"/>
      <c r="Q80" s="257">
        <f>U77/2</f>
        <v>0</v>
      </c>
      <c r="R80" s="262">
        <f>Q80/Q84</f>
        <v>0</v>
      </c>
      <c r="S80" s="1050">
        <f>Q77/M77</f>
        <v>1598.7211009174312</v>
      </c>
      <c r="T80" s="1051" t="s">
        <v>535</v>
      </c>
      <c r="Y80" s="195">
        <f>Y79/M77</f>
        <v>0.93577981651376152</v>
      </c>
      <c r="Z80" s="247">
        <f>Z79/M77</f>
        <v>6.4220183486238536E-2</v>
      </c>
    </row>
    <row r="81" spans="1:32" x14ac:dyDescent="0.3">
      <c r="A81" s="251" t="s">
        <v>536</v>
      </c>
      <c r="B81" s="252"/>
      <c r="C81" s="252"/>
      <c r="D81" s="252"/>
      <c r="E81" s="252"/>
      <c r="F81" s="253"/>
      <c r="G81" s="252"/>
      <c r="H81" s="252"/>
      <c r="I81" s="254"/>
      <c r="J81" s="254"/>
      <c r="K81" s="254"/>
      <c r="L81" s="254"/>
      <c r="M81" s="252"/>
      <c r="N81" s="255"/>
      <c r="O81" s="256"/>
      <c r="P81" s="255"/>
      <c r="Q81" s="257">
        <f>V77/2</f>
        <v>22602.600000000006</v>
      </c>
      <c r="R81" s="262">
        <f>Q81/Q84</f>
        <v>0.25941147912953361</v>
      </c>
      <c r="W81" s="99"/>
      <c r="Y81" s="2551" t="s">
        <v>537</v>
      </c>
      <c r="Z81" s="2551"/>
    </row>
    <row r="82" spans="1:32" x14ac:dyDescent="0.3">
      <c r="A82" s="251" t="s">
        <v>529</v>
      </c>
      <c r="B82" s="252"/>
      <c r="C82" s="252"/>
      <c r="D82" s="252"/>
      <c r="E82" s="252"/>
      <c r="F82" s="253"/>
      <c r="G82" s="252"/>
      <c r="H82" s="252"/>
      <c r="I82" s="254"/>
      <c r="J82" s="254"/>
      <c r="K82" s="254"/>
      <c r="L82" s="254"/>
      <c r="M82" s="252"/>
      <c r="N82" s="255"/>
      <c r="O82" s="256"/>
      <c r="P82" s="255"/>
      <c r="Q82" s="257">
        <f>X77/2</f>
        <v>8000</v>
      </c>
      <c r="R82" s="262">
        <f>Q82/Q84</f>
        <v>9.1816509296995405E-2</v>
      </c>
    </row>
    <row r="83" spans="1:32" x14ac:dyDescent="0.3">
      <c r="A83" s="251" t="s">
        <v>528</v>
      </c>
      <c r="B83" s="252"/>
      <c r="C83" s="252"/>
      <c r="D83" s="252"/>
      <c r="E83" s="252"/>
      <c r="F83" s="253"/>
      <c r="G83" s="252"/>
      <c r="H83" s="252"/>
      <c r="I83" s="254"/>
      <c r="J83" s="254"/>
      <c r="K83" s="254"/>
      <c r="L83" s="254"/>
      <c r="M83" s="252"/>
      <c r="N83" s="255"/>
      <c r="O83" s="256"/>
      <c r="P83" s="255"/>
      <c r="Q83" s="257">
        <f>W77/2</f>
        <v>0</v>
      </c>
      <c r="R83" s="262">
        <f>Q83/Q84</f>
        <v>0</v>
      </c>
    </row>
    <row r="84" spans="1:32" x14ac:dyDescent="0.3">
      <c r="A84" s="251"/>
      <c r="B84" s="252"/>
      <c r="C84" s="252"/>
      <c r="D84" s="252"/>
      <c r="E84" s="252"/>
      <c r="F84" s="253"/>
      <c r="G84" s="252"/>
      <c r="H84" s="252"/>
      <c r="I84" s="254"/>
      <c r="J84" s="254"/>
      <c r="K84" s="254"/>
      <c r="L84" s="254"/>
      <c r="M84" s="252"/>
      <c r="N84" s="255"/>
      <c r="O84" s="256"/>
      <c r="P84" s="255"/>
      <c r="Q84" s="264">
        <f>SUM(Q79:Q83)</f>
        <v>87130.300000000017</v>
      </c>
      <c r="R84" s="262">
        <f>SUM(R79:R83)</f>
        <v>0.99999999999999978</v>
      </c>
    </row>
    <row r="87" spans="1:32" x14ac:dyDescent="0.3">
      <c r="B87" s="2"/>
      <c r="E87" s="1" t="s">
        <v>543</v>
      </c>
      <c r="F87" s="2" t="s">
        <v>680</v>
      </c>
      <c r="G87" s="1" t="s">
        <v>545</v>
      </c>
      <c r="H87" s="1"/>
      <c r="I87" s="304">
        <v>0.45</v>
      </c>
      <c r="J87" s="304"/>
    </row>
    <row r="88" spans="1:32" x14ac:dyDescent="0.3">
      <c r="E88" s="1" t="s">
        <v>473</v>
      </c>
      <c r="F88" s="2" t="s">
        <v>51</v>
      </c>
      <c r="G88" s="1" t="s">
        <v>473</v>
      </c>
      <c r="H88" s="1"/>
      <c r="I88" s="1">
        <v>28</v>
      </c>
      <c r="J88" s="1"/>
    </row>
    <row r="89" spans="1:32" x14ac:dyDescent="0.3">
      <c r="E89" s="1" t="s">
        <v>475</v>
      </c>
      <c r="F89" s="2" t="s">
        <v>1086</v>
      </c>
      <c r="G89" s="1" t="s">
        <v>475</v>
      </c>
      <c r="H89" s="1"/>
      <c r="I89" s="95">
        <v>1271</v>
      </c>
      <c r="J89" s="95"/>
    </row>
    <row r="90" spans="1:32" x14ac:dyDescent="0.3">
      <c r="B90" s="2"/>
      <c r="E90" s="1" t="s">
        <v>477</v>
      </c>
      <c r="F90" s="2" t="s">
        <v>1087</v>
      </c>
      <c r="G90" s="1" t="s">
        <v>477</v>
      </c>
      <c r="H90" s="1"/>
      <c r="I90" s="95">
        <v>7243514</v>
      </c>
      <c r="J90" s="95"/>
    </row>
    <row r="92" spans="1:32" ht="18" x14ac:dyDescent="0.35">
      <c r="A92" s="1037" t="s">
        <v>479</v>
      </c>
    </row>
    <row r="93" spans="1:32" ht="18" x14ac:dyDescent="0.35">
      <c r="A93" s="1037"/>
    </row>
    <row r="94" spans="1:32" x14ac:dyDescent="0.3">
      <c r="A94" s="2587" t="s">
        <v>480</v>
      </c>
      <c r="B94" s="2588"/>
      <c r="C94" s="2588"/>
      <c r="D94" s="2588"/>
      <c r="E94" s="2588"/>
      <c r="F94" s="2588"/>
      <c r="G94" s="2588"/>
      <c r="H94" s="2588"/>
      <c r="I94" s="2588"/>
      <c r="J94" s="2588"/>
      <c r="K94" s="2588"/>
      <c r="L94" s="2588"/>
      <c r="M94" s="2588"/>
      <c r="N94" s="2588"/>
      <c r="O94" s="2588"/>
      <c r="P94" s="2588"/>
      <c r="Q94" s="2588"/>
      <c r="R94" s="2589"/>
      <c r="S94" s="2563" t="s">
        <v>584</v>
      </c>
      <c r="T94" s="2564"/>
      <c r="U94" s="2564"/>
      <c r="V94" s="2564"/>
      <c r="W94" s="2564"/>
      <c r="X94" s="2564"/>
      <c r="Y94" s="2564"/>
      <c r="Z94" s="2564"/>
      <c r="AA94" s="2564"/>
      <c r="AB94" s="2564"/>
      <c r="AC94" s="2564"/>
      <c r="AD94" s="2564"/>
      <c r="AE94" s="2564"/>
      <c r="AF94" s="2576"/>
    </row>
    <row r="95" spans="1:32" ht="18" x14ac:dyDescent="0.3">
      <c r="A95" s="2453" t="s">
        <v>482</v>
      </c>
      <c r="B95" s="2453" t="s">
        <v>483</v>
      </c>
      <c r="C95" s="2453" t="s">
        <v>484</v>
      </c>
      <c r="D95" s="2453" t="s">
        <v>555</v>
      </c>
      <c r="E95" s="2453" t="s">
        <v>556</v>
      </c>
      <c r="F95" s="2451" t="s">
        <v>487</v>
      </c>
      <c r="G95" s="2453" t="s">
        <v>557</v>
      </c>
      <c r="H95" s="2453" t="s">
        <v>489</v>
      </c>
      <c r="I95" s="782" t="s">
        <v>490</v>
      </c>
      <c r="J95" s="782"/>
      <c r="K95" s="782"/>
      <c r="L95" s="782"/>
      <c r="M95" s="783" t="s">
        <v>491</v>
      </c>
      <c r="N95" s="784" t="s">
        <v>558</v>
      </c>
      <c r="O95" s="785" t="s">
        <v>493</v>
      </c>
      <c r="P95" s="784" t="s">
        <v>558</v>
      </c>
      <c r="Q95" s="784" t="s">
        <v>559</v>
      </c>
      <c r="R95" s="2455" t="s">
        <v>495</v>
      </c>
      <c r="S95" s="1059" t="s">
        <v>496</v>
      </c>
      <c r="T95" s="2567" t="s">
        <v>497</v>
      </c>
      <c r="U95" s="2568"/>
      <c r="V95" s="2568"/>
      <c r="W95" s="2568"/>
      <c r="X95" s="2568"/>
      <c r="Y95" s="2567" t="s">
        <v>498</v>
      </c>
      <c r="Z95" s="2568"/>
      <c r="AA95" s="2567" t="s">
        <v>499</v>
      </c>
      <c r="AB95" s="2568"/>
      <c r="AC95" s="2568"/>
      <c r="AD95" s="2568"/>
      <c r="AE95" s="2568"/>
      <c r="AF95" s="2571"/>
    </row>
    <row r="96" spans="1:32" ht="18" x14ac:dyDescent="0.3">
      <c r="A96" s="2454"/>
      <c r="B96" s="2454"/>
      <c r="C96" s="2454"/>
      <c r="D96" s="2454"/>
      <c r="E96" s="2454"/>
      <c r="F96" s="2452"/>
      <c r="G96" s="2454"/>
      <c r="H96" s="2454"/>
      <c r="I96" s="782" t="s">
        <v>500</v>
      </c>
      <c r="J96" s="782" t="s">
        <v>501</v>
      </c>
      <c r="K96" s="782" t="s">
        <v>502</v>
      </c>
      <c r="L96" s="782" t="s">
        <v>503</v>
      </c>
      <c r="M96" s="786" t="s">
        <v>504</v>
      </c>
      <c r="N96" s="787" t="s">
        <v>505</v>
      </c>
      <c r="O96" s="788" t="s">
        <v>506</v>
      </c>
      <c r="P96" s="787" t="s">
        <v>507</v>
      </c>
      <c r="Q96" s="787" t="s">
        <v>560</v>
      </c>
      <c r="R96" s="2456"/>
      <c r="S96" s="1545" t="s">
        <v>508</v>
      </c>
      <c r="T96" s="2782"/>
      <c r="U96" s="2781"/>
      <c r="V96" s="2781"/>
      <c r="W96" s="2781"/>
      <c r="X96" s="2781"/>
      <c r="Y96" s="2782"/>
      <c r="Z96" s="2781"/>
      <c r="AA96" s="2782"/>
      <c r="AB96" s="2781"/>
      <c r="AC96" s="2781"/>
      <c r="AD96" s="2781"/>
      <c r="AE96" s="2781"/>
      <c r="AF96" s="2783"/>
    </row>
    <row r="97" spans="1:32" ht="18" x14ac:dyDescent="0.35">
      <c r="A97" s="2449" t="s">
        <v>639</v>
      </c>
      <c r="B97" s="2450"/>
      <c r="C97" s="2450"/>
      <c r="D97" s="2450"/>
      <c r="E97" s="2450"/>
      <c r="F97" s="2450"/>
      <c r="G97" s="2450"/>
      <c r="H97" s="2450"/>
      <c r="I97" s="2450"/>
      <c r="J97" s="2450"/>
      <c r="K97" s="2450"/>
      <c r="L97" s="2450"/>
      <c r="M97" s="2450"/>
      <c r="N97" s="2450"/>
      <c r="O97" s="2450"/>
      <c r="P97" s="2450"/>
      <c r="Q97" s="2450"/>
      <c r="R97" s="2450"/>
      <c r="S97" s="1577"/>
      <c r="T97" s="1553" t="s">
        <v>510</v>
      </c>
      <c r="U97" s="1554" t="s">
        <v>11</v>
      </c>
      <c r="V97" s="1554" t="s">
        <v>511</v>
      </c>
      <c r="W97" s="1554" t="s">
        <v>512</v>
      </c>
      <c r="X97" s="1578" t="s">
        <v>513</v>
      </c>
      <c r="Y97" s="1553" t="s">
        <v>514</v>
      </c>
      <c r="Z97" s="1578" t="s">
        <v>515</v>
      </c>
      <c r="AA97" s="1553" t="s">
        <v>239</v>
      </c>
      <c r="AB97" s="1554" t="s">
        <v>240</v>
      </c>
      <c r="AC97" s="1554" t="s">
        <v>241</v>
      </c>
      <c r="AD97" s="1554" t="s">
        <v>242</v>
      </c>
      <c r="AE97" s="1554" t="s">
        <v>10</v>
      </c>
      <c r="AF97" s="1578" t="s">
        <v>5</v>
      </c>
    </row>
    <row r="98" spans="1:32" x14ac:dyDescent="0.3">
      <c r="A98" s="154"/>
      <c r="B98" s="462"/>
      <c r="C98" s="462"/>
      <c r="D98" s="462"/>
      <c r="E98" s="462"/>
      <c r="F98" s="463"/>
      <c r="G98" s="462"/>
      <c r="H98" s="462"/>
      <c r="I98" s="465"/>
      <c r="J98" s="465"/>
      <c r="K98" s="465"/>
      <c r="L98" s="465"/>
      <c r="M98" s="462"/>
      <c r="N98" s="468"/>
      <c r="O98" s="469"/>
      <c r="P98" s="468"/>
      <c r="Q98" s="468"/>
      <c r="R98" s="532"/>
      <c r="S98" s="166"/>
      <c r="T98" s="188"/>
      <c r="X98" s="286"/>
      <c r="Y98" s="188"/>
      <c r="Z98" s="286"/>
      <c r="AA98" s="464"/>
      <c r="AB98" s="465"/>
      <c r="AC98" s="465"/>
      <c r="AD98" s="465"/>
      <c r="AE98" s="465"/>
      <c r="AF98" s="466"/>
    </row>
    <row r="99" spans="1:32" x14ac:dyDescent="0.3">
      <c r="A99" s="157" t="s">
        <v>1085</v>
      </c>
      <c r="B99" s="157" t="s">
        <v>243</v>
      </c>
      <c r="C99" s="157" t="s">
        <v>1075</v>
      </c>
      <c r="D99" s="157" t="s">
        <v>208</v>
      </c>
      <c r="E99" s="157" t="s">
        <v>520</v>
      </c>
      <c r="F99" s="158" t="s">
        <v>1088</v>
      </c>
      <c r="G99" s="157">
        <v>12</v>
      </c>
      <c r="H99" s="157" t="s">
        <v>63</v>
      </c>
      <c r="I99" s="175">
        <v>12</v>
      </c>
      <c r="J99" s="688"/>
      <c r="L99" s="286"/>
      <c r="M99" s="163">
        <v>1</v>
      </c>
      <c r="N99" s="166">
        <v>2268</v>
      </c>
      <c r="O99" s="173">
        <v>0.1</v>
      </c>
      <c r="P99" s="166">
        <f t="shared" ref="P99" si="19">N99*(1-O99)</f>
        <v>2041.2</v>
      </c>
      <c r="Q99" s="166">
        <f t="shared" ref="Q99:Q106" si="20">P99*M99*G99</f>
        <v>24494.400000000001</v>
      </c>
      <c r="R99" s="184">
        <f t="shared" ref="R99:R106" si="21">Q99/$Q$111</f>
        <v>0.21939953190037165</v>
      </c>
      <c r="S99" s="503">
        <f t="shared" ref="S99:S106" si="22">Q99*4</f>
        <v>97977.600000000006</v>
      </c>
      <c r="T99" s="394">
        <f t="shared" ref="T99:T101" si="23">S99</f>
        <v>97977.600000000006</v>
      </c>
      <c r="X99" s="286"/>
      <c r="Y99" s="394">
        <f>S99</f>
        <v>97977.600000000006</v>
      </c>
      <c r="Z99" s="395"/>
      <c r="AA99" s="394">
        <f>S99</f>
        <v>97977.600000000006</v>
      </c>
      <c r="AF99" s="286"/>
    </row>
    <row r="100" spans="1:32" x14ac:dyDescent="0.3">
      <c r="A100" s="157" t="s">
        <v>1085</v>
      </c>
      <c r="B100" s="157" t="s">
        <v>210</v>
      </c>
      <c r="C100" s="157" t="s">
        <v>1075</v>
      </c>
      <c r="D100" s="157" t="s">
        <v>102</v>
      </c>
      <c r="E100" s="157" t="s">
        <v>518</v>
      </c>
      <c r="F100" s="158" t="s">
        <v>521</v>
      </c>
      <c r="G100" s="157">
        <v>2</v>
      </c>
      <c r="H100" s="157" t="s">
        <v>24</v>
      </c>
      <c r="I100" s="2445">
        <v>2</v>
      </c>
      <c r="J100" s="726"/>
      <c r="K100" s="726"/>
      <c r="L100" s="727"/>
      <c r="M100" s="163">
        <v>1</v>
      </c>
      <c r="N100" s="166">
        <v>20755</v>
      </c>
      <c r="O100" s="173">
        <v>0.6</v>
      </c>
      <c r="P100" s="166">
        <f>N100*(1-O100)</f>
        <v>8302</v>
      </c>
      <c r="Q100" s="166">
        <f t="shared" si="20"/>
        <v>16604</v>
      </c>
      <c r="R100" s="167">
        <f t="shared" si="21"/>
        <v>0.148724191148743</v>
      </c>
      <c r="S100" s="503">
        <f t="shared" si="22"/>
        <v>66416</v>
      </c>
      <c r="T100" s="394">
        <f t="shared" si="23"/>
        <v>66416</v>
      </c>
      <c r="X100" s="286"/>
      <c r="Y100" s="394"/>
      <c r="Z100" s="395">
        <f>S100</f>
        <v>66416</v>
      </c>
      <c r="AA100" s="188"/>
      <c r="AB100" s="169">
        <f>S100</f>
        <v>66416</v>
      </c>
      <c r="AF100" s="286"/>
    </row>
    <row r="101" spans="1:32" x14ac:dyDescent="0.3">
      <c r="A101" s="157" t="s">
        <v>1085</v>
      </c>
      <c r="B101" s="157" t="s">
        <v>243</v>
      </c>
      <c r="C101" s="157" t="s">
        <v>1075</v>
      </c>
      <c r="D101" s="157" t="s">
        <v>244</v>
      </c>
      <c r="E101" s="157" t="s">
        <v>520</v>
      </c>
      <c r="F101" s="158" t="s">
        <v>588</v>
      </c>
      <c r="G101" s="157">
        <v>1</v>
      </c>
      <c r="H101" s="157" t="s">
        <v>63</v>
      </c>
      <c r="I101" s="175">
        <v>1</v>
      </c>
      <c r="J101" s="176"/>
      <c r="K101" s="1648"/>
      <c r="L101" s="1649"/>
      <c r="M101" s="163">
        <v>1</v>
      </c>
      <c r="N101" s="166">
        <v>6804</v>
      </c>
      <c r="O101" s="173">
        <v>0.1</v>
      </c>
      <c r="P101" s="166">
        <f t="shared" ref="P101:P106" si="24">N101*(1-O101)</f>
        <v>6123.6</v>
      </c>
      <c r="Q101" s="166">
        <f t="shared" si="20"/>
        <v>6123.6</v>
      </c>
      <c r="R101" s="184">
        <f t="shared" si="21"/>
        <v>5.4849882975092912E-2</v>
      </c>
      <c r="S101" s="503">
        <f t="shared" si="22"/>
        <v>24494.400000000001</v>
      </c>
      <c r="T101" s="394">
        <f t="shared" si="23"/>
        <v>24494.400000000001</v>
      </c>
      <c r="X101" s="286"/>
      <c r="Y101" s="394">
        <f>S101</f>
        <v>24494.400000000001</v>
      </c>
      <c r="Z101" s="395"/>
      <c r="AA101" s="394">
        <f>S101</f>
        <v>24494.400000000001</v>
      </c>
      <c r="AF101" s="286"/>
    </row>
    <row r="102" spans="1:32" x14ac:dyDescent="0.3">
      <c r="A102" s="157" t="s">
        <v>1085</v>
      </c>
      <c r="B102" s="157" t="s">
        <v>245</v>
      </c>
      <c r="C102" s="157" t="s">
        <v>1075</v>
      </c>
      <c r="D102" s="157" t="s">
        <v>102</v>
      </c>
      <c r="E102" s="157" t="s">
        <v>518</v>
      </c>
      <c r="F102" s="158" t="s">
        <v>521</v>
      </c>
      <c r="G102" s="157">
        <v>2</v>
      </c>
      <c r="H102" s="157" t="s">
        <v>24</v>
      </c>
      <c r="I102" s="182">
        <v>2</v>
      </c>
      <c r="J102" s="183"/>
      <c r="K102" s="183"/>
      <c r="L102" s="2239"/>
      <c r="M102" s="163">
        <v>1</v>
      </c>
      <c r="N102" s="166">
        <v>7290</v>
      </c>
      <c r="O102" s="173">
        <v>0.18</v>
      </c>
      <c r="P102" s="166">
        <f t="shared" si="24"/>
        <v>5977.8</v>
      </c>
      <c r="Q102" s="166">
        <f t="shared" si="20"/>
        <v>11955.6</v>
      </c>
      <c r="R102" s="167">
        <f t="shared" si="21"/>
        <v>0.10708786676089568</v>
      </c>
      <c r="S102" s="503">
        <f t="shared" si="22"/>
        <v>47822.400000000001</v>
      </c>
      <c r="T102" s="394">
        <f>S102</f>
        <v>47822.400000000001</v>
      </c>
      <c r="X102" s="286"/>
      <c r="Y102" s="394"/>
      <c r="Z102" s="395">
        <f>S102</f>
        <v>47822.400000000001</v>
      </c>
      <c r="AA102" s="188"/>
      <c r="AC102" s="169">
        <f>S102</f>
        <v>47822.400000000001</v>
      </c>
      <c r="AF102" s="286"/>
    </row>
    <row r="103" spans="1:32" x14ac:dyDescent="0.3">
      <c r="A103" s="157" t="s">
        <v>1085</v>
      </c>
      <c r="B103" s="157" t="s">
        <v>245</v>
      </c>
      <c r="C103" s="157" t="s">
        <v>1075</v>
      </c>
      <c r="D103" s="157" t="s">
        <v>102</v>
      </c>
      <c r="E103" s="157" t="s">
        <v>518</v>
      </c>
      <c r="F103" s="158" t="s">
        <v>521</v>
      </c>
      <c r="G103" s="157">
        <v>1</v>
      </c>
      <c r="H103" s="157" t="s">
        <v>24</v>
      </c>
      <c r="I103" s="182">
        <v>1</v>
      </c>
      <c r="J103" s="183"/>
      <c r="K103" s="183"/>
      <c r="L103" s="2239"/>
      <c r="M103" s="163">
        <v>1</v>
      </c>
      <c r="N103" s="166">
        <v>12670</v>
      </c>
      <c r="O103" s="173">
        <v>0.41</v>
      </c>
      <c r="P103" s="166">
        <f t="shared" si="24"/>
        <v>7475.3000000000011</v>
      </c>
      <c r="Q103" s="166">
        <f t="shared" si="20"/>
        <v>7475.3000000000011</v>
      </c>
      <c r="R103" s="167">
        <f t="shared" si="21"/>
        <v>6.6957235972910062E-2</v>
      </c>
      <c r="S103" s="503">
        <f t="shared" si="22"/>
        <v>29901.200000000004</v>
      </c>
      <c r="T103" s="394">
        <f>S103</f>
        <v>29901.200000000004</v>
      </c>
      <c r="V103" s="169"/>
      <c r="X103" s="286"/>
      <c r="Y103" s="394"/>
      <c r="Z103" s="395">
        <f>S103</f>
        <v>29901.200000000004</v>
      </c>
      <c r="AA103" s="188"/>
      <c r="AC103" s="169">
        <f>S103</f>
        <v>29901.200000000004</v>
      </c>
      <c r="AF103" s="286"/>
    </row>
    <row r="104" spans="1:32" x14ac:dyDescent="0.3">
      <c r="A104" s="157" t="s">
        <v>1085</v>
      </c>
      <c r="B104" s="157" t="s">
        <v>246</v>
      </c>
      <c r="C104" s="157" t="s">
        <v>1075</v>
      </c>
      <c r="D104" s="157" t="s">
        <v>102</v>
      </c>
      <c r="E104" s="157" t="s">
        <v>518</v>
      </c>
      <c r="F104" s="158" t="s">
        <v>521</v>
      </c>
      <c r="G104" s="157">
        <v>1</v>
      </c>
      <c r="H104" s="157" t="s">
        <v>24</v>
      </c>
      <c r="I104" s="175">
        <v>1</v>
      </c>
      <c r="J104" s="176"/>
      <c r="K104" s="176"/>
      <c r="L104" s="177"/>
      <c r="M104" s="163">
        <v>1</v>
      </c>
      <c r="N104" s="166">
        <v>20000</v>
      </c>
      <c r="O104" s="173">
        <v>0.53</v>
      </c>
      <c r="P104" s="166">
        <f t="shared" si="24"/>
        <v>9400</v>
      </c>
      <c r="Q104" s="166">
        <f t="shared" si="20"/>
        <v>9400</v>
      </c>
      <c r="R104" s="167">
        <f t="shared" si="21"/>
        <v>8.4197024620463995E-2</v>
      </c>
      <c r="S104" s="503">
        <f t="shared" si="22"/>
        <v>37600</v>
      </c>
      <c r="T104" s="394">
        <f>S104</f>
        <v>37600</v>
      </c>
      <c r="V104" s="169"/>
      <c r="X104" s="286"/>
      <c r="Y104" s="394"/>
      <c r="Z104" s="395">
        <f>S104</f>
        <v>37600</v>
      </c>
      <c r="AA104" s="188"/>
      <c r="AD104" s="169">
        <f>S104</f>
        <v>37600</v>
      </c>
      <c r="AF104" s="286"/>
    </row>
    <row r="105" spans="1:32" x14ac:dyDescent="0.3">
      <c r="A105" s="157" t="s">
        <v>1085</v>
      </c>
      <c r="B105" s="157" t="s">
        <v>246</v>
      </c>
      <c r="C105" s="157" t="s">
        <v>1075</v>
      </c>
      <c r="D105" s="157" t="s">
        <v>208</v>
      </c>
      <c r="E105" s="157" t="s">
        <v>520</v>
      </c>
      <c r="F105" s="158" t="s">
        <v>1088</v>
      </c>
      <c r="G105" s="157">
        <v>6</v>
      </c>
      <c r="H105" s="157" t="s">
        <v>63</v>
      </c>
      <c r="I105" s="1650"/>
      <c r="J105" s="1651"/>
      <c r="K105" s="725">
        <v>6</v>
      </c>
      <c r="L105" s="2209"/>
      <c r="M105" s="163">
        <v>1</v>
      </c>
      <c r="N105" s="166">
        <v>3500</v>
      </c>
      <c r="O105" s="173">
        <v>0.49</v>
      </c>
      <c r="P105" s="166">
        <f t="shared" si="24"/>
        <v>1785</v>
      </c>
      <c r="Q105" s="166">
        <f t="shared" si="20"/>
        <v>10710</v>
      </c>
      <c r="R105" s="184">
        <f t="shared" si="21"/>
        <v>9.5930865285656322E-2</v>
      </c>
      <c r="S105" s="503">
        <f t="shared" si="22"/>
        <v>42840</v>
      </c>
      <c r="T105" s="394">
        <f t="shared" ref="T105" si="25">S105</f>
        <v>42840</v>
      </c>
      <c r="X105" s="286"/>
      <c r="Y105" s="394">
        <f>S105</f>
        <v>42840</v>
      </c>
      <c r="Z105" s="395"/>
      <c r="AA105" s="188"/>
      <c r="AD105" s="169">
        <f>S105</f>
        <v>42840</v>
      </c>
      <c r="AF105" s="286"/>
    </row>
    <row r="106" spans="1:32" x14ac:dyDescent="0.3">
      <c r="A106" s="157" t="s">
        <v>1085</v>
      </c>
      <c r="B106" s="157" t="s">
        <v>246</v>
      </c>
      <c r="C106" s="157" t="s">
        <v>1075</v>
      </c>
      <c r="D106" s="157" t="s">
        <v>26</v>
      </c>
      <c r="E106" s="157" t="s">
        <v>520</v>
      </c>
      <c r="F106" s="158" t="s">
        <v>640</v>
      </c>
      <c r="G106" s="157">
        <v>2</v>
      </c>
      <c r="H106" s="157" t="s">
        <v>24</v>
      </c>
      <c r="I106" s="182">
        <v>2</v>
      </c>
      <c r="J106" s="183"/>
      <c r="K106" s="183"/>
      <c r="L106" s="2239"/>
      <c r="M106" s="163">
        <v>1</v>
      </c>
      <c r="N106" s="166">
        <v>12000</v>
      </c>
      <c r="O106" s="173">
        <v>0.38</v>
      </c>
      <c r="P106" s="166">
        <f t="shared" si="24"/>
        <v>7440</v>
      </c>
      <c r="Q106" s="166">
        <f t="shared" si="20"/>
        <v>14880</v>
      </c>
      <c r="R106" s="184">
        <f t="shared" si="21"/>
        <v>0.13328209854813877</v>
      </c>
      <c r="S106" s="503">
        <f t="shared" si="22"/>
        <v>59520</v>
      </c>
      <c r="T106" s="394">
        <f>S106</f>
        <v>59520</v>
      </c>
      <c r="V106" s="169"/>
      <c r="X106" s="286"/>
      <c r="Y106" s="394">
        <f>S106</f>
        <v>59520</v>
      </c>
      <c r="Z106" s="286"/>
      <c r="AA106" s="188"/>
      <c r="AD106" s="169">
        <f>S106</f>
        <v>59520</v>
      </c>
      <c r="AF106" s="286"/>
    </row>
    <row r="107" spans="1:32" x14ac:dyDescent="0.3">
      <c r="A107" s="172"/>
      <c r="B107" s="157"/>
      <c r="C107" s="190"/>
      <c r="D107" s="190"/>
      <c r="E107" s="190"/>
      <c r="F107" s="191"/>
      <c r="G107" s="190"/>
      <c r="H107" s="190"/>
      <c r="I107" s="245"/>
      <c r="J107" s="245"/>
      <c r="K107" s="245"/>
      <c r="L107" s="287"/>
      <c r="M107" s="190"/>
      <c r="N107" s="194"/>
      <c r="O107" s="195"/>
      <c r="P107" s="194"/>
      <c r="Q107" s="166"/>
      <c r="R107" s="393"/>
      <c r="S107" s="503"/>
      <c r="T107" s="188"/>
      <c r="X107" s="286"/>
      <c r="Y107" s="188"/>
      <c r="Z107" s="286"/>
      <c r="AA107" s="188"/>
      <c r="AF107" s="286"/>
    </row>
    <row r="108" spans="1:32" x14ac:dyDescent="0.3">
      <c r="A108" s="108" t="s">
        <v>1085</v>
      </c>
      <c r="B108" s="108" t="s">
        <v>528</v>
      </c>
      <c r="C108" s="289"/>
      <c r="D108" s="252"/>
      <c r="E108" s="252"/>
      <c r="F108" s="253"/>
      <c r="G108" s="252"/>
      <c r="H108" s="252"/>
      <c r="I108" s="254"/>
      <c r="J108" s="254"/>
      <c r="K108" s="254"/>
      <c r="L108" s="254"/>
      <c r="M108" s="252"/>
      <c r="N108" s="255"/>
      <c r="O108" s="256"/>
      <c r="P108" s="290"/>
      <c r="Q108" s="257"/>
      <c r="R108" s="291">
        <f>Q108/Q111</f>
        <v>0</v>
      </c>
      <c r="S108" s="503"/>
      <c r="T108" s="188"/>
      <c r="W108" s="169">
        <f>S108</f>
        <v>0</v>
      </c>
      <c r="X108" s="286"/>
      <c r="Y108" s="188"/>
      <c r="Z108" s="286"/>
      <c r="AA108" s="188"/>
      <c r="AF108" s="286"/>
    </row>
    <row r="109" spans="1:32" x14ac:dyDescent="0.3">
      <c r="A109" s="108" t="s">
        <v>1085</v>
      </c>
      <c r="B109" s="108" t="s">
        <v>529</v>
      </c>
      <c r="C109" s="289"/>
      <c r="D109" s="252"/>
      <c r="E109" s="252"/>
      <c r="F109" s="253"/>
      <c r="G109" s="252"/>
      <c r="H109" s="252"/>
      <c r="I109" s="254"/>
      <c r="J109" s="254"/>
      <c r="K109" s="254"/>
      <c r="L109" s="254"/>
      <c r="M109" s="252"/>
      <c r="N109" s="255"/>
      <c r="O109" s="256"/>
      <c r="P109" s="290"/>
      <c r="Q109" s="257">
        <v>10000</v>
      </c>
      <c r="R109" s="291">
        <f>Q109/Q111</f>
        <v>8.9571302787727666E-2</v>
      </c>
      <c r="S109" s="503">
        <f>Q109*4</f>
        <v>40000</v>
      </c>
      <c r="T109" s="188"/>
      <c r="X109" s="395">
        <f>S109</f>
        <v>40000</v>
      </c>
      <c r="Y109" s="188"/>
      <c r="Z109" s="286"/>
      <c r="AA109" s="188"/>
      <c r="AF109" s="286"/>
    </row>
    <row r="110" spans="1:32" x14ac:dyDescent="0.3">
      <c r="I110" s="115">
        <f>I111/M111</f>
        <v>0.77777777777777779</v>
      </c>
      <c r="J110" s="115"/>
      <c r="K110" s="115">
        <f>K111/M111</f>
        <v>0.22222222222222221</v>
      </c>
      <c r="S110" s="166"/>
      <c r="T110" s="188"/>
      <c r="X110" s="286"/>
      <c r="Y110" s="188"/>
      <c r="Z110" s="286"/>
      <c r="AA110" s="188"/>
      <c r="AF110" s="286"/>
    </row>
    <row r="111" spans="1:32" x14ac:dyDescent="0.3">
      <c r="A111" s="789" t="s">
        <v>531</v>
      </c>
      <c r="B111" s="790"/>
      <c r="C111" s="790"/>
      <c r="D111" s="790"/>
      <c r="E111" s="790"/>
      <c r="F111" s="791"/>
      <c r="G111" s="790"/>
      <c r="H111" s="790"/>
      <c r="I111" s="790">
        <f>I106+I104+I103+I102+I101+I100+I99</f>
        <v>21</v>
      </c>
      <c r="J111" s="790"/>
      <c r="K111" s="790">
        <f>K105</f>
        <v>6</v>
      </c>
      <c r="L111" s="790"/>
      <c r="M111" s="790">
        <f>SUM(I111:L111)</f>
        <v>27</v>
      </c>
      <c r="N111" s="793"/>
      <c r="O111" s="794"/>
      <c r="P111" s="793"/>
      <c r="Q111" s="795">
        <f>SUM(Q98:Q110)</f>
        <v>111642.9</v>
      </c>
      <c r="R111" s="794">
        <f>SUM(R98:R109)</f>
        <v>1</v>
      </c>
      <c r="S111" s="1599">
        <f>SUM(S97:S110)</f>
        <v>446571.6</v>
      </c>
      <c r="T111" s="1600">
        <f t="shared" ref="T111:X111" si="26">SUM(T97:T109)</f>
        <v>406571.6</v>
      </c>
      <c r="U111" s="585">
        <f t="shared" si="26"/>
        <v>0</v>
      </c>
      <c r="V111" s="585">
        <f t="shared" si="26"/>
        <v>0</v>
      </c>
      <c r="W111" s="585">
        <f t="shared" si="26"/>
        <v>0</v>
      </c>
      <c r="X111" s="585">
        <f t="shared" si="26"/>
        <v>40000</v>
      </c>
      <c r="Y111" s="1601">
        <f>SUM(Y97:Y109)</f>
        <v>224832</v>
      </c>
      <c r="Z111" s="1602">
        <f>SUM(Z97:Z109)</f>
        <v>181739.6</v>
      </c>
      <c r="AA111" s="1603">
        <f>SUM(AA98:AA110)</f>
        <v>122472</v>
      </c>
      <c r="AB111" s="1604">
        <f>SUM(AB98:AB110)</f>
        <v>66416</v>
      </c>
      <c r="AC111" s="1604">
        <f>SUM(AC98:AC110)</f>
        <v>77723.600000000006</v>
      </c>
      <c r="AD111" s="1604">
        <f>SUM(AD98:AD110)</f>
        <v>139960</v>
      </c>
      <c r="AE111" s="1604">
        <f t="shared" ref="AE111:AF111" si="27">SUM(AE97:AE110)</f>
        <v>0</v>
      </c>
      <c r="AF111" s="1605">
        <f t="shared" si="27"/>
        <v>0</v>
      </c>
    </row>
    <row r="112" spans="1:32" x14ac:dyDescent="0.3">
      <c r="A112" s="789" t="s">
        <v>532</v>
      </c>
      <c r="B112" s="790"/>
      <c r="C112" s="790"/>
      <c r="D112" s="790"/>
      <c r="E112" s="790"/>
      <c r="F112" s="791"/>
      <c r="G112" s="790"/>
      <c r="H112" s="790"/>
      <c r="I112" s="790">
        <f>I106+I104+I103+I102+I101+I100+I99</f>
        <v>21</v>
      </c>
      <c r="J112" s="790">
        <f>I106+I104+I103+I102+I101+I100+I99</f>
        <v>21</v>
      </c>
      <c r="K112" s="790">
        <f>I106+K105+I104+I103+I102+I100</f>
        <v>14</v>
      </c>
      <c r="L112" s="790"/>
      <c r="M112" s="790">
        <f>SUM(I112:L112)</f>
        <v>56</v>
      </c>
      <c r="N112" s="793"/>
      <c r="O112" s="794"/>
      <c r="P112" s="793"/>
      <c r="Q112" s="793"/>
      <c r="R112" s="794"/>
      <c r="S112" s="1606">
        <f>Q111/M111</f>
        <v>4134.9222222222224</v>
      </c>
      <c r="T112" s="1607">
        <f>T111/S111</f>
        <v>0.91042869721227238</v>
      </c>
      <c r="U112" s="1608">
        <f>U111/S111</f>
        <v>0</v>
      </c>
      <c r="V112" s="1608">
        <f>V111/S111</f>
        <v>0</v>
      </c>
      <c r="W112" s="1608">
        <f>W111/S111</f>
        <v>0</v>
      </c>
      <c r="X112" s="1608">
        <f>X111/S111</f>
        <v>8.9571302787727666E-2</v>
      </c>
      <c r="Y112" s="788">
        <f>Y111/S111</f>
        <v>0.50346237870925958</v>
      </c>
      <c r="Z112" s="1610">
        <f>Z111/S111</f>
        <v>0.40696631850301279</v>
      </c>
      <c r="AA112" s="1611"/>
      <c r="AB112" s="1612"/>
      <c r="AC112" s="1612"/>
      <c r="AD112" s="1612"/>
      <c r="AE112" s="1612"/>
      <c r="AF112" s="1613"/>
    </row>
    <row r="113" spans="1:32" x14ac:dyDescent="0.3">
      <c r="A113" s="251" t="s">
        <v>533</v>
      </c>
      <c r="B113" s="252"/>
      <c r="C113" s="252"/>
      <c r="D113" s="252"/>
      <c r="E113" s="252"/>
      <c r="F113" s="253"/>
      <c r="G113" s="252"/>
      <c r="H113" s="252"/>
      <c r="I113" s="2188">
        <f>I112/$M$112</f>
        <v>0.375</v>
      </c>
      <c r="J113" s="2188">
        <f t="shared" ref="J113:L113" si="28">J112/$M$112</f>
        <v>0.375</v>
      </c>
      <c r="K113" s="2188">
        <f t="shared" si="28"/>
        <v>0.25</v>
      </c>
      <c r="L113" s="254">
        <f t="shared" si="28"/>
        <v>0</v>
      </c>
      <c r="M113" s="252"/>
      <c r="N113" s="255"/>
      <c r="O113" s="256"/>
      <c r="P113" s="255"/>
      <c r="Q113" s="257">
        <f>T111/4</f>
        <v>101642.9</v>
      </c>
      <c r="R113" s="262">
        <f>Q113/Q118</f>
        <v>0.91042869721227238</v>
      </c>
      <c r="X113" s="248"/>
      <c r="Y113" s="357">
        <f>I99+I101+K105+I106</f>
        <v>21</v>
      </c>
      <c r="Z113" s="358">
        <f>I100+I102+I103+I104</f>
        <v>6</v>
      </c>
    </row>
    <row r="114" spans="1:32" x14ac:dyDescent="0.3">
      <c r="A114" s="251" t="s">
        <v>11</v>
      </c>
      <c r="B114" s="252"/>
      <c r="C114" s="252"/>
      <c r="D114" s="252"/>
      <c r="E114" s="252"/>
      <c r="F114" s="253"/>
      <c r="G114" s="252"/>
      <c r="H114" s="252"/>
      <c r="I114" s="254"/>
      <c r="J114" s="254"/>
      <c r="K114" s="254"/>
      <c r="L114" s="254"/>
      <c r="M114" s="252"/>
      <c r="N114" s="255"/>
      <c r="O114" s="256"/>
      <c r="P114" s="255"/>
      <c r="Q114" s="257">
        <f>U111/4</f>
        <v>0</v>
      </c>
      <c r="R114" s="262">
        <f>Q114/Q118</f>
        <v>0</v>
      </c>
      <c r="S114" s="1068">
        <f>Q111/M111</f>
        <v>4134.9222222222224</v>
      </c>
      <c r="T114" s="1069" t="s">
        <v>535</v>
      </c>
      <c r="Y114" s="195">
        <f>Y113/M111</f>
        <v>0.77777777777777779</v>
      </c>
      <c r="Z114" s="247">
        <f>Z113/M111</f>
        <v>0.22222222222222221</v>
      </c>
    </row>
    <row r="115" spans="1:32" x14ac:dyDescent="0.3">
      <c r="A115" s="251" t="s">
        <v>536</v>
      </c>
      <c r="B115" s="252"/>
      <c r="C115" s="252"/>
      <c r="D115" s="252"/>
      <c r="E115" s="252"/>
      <c r="F115" s="253"/>
      <c r="G115" s="252"/>
      <c r="H115" s="252"/>
      <c r="I115" s="254"/>
      <c r="J115" s="254"/>
      <c r="K115" s="254"/>
      <c r="L115" s="254"/>
      <c r="M115" s="252"/>
      <c r="N115" s="255"/>
      <c r="O115" s="256"/>
      <c r="P115" s="255"/>
      <c r="Q115" s="257">
        <f>V111/4</f>
        <v>0</v>
      </c>
      <c r="R115" s="262">
        <f>Q115/Q118</f>
        <v>0</v>
      </c>
      <c r="W115" s="99"/>
      <c r="Y115" s="2551" t="s">
        <v>537</v>
      </c>
      <c r="Z115" s="2551"/>
    </row>
    <row r="116" spans="1:32" x14ac:dyDescent="0.3">
      <c r="A116" s="251" t="s">
        <v>529</v>
      </c>
      <c r="B116" s="252"/>
      <c r="C116" s="252"/>
      <c r="D116" s="252"/>
      <c r="E116" s="252"/>
      <c r="F116" s="253"/>
      <c r="G116" s="252"/>
      <c r="H116" s="252"/>
      <c r="I116" s="254"/>
      <c r="J116" s="254"/>
      <c r="K116" s="254"/>
      <c r="L116" s="254"/>
      <c r="M116" s="252"/>
      <c r="N116" s="255"/>
      <c r="O116" s="256"/>
      <c r="P116" s="255"/>
      <c r="Q116" s="257">
        <f>X111/4</f>
        <v>10000</v>
      </c>
      <c r="R116" s="262">
        <f>Q116/Q118</f>
        <v>8.9571302787727666E-2</v>
      </c>
    </row>
    <row r="117" spans="1:32" x14ac:dyDescent="0.3">
      <c r="A117" s="251" t="s">
        <v>528</v>
      </c>
      <c r="B117" s="252"/>
      <c r="C117" s="252"/>
      <c r="D117" s="252"/>
      <c r="E117" s="252"/>
      <c r="F117" s="253"/>
      <c r="G117" s="252"/>
      <c r="H117" s="252"/>
      <c r="I117" s="254"/>
      <c r="J117" s="254"/>
      <c r="K117" s="254"/>
      <c r="L117" s="254"/>
      <c r="M117" s="252"/>
      <c r="N117" s="255"/>
      <c r="O117" s="256"/>
      <c r="P117" s="255"/>
      <c r="Q117" s="257">
        <f>W111/4</f>
        <v>0</v>
      </c>
      <c r="R117" s="262">
        <f>Q117/Q118</f>
        <v>0</v>
      </c>
    </row>
    <row r="118" spans="1:32" x14ac:dyDescent="0.3">
      <c r="A118" s="251"/>
      <c r="B118" s="252"/>
      <c r="C118" s="252"/>
      <c r="D118" s="252"/>
      <c r="E118" s="252"/>
      <c r="F118" s="253"/>
      <c r="G118" s="252"/>
      <c r="H118" s="252"/>
      <c r="I118" s="254"/>
      <c r="J118" s="254"/>
      <c r="K118" s="254"/>
      <c r="L118" s="254"/>
      <c r="M118" s="252"/>
      <c r="N118" s="255"/>
      <c r="O118" s="256"/>
      <c r="P118" s="255"/>
      <c r="Q118" s="264">
        <f>SUM(Q113:Q117)</f>
        <v>111642.9</v>
      </c>
      <c r="R118" s="262">
        <f>SUM(R113:R117)</f>
        <v>1</v>
      </c>
    </row>
    <row r="119" spans="1:32" x14ac:dyDescent="0.3">
      <c r="A119" s="188"/>
      <c r="N119" s="5"/>
      <c r="O119" s="6"/>
      <c r="P119" s="5"/>
      <c r="Q119" s="7"/>
      <c r="R119" s="6"/>
      <c r="S119" s="5"/>
    </row>
    <row r="120" spans="1:32" ht="18" x14ac:dyDescent="0.35">
      <c r="A120" s="1037" t="s">
        <v>479</v>
      </c>
      <c r="N120" s="5"/>
      <c r="O120" s="6"/>
      <c r="P120" s="5"/>
      <c r="Q120" s="7"/>
      <c r="R120" s="6"/>
      <c r="S120" s="5"/>
    </row>
    <row r="121" spans="1:32" x14ac:dyDescent="0.3">
      <c r="A121" s="188"/>
      <c r="I121" s="245"/>
      <c r="J121" s="245"/>
      <c r="K121" s="245"/>
      <c r="L121" s="245"/>
      <c r="N121" s="5"/>
      <c r="O121" s="6"/>
      <c r="P121" s="5"/>
      <c r="Q121" s="7"/>
      <c r="R121" s="6"/>
      <c r="S121" s="5"/>
    </row>
    <row r="122" spans="1:32" x14ac:dyDescent="0.3">
      <c r="A122" s="2587" t="s">
        <v>480</v>
      </c>
      <c r="B122" s="2588"/>
      <c r="C122" s="2588"/>
      <c r="D122" s="2588"/>
      <c r="E122" s="2588"/>
      <c r="F122" s="2588"/>
      <c r="G122" s="2588"/>
      <c r="H122" s="2588"/>
      <c r="I122" s="2588"/>
      <c r="J122" s="2588"/>
      <c r="K122" s="2588"/>
      <c r="L122" s="2588"/>
      <c r="M122" s="2588"/>
      <c r="N122" s="2588"/>
      <c r="O122" s="2588"/>
      <c r="P122" s="2588"/>
      <c r="Q122" s="2588"/>
      <c r="R122" s="2589"/>
      <c r="S122" s="2563" t="s">
        <v>584</v>
      </c>
      <c r="T122" s="2564"/>
      <c r="U122" s="2564"/>
      <c r="V122" s="2564"/>
      <c r="W122" s="2564"/>
      <c r="X122" s="2564"/>
      <c r="Y122" s="2564"/>
      <c r="Z122" s="2564"/>
      <c r="AA122" s="2564"/>
      <c r="AB122" s="2564"/>
      <c r="AC122" s="2564"/>
      <c r="AD122" s="2564"/>
      <c r="AE122" s="2564"/>
      <c r="AF122" s="2576"/>
    </row>
    <row r="123" spans="1:32" ht="18" x14ac:dyDescent="0.3">
      <c r="A123" s="2453" t="s">
        <v>482</v>
      </c>
      <c r="B123" s="2453" t="s">
        <v>483</v>
      </c>
      <c r="C123" s="2453" t="s">
        <v>484</v>
      </c>
      <c r="D123" s="2453" t="s">
        <v>555</v>
      </c>
      <c r="E123" s="2453" t="s">
        <v>556</v>
      </c>
      <c r="F123" s="2451" t="s">
        <v>487</v>
      </c>
      <c r="G123" s="2453" t="s">
        <v>557</v>
      </c>
      <c r="H123" s="2453" t="s">
        <v>489</v>
      </c>
      <c r="I123" s="782" t="s">
        <v>490</v>
      </c>
      <c r="J123" s="782"/>
      <c r="K123" s="782"/>
      <c r="L123" s="782"/>
      <c r="M123" s="783" t="s">
        <v>491</v>
      </c>
      <c r="N123" s="784" t="s">
        <v>558</v>
      </c>
      <c r="O123" s="785" t="s">
        <v>493</v>
      </c>
      <c r="P123" s="784" t="s">
        <v>558</v>
      </c>
      <c r="Q123" s="784" t="s">
        <v>559</v>
      </c>
      <c r="R123" s="2455" t="s">
        <v>495</v>
      </c>
      <c r="S123" s="1059" t="s">
        <v>496</v>
      </c>
      <c r="T123" s="2567" t="s">
        <v>497</v>
      </c>
      <c r="U123" s="2568"/>
      <c r="V123" s="2568"/>
      <c r="W123" s="2568"/>
      <c r="X123" s="2568"/>
      <c r="Y123" s="2567" t="s">
        <v>498</v>
      </c>
      <c r="Z123" s="2568"/>
      <c r="AA123" s="2567" t="s">
        <v>499</v>
      </c>
      <c r="AB123" s="2568"/>
      <c r="AC123" s="2568"/>
      <c r="AD123" s="2568"/>
      <c r="AE123" s="2568"/>
      <c r="AF123" s="2571"/>
    </row>
    <row r="124" spans="1:32" ht="18" x14ac:dyDescent="0.3">
      <c r="A124" s="2454"/>
      <c r="B124" s="2454"/>
      <c r="C124" s="2454"/>
      <c r="D124" s="2454"/>
      <c r="E124" s="2454"/>
      <c r="F124" s="2452"/>
      <c r="G124" s="2454"/>
      <c r="H124" s="2454"/>
      <c r="I124" s="782" t="s">
        <v>500</v>
      </c>
      <c r="J124" s="782" t="s">
        <v>501</v>
      </c>
      <c r="K124" s="782" t="s">
        <v>502</v>
      </c>
      <c r="L124" s="782" t="s">
        <v>503</v>
      </c>
      <c r="M124" s="786" t="s">
        <v>504</v>
      </c>
      <c r="N124" s="787" t="s">
        <v>505</v>
      </c>
      <c r="O124" s="788" t="s">
        <v>506</v>
      </c>
      <c r="P124" s="787" t="s">
        <v>507</v>
      </c>
      <c r="Q124" s="787" t="s">
        <v>560</v>
      </c>
      <c r="R124" s="2456"/>
      <c r="S124" s="1545" t="s">
        <v>508</v>
      </c>
      <c r="T124" s="2782"/>
      <c r="U124" s="2781"/>
      <c r="V124" s="2781"/>
      <c r="W124" s="2781"/>
      <c r="X124" s="2781"/>
      <c r="Y124" s="2782"/>
      <c r="Z124" s="2781"/>
      <c r="AA124" s="2782"/>
      <c r="AB124" s="2781"/>
      <c r="AC124" s="2781"/>
      <c r="AD124" s="2781"/>
      <c r="AE124" s="2781"/>
      <c r="AF124" s="2783"/>
    </row>
    <row r="125" spans="1:32" ht="18" x14ac:dyDescent="0.35">
      <c r="A125" s="2449" t="s">
        <v>561</v>
      </c>
      <c r="B125" s="2450"/>
      <c r="C125" s="2450"/>
      <c r="D125" s="2450"/>
      <c r="E125" s="2450"/>
      <c r="F125" s="2450"/>
      <c r="G125" s="2450"/>
      <c r="H125" s="2450"/>
      <c r="I125" s="2450"/>
      <c r="J125" s="2450"/>
      <c r="K125" s="2450"/>
      <c r="L125" s="2450"/>
      <c r="M125" s="2450"/>
      <c r="N125" s="2450"/>
      <c r="O125" s="2450"/>
      <c r="P125" s="2450"/>
      <c r="Q125" s="2450"/>
      <c r="R125" s="2450"/>
      <c r="S125" s="1552"/>
      <c r="T125" s="1553" t="s">
        <v>510</v>
      </c>
      <c r="U125" s="1554" t="s">
        <v>11</v>
      </c>
      <c r="V125" s="1554" t="s">
        <v>511</v>
      </c>
      <c r="W125" s="1554" t="s">
        <v>512</v>
      </c>
      <c r="X125" s="1578" t="s">
        <v>513</v>
      </c>
      <c r="Y125" s="1553" t="s">
        <v>514</v>
      </c>
      <c r="Z125" s="1578" t="s">
        <v>515</v>
      </c>
      <c r="AA125" s="1553" t="s">
        <v>239</v>
      </c>
      <c r="AB125" s="1554" t="s">
        <v>240</v>
      </c>
      <c r="AC125" s="1554" t="s">
        <v>241</v>
      </c>
      <c r="AD125" s="1554" t="s">
        <v>242</v>
      </c>
      <c r="AE125" s="1554" t="s">
        <v>10</v>
      </c>
      <c r="AF125" s="1578" t="s">
        <v>5</v>
      </c>
    </row>
    <row r="126" spans="1:32" x14ac:dyDescent="0.3">
      <c r="A126" s="154"/>
      <c r="B126" s="462"/>
      <c r="C126" s="462"/>
      <c r="D126" s="462"/>
      <c r="E126" s="462"/>
      <c r="F126" s="463"/>
      <c r="G126" s="462"/>
      <c r="H126" s="462"/>
      <c r="I126" s="465"/>
      <c r="J126" s="465"/>
      <c r="K126" s="465"/>
      <c r="L126" s="465"/>
      <c r="M126" s="462"/>
      <c r="N126" s="468"/>
      <c r="O126" s="469"/>
      <c r="P126" s="468"/>
      <c r="Q126" s="468"/>
      <c r="R126" s="532"/>
      <c r="S126" s="166"/>
      <c r="T126" s="188"/>
      <c r="X126" s="286"/>
      <c r="Y126" s="188"/>
      <c r="Z126" s="286"/>
      <c r="AA126" s="188"/>
      <c r="AF126" s="286"/>
    </row>
    <row r="127" spans="1:32" x14ac:dyDescent="0.3">
      <c r="A127" s="157" t="s">
        <v>1085</v>
      </c>
      <c r="B127" s="157" t="s">
        <v>243</v>
      </c>
      <c r="C127" s="157" t="s">
        <v>1075</v>
      </c>
      <c r="D127" s="157" t="s">
        <v>208</v>
      </c>
      <c r="E127" s="157" t="s">
        <v>520</v>
      </c>
      <c r="F127" s="158" t="s">
        <v>1088</v>
      </c>
      <c r="G127" s="157">
        <v>8</v>
      </c>
      <c r="H127" s="157" t="s">
        <v>63</v>
      </c>
      <c r="I127" s="175">
        <v>8</v>
      </c>
      <c r="J127" s="688"/>
      <c r="L127" s="286"/>
      <c r="M127" s="163">
        <v>1</v>
      </c>
      <c r="N127" s="166">
        <v>2268</v>
      </c>
      <c r="O127" s="173">
        <v>0.1</v>
      </c>
      <c r="P127" s="166">
        <f t="shared" ref="P127" si="29">N127*(1-O127)</f>
        <v>2041.2</v>
      </c>
      <c r="Q127" s="166">
        <f t="shared" ref="Q127:Q133" si="30">P127*M127*G127</f>
        <v>16329.6</v>
      </c>
      <c r="R127" s="184">
        <f t="shared" ref="R127:R133" si="31">Q127/$Q$138</f>
        <v>0.14590486912468337</v>
      </c>
      <c r="S127" s="503">
        <f t="shared" ref="S127:S133" si="32">Q127</f>
        <v>16329.6</v>
      </c>
      <c r="T127" s="394">
        <f t="shared" ref="T127:T128" si="33">S127</f>
        <v>16329.6</v>
      </c>
      <c r="X127" s="286"/>
      <c r="Y127" s="394">
        <f>S127</f>
        <v>16329.6</v>
      </c>
      <c r="Z127" s="395"/>
      <c r="AA127" s="394">
        <f>S127</f>
        <v>16329.6</v>
      </c>
      <c r="AF127" s="286"/>
    </row>
    <row r="128" spans="1:32" x14ac:dyDescent="0.3">
      <c r="A128" s="157" t="s">
        <v>1085</v>
      </c>
      <c r="B128" s="157" t="s">
        <v>210</v>
      </c>
      <c r="C128" s="157" t="s">
        <v>1075</v>
      </c>
      <c r="D128" s="157" t="s">
        <v>102</v>
      </c>
      <c r="E128" s="157" t="s">
        <v>518</v>
      </c>
      <c r="F128" s="158" t="s">
        <v>521</v>
      </c>
      <c r="G128" s="157">
        <v>2</v>
      </c>
      <c r="H128" s="157" t="s">
        <v>24</v>
      </c>
      <c r="I128" s="2445">
        <v>2</v>
      </c>
      <c r="J128" s="726"/>
      <c r="K128" s="726"/>
      <c r="L128" s="727"/>
      <c r="M128" s="163">
        <v>1</v>
      </c>
      <c r="N128" s="166">
        <v>20755</v>
      </c>
      <c r="O128" s="173">
        <v>0.6</v>
      </c>
      <c r="P128" s="166">
        <f>N128*(1-O128)</f>
        <v>8302</v>
      </c>
      <c r="Q128" s="166">
        <f t="shared" si="30"/>
        <v>16604</v>
      </c>
      <c r="R128" s="167">
        <f t="shared" si="31"/>
        <v>0.14835663132876756</v>
      </c>
      <c r="S128" s="503">
        <f t="shared" si="32"/>
        <v>16604</v>
      </c>
      <c r="T128" s="394">
        <f t="shared" si="33"/>
        <v>16604</v>
      </c>
      <c r="X128" s="286"/>
      <c r="Y128" s="394"/>
      <c r="Z128" s="395">
        <f>S128</f>
        <v>16604</v>
      </c>
      <c r="AA128" s="188"/>
      <c r="AB128" s="169">
        <f>S128</f>
        <v>16604</v>
      </c>
      <c r="AF128" s="286"/>
    </row>
    <row r="129" spans="1:32" x14ac:dyDescent="0.3">
      <c r="A129" s="157" t="s">
        <v>1085</v>
      </c>
      <c r="B129" s="157" t="s">
        <v>245</v>
      </c>
      <c r="C129" s="157" t="s">
        <v>1075</v>
      </c>
      <c r="D129" s="157" t="s">
        <v>102</v>
      </c>
      <c r="E129" s="157" t="s">
        <v>518</v>
      </c>
      <c r="F129" s="158" t="s">
        <v>521</v>
      </c>
      <c r="G129" s="157">
        <v>2</v>
      </c>
      <c r="H129" s="157" t="s">
        <v>24</v>
      </c>
      <c r="I129" s="182">
        <v>2</v>
      </c>
      <c r="J129" s="183"/>
      <c r="K129" s="183"/>
      <c r="L129" s="2239"/>
      <c r="M129" s="163">
        <v>1</v>
      </c>
      <c r="N129" s="166">
        <v>7290</v>
      </c>
      <c r="O129" s="173">
        <v>0.18</v>
      </c>
      <c r="P129" s="166">
        <f t="shared" ref="P129:P133" si="34">N129*(1-O129)</f>
        <v>5977.8</v>
      </c>
      <c r="Q129" s="166">
        <f t="shared" si="30"/>
        <v>11955.6</v>
      </c>
      <c r="R129" s="167">
        <f t="shared" si="31"/>
        <v>0.10682320775200033</v>
      </c>
      <c r="S129" s="503">
        <f t="shared" si="32"/>
        <v>11955.6</v>
      </c>
      <c r="T129" s="394">
        <f>S129</f>
        <v>11955.6</v>
      </c>
      <c r="X129" s="286"/>
      <c r="Y129" s="394"/>
      <c r="Z129" s="395">
        <f>S129</f>
        <v>11955.6</v>
      </c>
      <c r="AA129" s="188"/>
      <c r="AC129" s="169">
        <f>S129</f>
        <v>11955.6</v>
      </c>
      <c r="AF129" s="286"/>
    </row>
    <row r="130" spans="1:32" x14ac:dyDescent="0.3">
      <c r="A130" s="157" t="s">
        <v>1085</v>
      </c>
      <c r="B130" s="157" t="s">
        <v>245</v>
      </c>
      <c r="C130" s="157" t="s">
        <v>1075</v>
      </c>
      <c r="D130" s="157" t="s">
        <v>102</v>
      </c>
      <c r="E130" s="157" t="s">
        <v>518</v>
      </c>
      <c r="F130" s="158" t="s">
        <v>521</v>
      </c>
      <c r="G130" s="157">
        <v>1</v>
      </c>
      <c r="H130" s="157" t="s">
        <v>24</v>
      </c>
      <c r="I130" s="182">
        <v>1</v>
      </c>
      <c r="J130" s="183"/>
      <c r="K130" s="183"/>
      <c r="L130" s="2239"/>
      <c r="M130" s="163">
        <v>1</v>
      </c>
      <c r="N130" s="166">
        <v>12670</v>
      </c>
      <c r="O130" s="173">
        <v>0.41</v>
      </c>
      <c r="P130" s="166">
        <f t="shared" si="34"/>
        <v>7475.3000000000011</v>
      </c>
      <c r="Q130" s="166">
        <f t="shared" si="30"/>
        <v>7475.3000000000011</v>
      </c>
      <c r="R130" s="167">
        <f t="shared" si="31"/>
        <v>6.6791756575038316E-2</v>
      </c>
      <c r="S130" s="503">
        <f t="shared" si="32"/>
        <v>7475.3000000000011</v>
      </c>
      <c r="T130" s="394">
        <f>S130</f>
        <v>7475.3000000000011</v>
      </c>
      <c r="V130" s="169"/>
      <c r="X130" s="286"/>
      <c r="Y130" s="394"/>
      <c r="Z130" s="395">
        <f>S130</f>
        <v>7475.3000000000011</v>
      </c>
      <c r="AA130" s="188"/>
      <c r="AC130" s="169">
        <f>S130</f>
        <v>7475.3000000000011</v>
      </c>
      <c r="AF130" s="286"/>
    </row>
    <row r="131" spans="1:32" x14ac:dyDescent="0.3">
      <c r="A131" s="157" t="s">
        <v>1085</v>
      </c>
      <c r="B131" s="157" t="s">
        <v>246</v>
      </c>
      <c r="C131" s="157" t="s">
        <v>1075</v>
      </c>
      <c r="D131" s="157" t="s">
        <v>102</v>
      </c>
      <c r="E131" s="157" t="s">
        <v>518</v>
      </c>
      <c r="F131" s="158" t="s">
        <v>521</v>
      </c>
      <c r="G131" s="157">
        <v>1</v>
      </c>
      <c r="H131" s="157" t="s">
        <v>24</v>
      </c>
      <c r="I131" s="175">
        <v>2</v>
      </c>
      <c r="J131" s="176"/>
      <c r="K131" s="176"/>
      <c r="L131" s="177"/>
      <c r="M131" s="163">
        <v>1</v>
      </c>
      <c r="N131" s="166">
        <v>20000</v>
      </c>
      <c r="O131" s="173">
        <v>0.53</v>
      </c>
      <c r="P131" s="166">
        <f t="shared" si="34"/>
        <v>9400</v>
      </c>
      <c r="Q131" s="166">
        <f t="shared" si="30"/>
        <v>9400</v>
      </c>
      <c r="R131" s="167">
        <f t="shared" si="31"/>
        <v>8.3988938478102571E-2</v>
      </c>
      <c r="S131" s="503">
        <f t="shared" si="32"/>
        <v>9400</v>
      </c>
      <c r="T131" s="394">
        <f>S131</f>
        <v>9400</v>
      </c>
      <c r="V131" s="169"/>
      <c r="X131" s="286"/>
      <c r="Y131" s="394"/>
      <c r="Z131" s="395">
        <f>S131</f>
        <v>9400</v>
      </c>
      <c r="AA131" s="188"/>
      <c r="AD131" s="169">
        <f>S131</f>
        <v>9400</v>
      </c>
      <c r="AF131" s="286"/>
    </row>
    <row r="132" spans="1:32" x14ac:dyDescent="0.3">
      <c r="A132" s="157" t="s">
        <v>1085</v>
      </c>
      <c r="B132" s="157" t="s">
        <v>246</v>
      </c>
      <c r="C132" s="157" t="s">
        <v>1075</v>
      </c>
      <c r="D132" s="157" t="s">
        <v>208</v>
      </c>
      <c r="E132" s="157" t="s">
        <v>520</v>
      </c>
      <c r="F132" s="158" t="s">
        <v>1088</v>
      </c>
      <c r="G132" s="157">
        <v>3</v>
      </c>
      <c r="H132" s="157" t="s">
        <v>63</v>
      </c>
      <c r="I132" s="1650"/>
      <c r="J132" s="1651"/>
      <c r="K132" s="725">
        <v>3</v>
      </c>
      <c r="L132" s="2209"/>
      <c r="M132" s="163">
        <v>1</v>
      </c>
      <c r="N132" s="166">
        <v>3500</v>
      </c>
      <c r="O132" s="173">
        <v>0.49</v>
      </c>
      <c r="P132" s="166">
        <f t="shared" si="34"/>
        <v>1785</v>
      </c>
      <c r="Q132" s="166">
        <f t="shared" si="30"/>
        <v>5355</v>
      </c>
      <c r="R132" s="184">
        <f t="shared" si="31"/>
        <v>4.784688995215311E-2</v>
      </c>
      <c r="S132" s="503">
        <f t="shared" si="32"/>
        <v>5355</v>
      </c>
      <c r="T132" s="394">
        <f t="shared" ref="T132" si="35">S132</f>
        <v>5355</v>
      </c>
      <c r="X132" s="286"/>
      <c r="Y132" s="394">
        <f>S132</f>
        <v>5355</v>
      </c>
      <c r="Z132" s="395"/>
      <c r="AA132" s="188"/>
      <c r="AD132" s="169">
        <f>S132</f>
        <v>5355</v>
      </c>
      <c r="AF132" s="286"/>
    </row>
    <row r="133" spans="1:32" x14ac:dyDescent="0.3">
      <c r="A133" s="157" t="s">
        <v>1085</v>
      </c>
      <c r="B133" s="157" t="s">
        <v>41</v>
      </c>
      <c r="C133" s="157" t="s">
        <v>525</v>
      </c>
      <c r="D133" s="157" t="s">
        <v>168</v>
      </c>
      <c r="E133" s="157" t="s">
        <v>520</v>
      </c>
      <c r="F133" s="158" t="s">
        <v>829</v>
      </c>
      <c r="G133" s="157">
        <v>30</v>
      </c>
      <c r="H133" s="157" t="s">
        <v>63</v>
      </c>
      <c r="I133" s="175">
        <v>30</v>
      </c>
      <c r="J133" s="688"/>
      <c r="K133" s="725">
        <v>30</v>
      </c>
      <c r="L133" s="2209"/>
      <c r="M133" s="163">
        <v>2</v>
      </c>
      <c r="N133" s="166">
        <v>1600</v>
      </c>
      <c r="O133" s="173">
        <v>0.7</v>
      </c>
      <c r="P133" s="166">
        <f t="shared" si="34"/>
        <v>480.00000000000006</v>
      </c>
      <c r="Q133" s="166">
        <f t="shared" si="30"/>
        <v>28800.000000000004</v>
      </c>
      <c r="R133" s="184">
        <f t="shared" si="31"/>
        <v>0.2573278115073781</v>
      </c>
      <c r="S133" s="503">
        <f t="shared" si="32"/>
        <v>28800.000000000004</v>
      </c>
      <c r="T133" s="394"/>
      <c r="V133" s="169">
        <f>S133</f>
        <v>28800.000000000004</v>
      </c>
      <c r="X133" s="286"/>
      <c r="Y133" s="394">
        <f>S133</f>
        <v>28800.000000000004</v>
      </c>
      <c r="Z133" s="286"/>
      <c r="AA133" s="188"/>
      <c r="AF133" s="395">
        <f>S133</f>
        <v>28800.000000000004</v>
      </c>
    </row>
    <row r="134" spans="1:32" x14ac:dyDescent="0.3">
      <c r="A134" s="172"/>
      <c r="B134" s="157"/>
      <c r="C134" s="190"/>
      <c r="D134" s="190"/>
      <c r="E134" s="190"/>
      <c r="F134" s="191"/>
      <c r="G134" s="190"/>
      <c r="H134" s="190"/>
      <c r="I134" s="245"/>
      <c r="J134" s="245"/>
      <c r="K134" s="245"/>
      <c r="L134" s="287"/>
      <c r="M134" s="190"/>
      <c r="N134" s="194"/>
      <c r="O134" s="195"/>
      <c r="P134" s="194"/>
      <c r="Q134" s="166"/>
      <c r="R134" s="393"/>
      <c r="S134" s="503"/>
      <c r="T134" s="188"/>
      <c r="X134" s="286"/>
      <c r="Y134" s="188"/>
      <c r="Z134" s="286"/>
      <c r="AA134" s="188"/>
      <c r="AF134" s="286"/>
    </row>
    <row r="135" spans="1:32" x14ac:dyDescent="0.3">
      <c r="A135" s="108" t="s">
        <v>1085</v>
      </c>
      <c r="B135" s="108" t="s">
        <v>528</v>
      </c>
      <c r="C135" s="289"/>
      <c r="D135" s="252"/>
      <c r="E135" s="252"/>
      <c r="F135" s="253"/>
      <c r="G135" s="252"/>
      <c r="H135" s="252"/>
      <c r="I135" s="254"/>
      <c r="J135" s="254"/>
      <c r="K135" s="254"/>
      <c r="L135" s="254"/>
      <c r="M135" s="252"/>
      <c r="N135" s="255"/>
      <c r="O135" s="256"/>
      <c r="P135" s="290"/>
      <c r="Q135" s="257"/>
      <c r="R135" s="291">
        <f>Q135/Q138</f>
        <v>0</v>
      </c>
      <c r="S135" s="503">
        <f>Q135</f>
        <v>0</v>
      </c>
      <c r="T135" s="188"/>
      <c r="W135" s="169">
        <f>S135</f>
        <v>0</v>
      </c>
      <c r="X135" s="286"/>
      <c r="Y135" s="188"/>
      <c r="Z135" s="286"/>
      <c r="AA135" s="188"/>
      <c r="AF135" s="286"/>
    </row>
    <row r="136" spans="1:32" x14ac:dyDescent="0.3">
      <c r="A136" s="108" t="s">
        <v>1085</v>
      </c>
      <c r="B136" s="108" t="s">
        <v>529</v>
      </c>
      <c r="C136" s="289"/>
      <c r="D136" s="252"/>
      <c r="E136" s="252"/>
      <c r="F136" s="253"/>
      <c r="G136" s="252"/>
      <c r="H136" s="252"/>
      <c r="I136" s="254"/>
      <c r="J136" s="254"/>
      <c r="K136" s="254"/>
      <c r="L136" s="254"/>
      <c r="M136" s="252"/>
      <c r="N136" s="255"/>
      <c r="O136" s="256"/>
      <c r="P136" s="290"/>
      <c r="Q136" s="257">
        <v>16000</v>
      </c>
      <c r="R136" s="291">
        <f>Q136/Q138</f>
        <v>0.14295989528187669</v>
      </c>
      <c r="S136" s="503">
        <f>Q136</f>
        <v>16000</v>
      </c>
      <c r="T136" s="188"/>
      <c r="X136" s="395">
        <f>S136</f>
        <v>16000</v>
      </c>
      <c r="Y136" s="188"/>
      <c r="Z136" s="286"/>
      <c r="AA136" s="188"/>
      <c r="AF136" s="286"/>
    </row>
    <row r="137" spans="1:32" x14ac:dyDescent="0.3">
      <c r="I137" s="115">
        <f>I138/M138</f>
        <v>0.57692307692307687</v>
      </c>
      <c r="J137" s="115"/>
      <c r="K137" s="115">
        <f>K138/M138</f>
        <v>0.42307692307692307</v>
      </c>
      <c r="S137" s="166"/>
      <c r="T137" s="188"/>
      <c r="X137" s="286"/>
      <c r="Y137" s="188"/>
      <c r="Z137" s="286"/>
      <c r="AA137" s="188"/>
      <c r="AF137" s="286"/>
    </row>
    <row r="138" spans="1:32" x14ac:dyDescent="0.3">
      <c r="A138" s="789" t="s">
        <v>531</v>
      </c>
      <c r="B138" s="790"/>
      <c r="C138" s="790"/>
      <c r="D138" s="790"/>
      <c r="E138" s="790"/>
      <c r="F138" s="791"/>
      <c r="G138" s="790"/>
      <c r="H138" s="790"/>
      <c r="I138" s="790">
        <f>+I131+I130+I129+I128+I127+I133</f>
        <v>45</v>
      </c>
      <c r="J138" s="790"/>
      <c r="K138" s="790">
        <f>K132+K133</f>
        <v>33</v>
      </c>
      <c r="L138" s="790"/>
      <c r="M138" s="790">
        <f>SUM(I138:L138)</f>
        <v>78</v>
      </c>
      <c r="N138" s="793"/>
      <c r="O138" s="794"/>
      <c r="P138" s="793"/>
      <c r="Q138" s="795">
        <f>SUM(Q126:Q137)</f>
        <v>111919.5</v>
      </c>
      <c r="R138" s="794">
        <f>SUM(R126:R136)</f>
        <v>1</v>
      </c>
      <c r="S138" s="1599">
        <f>SUM(S126:S137)</f>
        <v>111919.5</v>
      </c>
      <c r="T138" s="1600">
        <f t="shared" ref="T138:Z138" si="36">SUM(T126:T136)</f>
        <v>67119.5</v>
      </c>
      <c r="U138" s="585">
        <f t="shared" si="36"/>
        <v>0</v>
      </c>
      <c r="V138" s="585">
        <f t="shared" si="36"/>
        <v>28800.000000000004</v>
      </c>
      <c r="W138" s="585">
        <f t="shared" si="36"/>
        <v>0</v>
      </c>
      <c r="X138" s="585">
        <f t="shared" si="36"/>
        <v>16000</v>
      </c>
      <c r="Y138" s="1601">
        <f t="shared" si="36"/>
        <v>50484.600000000006</v>
      </c>
      <c r="Z138" s="1602">
        <f t="shared" si="36"/>
        <v>45434.9</v>
      </c>
      <c r="AA138" s="1603">
        <f>SUM(AA127:AA137)</f>
        <v>16329.6</v>
      </c>
      <c r="AB138" s="1604">
        <f>SUM(AB127:AB137)</f>
        <v>16604</v>
      </c>
      <c r="AC138" s="1604">
        <f t="shared" ref="AC138:AE138" si="37">SUM(AC127:AC137)</f>
        <v>19430.900000000001</v>
      </c>
      <c r="AD138" s="1604">
        <f t="shared" si="37"/>
        <v>14755</v>
      </c>
      <c r="AE138" s="1604">
        <f t="shared" si="37"/>
        <v>0</v>
      </c>
      <c r="AF138" s="1605">
        <f>SUM(AF127:AF136)</f>
        <v>28800.000000000004</v>
      </c>
    </row>
    <row r="139" spans="1:32" x14ac:dyDescent="0.3">
      <c r="A139" s="789" t="s">
        <v>532</v>
      </c>
      <c r="B139" s="790"/>
      <c r="C139" s="790"/>
      <c r="D139" s="790"/>
      <c r="E139" s="790"/>
      <c r="F139" s="791"/>
      <c r="G139" s="790"/>
      <c r="H139" s="790"/>
      <c r="I139" s="790">
        <f>I131+I130+I129+I128+I127+I133</f>
        <v>45</v>
      </c>
      <c r="J139" s="790">
        <f>+I131+I130+I129+I128+I127+I133</f>
        <v>45</v>
      </c>
      <c r="K139" s="790">
        <f>+K132+I131+I130+I129+I128+K133</f>
        <v>40</v>
      </c>
      <c r="L139" s="790"/>
      <c r="M139" s="790">
        <f>SUM(I139:L139)</f>
        <v>130</v>
      </c>
      <c r="N139" s="793"/>
      <c r="O139" s="794"/>
      <c r="P139" s="793"/>
      <c r="Q139" s="793"/>
      <c r="R139" s="794"/>
      <c r="S139" s="1606">
        <f>Q138/M138</f>
        <v>1434.8653846153845</v>
      </c>
      <c r="T139" s="1607">
        <f>T138/S138</f>
        <v>0.59971229321074526</v>
      </c>
      <c r="U139" s="1608">
        <f>U138/S138</f>
        <v>0</v>
      </c>
      <c r="V139" s="1608">
        <f>V138/S138</f>
        <v>0.2573278115073781</v>
      </c>
      <c r="W139" s="1608">
        <f>W138/S138</f>
        <v>0</v>
      </c>
      <c r="X139" s="1608">
        <f>X138/S138</f>
        <v>0.14295989528187669</v>
      </c>
      <c r="Y139" s="788">
        <f>Y138/S138</f>
        <v>0.45107957058421461</v>
      </c>
      <c r="Z139" s="1610">
        <f>Z138/S138</f>
        <v>0.40596053413390876</v>
      </c>
      <c r="AA139" s="1611"/>
      <c r="AB139" s="1612"/>
      <c r="AC139" s="1612"/>
      <c r="AD139" s="1612"/>
      <c r="AE139" s="1612"/>
      <c r="AF139" s="1613"/>
    </row>
    <row r="140" spans="1:32" x14ac:dyDescent="0.3">
      <c r="A140" s="251" t="s">
        <v>533</v>
      </c>
      <c r="B140" s="252"/>
      <c r="C140" s="252"/>
      <c r="D140" s="252"/>
      <c r="E140" s="252"/>
      <c r="F140" s="253"/>
      <c r="G140" s="252"/>
      <c r="H140" s="252"/>
      <c r="I140" s="2188">
        <f>I139/$M$139</f>
        <v>0.34615384615384615</v>
      </c>
      <c r="J140" s="2188">
        <f t="shared" ref="J140:K140" si="38">J139/$M$139</f>
        <v>0.34615384615384615</v>
      </c>
      <c r="K140" s="2188">
        <f t="shared" si="38"/>
        <v>0.30769230769230771</v>
      </c>
      <c r="L140" s="254"/>
      <c r="M140" s="252"/>
      <c r="N140" s="255"/>
      <c r="O140" s="256"/>
      <c r="P140" s="255"/>
      <c r="Q140" s="257">
        <f>T138</f>
        <v>67119.5</v>
      </c>
      <c r="R140" s="262">
        <f>Q140/Q145</f>
        <v>0.59971229321074526</v>
      </c>
      <c r="X140" s="248"/>
      <c r="Y140" s="357">
        <f>I127+K132+I133+K133</f>
        <v>71</v>
      </c>
      <c r="Z140" s="358">
        <f>I128+I129+I130+I131</f>
        <v>7</v>
      </c>
    </row>
    <row r="141" spans="1:32" x14ac:dyDescent="0.3">
      <c r="A141" s="251" t="s">
        <v>11</v>
      </c>
      <c r="B141" s="252"/>
      <c r="C141" s="252"/>
      <c r="D141" s="252"/>
      <c r="E141" s="252"/>
      <c r="F141" s="253"/>
      <c r="G141" s="252"/>
      <c r="H141" s="252"/>
      <c r="I141" s="254"/>
      <c r="J141" s="254"/>
      <c r="K141" s="254"/>
      <c r="L141" s="254"/>
      <c r="M141" s="252"/>
      <c r="N141" s="255"/>
      <c r="O141" s="256"/>
      <c r="P141" s="255"/>
      <c r="Q141" s="257">
        <f>U138</f>
        <v>0</v>
      </c>
      <c r="R141" s="262">
        <f>Q141/Q145</f>
        <v>0</v>
      </c>
      <c r="S141" s="1068">
        <f>Q138/M138</f>
        <v>1434.8653846153845</v>
      </c>
      <c r="T141" s="1069" t="s">
        <v>535</v>
      </c>
      <c r="Y141" s="195">
        <f>Y140/M138</f>
        <v>0.91025641025641024</v>
      </c>
      <c r="Z141" s="247">
        <f>Z140/M138</f>
        <v>8.9743589743589744E-2</v>
      </c>
    </row>
    <row r="142" spans="1:32" x14ac:dyDescent="0.3">
      <c r="A142" s="251" t="s">
        <v>536</v>
      </c>
      <c r="B142" s="252"/>
      <c r="C142" s="252"/>
      <c r="D142" s="252"/>
      <c r="E142" s="252"/>
      <c r="F142" s="253"/>
      <c r="G142" s="252"/>
      <c r="H142" s="252"/>
      <c r="I142" s="254"/>
      <c r="J142" s="254"/>
      <c r="K142" s="254"/>
      <c r="L142" s="254"/>
      <c r="M142" s="252"/>
      <c r="N142" s="255"/>
      <c r="O142" s="256"/>
      <c r="P142" s="255"/>
      <c r="Q142" s="257">
        <f>V138</f>
        <v>28800.000000000004</v>
      </c>
      <c r="R142" s="262">
        <f>Q142/Q145</f>
        <v>0.2573278115073781</v>
      </c>
      <c r="W142" s="99"/>
      <c r="Y142" s="2551" t="s">
        <v>537</v>
      </c>
      <c r="Z142" s="2551"/>
    </row>
    <row r="143" spans="1:32" x14ac:dyDescent="0.3">
      <c r="A143" s="251" t="s">
        <v>529</v>
      </c>
      <c r="B143" s="252"/>
      <c r="C143" s="252"/>
      <c r="D143" s="252"/>
      <c r="E143" s="252"/>
      <c r="F143" s="253"/>
      <c r="G143" s="252"/>
      <c r="H143" s="252"/>
      <c r="I143" s="254"/>
      <c r="J143" s="254"/>
      <c r="K143" s="254"/>
      <c r="L143" s="254"/>
      <c r="M143" s="252"/>
      <c r="N143" s="255"/>
      <c r="O143" s="256"/>
      <c r="P143" s="255"/>
      <c r="Q143" s="257">
        <f>X138</f>
        <v>16000</v>
      </c>
      <c r="R143" s="262">
        <f>Q143/Q145</f>
        <v>0.14295989528187669</v>
      </c>
    </row>
    <row r="144" spans="1:32" x14ac:dyDescent="0.3">
      <c r="A144" s="251" t="s">
        <v>528</v>
      </c>
      <c r="B144" s="252"/>
      <c r="C144" s="252"/>
      <c r="D144" s="252"/>
      <c r="E144" s="252"/>
      <c r="F144" s="253"/>
      <c r="G144" s="252"/>
      <c r="H144" s="252"/>
      <c r="I144" s="254"/>
      <c r="J144" s="254"/>
      <c r="K144" s="254"/>
      <c r="L144" s="254"/>
      <c r="M144" s="252"/>
      <c r="N144" s="255"/>
      <c r="O144" s="256"/>
      <c r="P144" s="255"/>
      <c r="Q144" s="257">
        <f>W138</f>
        <v>0</v>
      </c>
      <c r="R144" s="262">
        <f>Q144/Q145</f>
        <v>0</v>
      </c>
    </row>
    <row r="145" spans="1:32" x14ac:dyDescent="0.3">
      <c r="A145" s="251"/>
      <c r="B145" s="252"/>
      <c r="C145" s="252"/>
      <c r="D145" s="252"/>
      <c r="E145" s="252"/>
      <c r="F145" s="253"/>
      <c r="G145" s="252"/>
      <c r="H145" s="252"/>
      <c r="I145" s="254"/>
      <c r="J145" s="254"/>
      <c r="K145" s="254"/>
      <c r="L145" s="254"/>
      <c r="M145" s="252"/>
      <c r="N145" s="255"/>
      <c r="O145" s="256"/>
      <c r="P145" s="255"/>
      <c r="Q145" s="264">
        <f>SUM(Q140:Q144)</f>
        <v>111919.5</v>
      </c>
      <c r="R145" s="262">
        <f>SUM(R140:R144)</f>
        <v>1</v>
      </c>
    </row>
    <row r="147" spans="1:32" x14ac:dyDescent="0.3">
      <c r="E147" s="1" t="s">
        <v>562</v>
      </c>
      <c r="F147" s="2" t="s">
        <v>598</v>
      </c>
    </row>
    <row r="148" spans="1:32" x14ac:dyDescent="0.3">
      <c r="E148" s="1" t="s">
        <v>473</v>
      </c>
      <c r="F148" s="2" t="s">
        <v>203</v>
      </c>
    </row>
    <row r="149" spans="1:32" x14ac:dyDescent="0.3">
      <c r="E149" s="1" t="s">
        <v>475</v>
      </c>
      <c r="F149" s="2" t="s">
        <v>1089</v>
      </c>
    </row>
    <row r="150" spans="1:32" x14ac:dyDescent="0.3">
      <c r="E150" s="1" t="s">
        <v>477</v>
      </c>
      <c r="F150" s="2" t="s">
        <v>1090</v>
      </c>
    </row>
    <row r="151" spans="1:32" ht="18" x14ac:dyDescent="0.35">
      <c r="A151" s="1037" t="s">
        <v>567</v>
      </c>
    </row>
    <row r="153" spans="1:32" x14ac:dyDescent="0.3">
      <c r="A153" s="2587" t="s">
        <v>480</v>
      </c>
      <c r="B153" s="2588"/>
      <c r="C153" s="2588"/>
      <c r="D153" s="2588"/>
      <c r="E153" s="2588"/>
      <c r="F153" s="2588"/>
      <c r="G153" s="2588"/>
      <c r="H153" s="2588"/>
      <c r="I153" s="2588"/>
      <c r="J153" s="2588"/>
      <c r="K153" s="2588"/>
      <c r="L153" s="2588"/>
      <c r="M153" s="2588"/>
      <c r="N153" s="2588"/>
      <c r="O153" s="2588"/>
      <c r="P153" s="2588"/>
      <c r="Q153" s="2588"/>
      <c r="R153" s="2589"/>
      <c r="S153" s="2563" t="s">
        <v>584</v>
      </c>
      <c r="T153" s="2564"/>
      <c r="U153" s="2564"/>
      <c r="V153" s="2564"/>
      <c r="W153" s="2564"/>
      <c r="X153" s="2564"/>
      <c r="Y153" s="2564"/>
      <c r="Z153" s="2564"/>
      <c r="AA153" s="2564"/>
      <c r="AB153" s="2564"/>
      <c r="AC153" s="2564"/>
      <c r="AD153" s="2564"/>
      <c r="AE153" s="2564"/>
      <c r="AF153" s="2576"/>
    </row>
    <row r="154" spans="1:32" ht="18" x14ac:dyDescent="0.3">
      <c r="A154" s="2801" t="s">
        <v>482</v>
      </c>
      <c r="B154" s="2801" t="s">
        <v>483</v>
      </c>
      <c r="C154" s="2801" t="s">
        <v>484</v>
      </c>
      <c r="D154" s="2801" t="s">
        <v>555</v>
      </c>
      <c r="E154" s="2801" t="s">
        <v>556</v>
      </c>
      <c r="F154" s="2803" t="s">
        <v>487</v>
      </c>
      <c r="G154" s="2801" t="s">
        <v>557</v>
      </c>
      <c r="H154" s="2801" t="s">
        <v>489</v>
      </c>
      <c r="I154" s="106" t="s">
        <v>490</v>
      </c>
      <c r="J154" s="106"/>
      <c r="K154" s="106"/>
      <c r="L154" s="106"/>
      <c r="M154" s="1637" t="s">
        <v>491</v>
      </c>
      <c r="N154" s="1638" t="s">
        <v>558</v>
      </c>
      <c r="O154" s="1639" t="s">
        <v>493</v>
      </c>
      <c r="P154" s="1638" t="s">
        <v>558</v>
      </c>
      <c r="Q154" s="1638" t="s">
        <v>559</v>
      </c>
      <c r="R154" s="2802" t="s">
        <v>495</v>
      </c>
      <c r="S154" s="1073" t="s">
        <v>496</v>
      </c>
      <c r="T154" s="2552" t="s">
        <v>497</v>
      </c>
      <c r="U154" s="2553"/>
      <c r="V154" s="2553"/>
      <c r="W154" s="2553"/>
      <c r="X154" s="2553"/>
      <c r="Y154" s="2552" t="s">
        <v>498</v>
      </c>
      <c r="Z154" s="2553"/>
      <c r="AA154" s="2552" t="s">
        <v>499</v>
      </c>
      <c r="AB154" s="2553"/>
      <c r="AC154" s="2553"/>
      <c r="AD154" s="2553"/>
      <c r="AE154" s="2553"/>
      <c r="AF154" s="2556"/>
    </row>
    <row r="155" spans="1:32" ht="18" x14ac:dyDescent="0.3">
      <c r="A155" s="2216"/>
      <c r="B155" s="2216"/>
      <c r="C155" s="2216"/>
      <c r="D155" s="2216"/>
      <c r="E155" s="2216"/>
      <c r="F155" s="2214"/>
      <c r="G155" s="2216"/>
      <c r="H155" s="2216"/>
      <c r="I155" s="106" t="s">
        <v>500</v>
      </c>
      <c r="J155" s="106" t="s">
        <v>501</v>
      </c>
      <c r="K155" s="106" t="s">
        <v>502</v>
      </c>
      <c r="L155" s="106" t="s">
        <v>503</v>
      </c>
      <c r="M155" s="379" t="s">
        <v>504</v>
      </c>
      <c r="N155" s="380" t="s">
        <v>505</v>
      </c>
      <c r="O155" s="381" t="s">
        <v>506</v>
      </c>
      <c r="P155" s="380" t="s">
        <v>507</v>
      </c>
      <c r="Q155" s="380" t="s">
        <v>560</v>
      </c>
      <c r="R155" s="2771"/>
      <c r="S155" s="1561" t="s">
        <v>508</v>
      </c>
      <c r="T155" s="2773"/>
      <c r="U155" s="2772"/>
      <c r="V155" s="2772"/>
      <c r="W155" s="2772"/>
      <c r="X155" s="2772"/>
      <c r="Y155" s="2773"/>
      <c r="Z155" s="2772"/>
      <c r="AA155" s="2773"/>
      <c r="AB155" s="2772"/>
      <c r="AC155" s="2772"/>
      <c r="AD155" s="2772"/>
      <c r="AE155" s="2772"/>
      <c r="AF155" s="2774"/>
    </row>
    <row r="156" spans="1:32" ht="18" x14ac:dyDescent="0.35">
      <c r="A156" s="2763" t="s">
        <v>568</v>
      </c>
      <c r="B156" s="2764"/>
      <c r="C156" s="2764"/>
      <c r="D156" s="2764"/>
      <c r="E156" s="2764"/>
      <c r="F156" s="2764"/>
      <c r="G156" s="2764"/>
      <c r="H156" s="2764"/>
      <c r="I156" s="2764"/>
      <c r="J156" s="2764"/>
      <c r="K156" s="2764"/>
      <c r="L156" s="2764"/>
      <c r="M156" s="2764"/>
      <c r="N156" s="2764"/>
      <c r="O156" s="2764"/>
      <c r="P156" s="2764"/>
      <c r="Q156" s="2764"/>
      <c r="R156" s="2765"/>
      <c r="S156" s="1659"/>
      <c r="T156" s="1660" t="s">
        <v>510</v>
      </c>
      <c r="U156" s="1660" t="s">
        <v>11</v>
      </c>
      <c r="V156" s="1660" t="s">
        <v>511</v>
      </c>
      <c r="W156" s="1660" t="s">
        <v>512</v>
      </c>
      <c r="X156" s="1661" t="s">
        <v>513</v>
      </c>
      <c r="Y156" s="1554" t="s">
        <v>514</v>
      </c>
      <c r="Z156" s="1578" t="s">
        <v>515</v>
      </c>
      <c r="AA156" s="1553" t="s">
        <v>239</v>
      </c>
      <c r="AB156" s="1554" t="s">
        <v>240</v>
      </c>
      <c r="AC156" s="1554" t="s">
        <v>241</v>
      </c>
      <c r="AD156" s="1554" t="s">
        <v>242</v>
      </c>
      <c r="AE156" s="1554" t="s">
        <v>10</v>
      </c>
      <c r="AF156" s="1578" t="s">
        <v>5</v>
      </c>
    </row>
    <row r="157" spans="1:32" x14ac:dyDescent="0.3">
      <c r="A157" s="154"/>
      <c r="B157" s="462"/>
      <c r="C157" s="462"/>
      <c r="D157" s="462"/>
      <c r="E157" s="462"/>
      <c r="F157" s="463"/>
      <c r="G157" s="462"/>
      <c r="H157" s="462"/>
      <c r="I157" s="465"/>
      <c r="J157" s="465"/>
      <c r="K157" s="465"/>
      <c r="L157" s="465"/>
      <c r="M157" s="462"/>
      <c r="N157" s="468"/>
      <c r="O157" s="469"/>
      <c r="P157" s="468"/>
      <c r="Q157" s="468"/>
      <c r="R157" s="469"/>
      <c r="S157" s="166"/>
      <c r="X157" s="286"/>
      <c r="Z157" s="286"/>
      <c r="AA157" s="188"/>
      <c r="AF157" s="286"/>
    </row>
    <row r="158" spans="1:32" x14ac:dyDescent="0.3">
      <c r="A158" s="157" t="s">
        <v>1085</v>
      </c>
      <c r="B158" s="157" t="s">
        <v>243</v>
      </c>
      <c r="C158" s="157" t="s">
        <v>1075</v>
      </c>
      <c r="D158" s="157" t="s">
        <v>208</v>
      </c>
      <c r="E158" s="157" t="s">
        <v>520</v>
      </c>
      <c r="F158" s="158" t="s">
        <v>1088</v>
      </c>
      <c r="G158" s="157">
        <v>10</v>
      </c>
      <c r="H158" s="157" t="s">
        <v>63</v>
      </c>
      <c r="I158" s="175">
        <v>8</v>
      </c>
      <c r="J158" s="688"/>
      <c r="L158" s="286"/>
      <c r="M158" s="163">
        <v>1</v>
      </c>
      <c r="N158" s="166">
        <v>2268</v>
      </c>
      <c r="O158" s="173">
        <v>0.1</v>
      </c>
      <c r="P158" s="166">
        <f t="shared" ref="P158:P160" si="39">N158*(1-O158)</f>
        <v>2041.2</v>
      </c>
      <c r="Q158" s="166">
        <f t="shared" ref="Q158:Q160" si="40">P158*M158*G158</f>
        <v>20412</v>
      </c>
      <c r="R158" s="184">
        <f>Q158/$Q$165</f>
        <v>0.44093440420283159</v>
      </c>
      <c r="S158" s="503">
        <f>Q158*3</f>
        <v>61236</v>
      </c>
      <c r="T158" s="394">
        <f t="shared" ref="T158" si="41">S158</f>
        <v>61236</v>
      </c>
      <c r="X158" s="286"/>
      <c r="Y158" s="394">
        <f>S158</f>
        <v>61236</v>
      </c>
      <c r="Z158" s="395"/>
      <c r="AA158" s="394">
        <f>S158</f>
        <v>61236</v>
      </c>
      <c r="AF158" s="286"/>
    </row>
    <row r="159" spans="1:32" x14ac:dyDescent="0.3">
      <c r="A159" s="157" t="s">
        <v>1085</v>
      </c>
      <c r="B159" s="157" t="s">
        <v>245</v>
      </c>
      <c r="C159" s="157" t="s">
        <v>1075</v>
      </c>
      <c r="D159" s="157" t="s">
        <v>102</v>
      </c>
      <c r="E159" s="157" t="s">
        <v>518</v>
      </c>
      <c r="F159" s="158" t="s">
        <v>521</v>
      </c>
      <c r="G159" s="157">
        <v>2</v>
      </c>
      <c r="H159" s="157" t="s">
        <v>24</v>
      </c>
      <c r="I159" s="182">
        <v>2</v>
      </c>
      <c r="J159" s="183"/>
      <c r="K159" s="183"/>
      <c r="L159" s="2239"/>
      <c r="M159" s="163">
        <v>1</v>
      </c>
      <c r="N159" s="166">
        <v>7290</v>
      </c>
      <c r="O159" s="173">
        <v>0.18</v>
      </c>
      <c r="P159" s="166">
        <f t="shared" si="39"/>
        <v>5977.8</v>
      </c>
      <c r="Q159" s="166">
        <f t="shared" si="40"/>
        <v>11955.6</v>
      </c>
      <c r="R159" s="167">
        <f>Q159/$Q$165</f>
        <v>0.25826157960451562</v>
      </c>
      <c r="S159" s="503">
        <f>Q159*3</f>
        <v>35866.800000000003</v>
      </c>
      <c r="T159" s="394">
        <f>S159</f>
        <v>35866.800000000003</v>
      </c>
      <c r="X159" s="286"/>
      <c r="Y159" s="394"/>
      <c r="Z159" s="395">
        <f>S159</f>
        <v>35866.800000000003</v>
      </c>
      <c r="AA159" s="188"/>
      <c r="AC159" s="169">
        <f>S159</f>
        <v>35866.800000000003</v>
      </c>
      <c r="AF159" s="286"/>
    </row>
    <row r="160" spans="1:32" x14ac:dyDescent="0.3">
      <c r="A160" s="157" t="s">
        <v>1085</v>
      </c>
      <c r="B160" s="157" t="s">
        <v>246</v>
      </c>
      <c r="C160" s="157" t="s">
        <v>1075</v>
      </c>
      <c r="D160" s="157" t="s">
        <v>208</v>
      </c>
      <c r="E160" s="157" t="s">
        <v>520</v>
      </c>
      <c r="F160" s="158" t="s">
        <v>1088</v>
      </c>
      <c r="G160" s="157">
        <v>5</v>
      </c>
      <c r="H160" s="157" t="s">
        <v>63</v>
      </c>
      <c r="I160" s="1650"/>
      <c r="J160" s="1651"/>
      <c r="K160" s="773">
        <v>2</v>
      </c>
      <c r="L160" s="177"/>
      <c r="M160" s="163">
        <v>1</v>
      </c>
      <c r="N160" s="166">
        <v>3500</v>
      </c>
      <c r="O160" s="173">
        <v>0.49</v>
      </c>
      <c r="P160" s="166">
        <f t="shared" si="39"/>
        <v>1785</v>
      </c>
      <c r="Q160" s="166">
        <f t="shared" si="40"/>
        <v>8925</v>
      </c>
      <c r="R160" s="184">
        <f>Q160/$Q$165</f>
        <v>0.19279539278415989</v>
      </c>
      <c r="S160" s="503">
        <f>Q160*3</f>
        <v>26775</v>
      </c>
      <c r="T160" s="394">
        <f t="shared" ref="T160" si="42">S160</f>
        <v>26775</v>
      </c>
      <c r="X160" s="286"/>
      <c r="Y160" s="394">
        <f>S160</f>
        <v>26775</v>
      </c>
      <c r="Z160" s="395"/>
      <c r="AA160" s="188"/>
      <c r="AD160" s="169">
        <f>S160</f>
        <v>26775</v>
      </c>
      <c r="AF160" s="286"/>
    </row>
    <row r="161" spans="1:32" x14ac:dyDescent="0.3">
      <c r="A161" s="157"/>
      <c r="B161" s="157"/>
      <c r="C161" s="190"/>
      <c r="D161" s="190"/>
      <c r="E161" s="190"/>
      <c r="F161" s="191"/>
      <c r="G161" s="190"/>
      <c r="H161" s="190"/>
      <c r="I161" s="1"/>
      <c r="J161" s="1"/>
      <c r="K161" s="1"/>
      <c r="L161" s="630"/>
      <c r="M161" s="190"/>
      <c r="N161" s="1662"/>
      <c r="O161" s="1663"/>
      <c r="P161" s="1662"/>
      <c r="Q161" s="1662"/>
      <c r="R161" s="1664"/>
      <c r="S161" s="164"/>
      <c r="T161" s="394"/>
      <c r="X161" s="286"/>
      <c r="Y161" s="394"/>
      <c r="Z161" s="395"/>
      <c r="AA161" s="188"/>
      <c r="AF161" s="286"/>
    </row>
    <row r="162" spans="1:32" x14ac:dyDescent="0.3">
      <c r="A162" s="108" t="s">
        <v>1085</v>
      </c>
      <c r="B162" s="108" t="s">
        <v>528</v>
      </c>
      <c r="C162" s="289"/>
      <c r="D162" s="252"/>
      <c r="E162" s="252"/>
      <c r="F162" s="253"/>
      <c r="G162" s="252"/>
      <c r="H162" s="252"/>
      <c r="I162" s="254"/>
      <c r="J162" s="254"/>
      <c r="K162" s="254"/>
      <c r="L162" s="254"/>
      <c r="M162" s="252"/>
      <c r="N162" s="255"/>
      <c r="O162" s="256"/>
      <c r="P162" s="290"/>
      <c r="Q162" s="257"/>
      <c r="R162" s="291">
        <f>Q162/Q165</f>
        <v>0</v>
      </c>
      <c r="S162" s="503">
        <f>Q162*4</f>
        <v>0</v>
      </c>
      <c r="T162" s="188"/>
      <c r="W162" s="169">
        <f>S162</f>
        <v>0</v>
      </c>
      <c r="X162" s="286"/>
      <c r="Y162" s="188"/>
      <c r="Z162" s="286"/>
      <c r="AA162" s="188"/>
      <c r="AF162" s="286"/>
    </row>
    <row r="163" spans="1:32" x14ac:dyDescent="0.3">
      <c r="A163" s="108" t="s">
        <v>1085</v>
      </c>
      <c r="B163" s="108" t="s">
        <v>529</v>
      </c>
      <c r="C163" s="289"/>
      <c r="D163" s="252"/>
      <c r="E163" s="252"/>
      <c r="F163" s="253"/>
      <c r="G163" s="252"/>
      <c r="H163" s="252"/>
      <c r="I163" s="254"/>
      <c r="J163" s="254"/>
      <c r="K163" s="254"/>
      <c r="L163" s="254"/>
      <c r="M163" s="252"/>
      <c r="N163" s="255"/>
      <c r="O163" s="256"/>
      <c r="P163" s="290"/>
      <c r="Q163" s="257">
        <v>5000</v>
      </c>
      <c r="R163" s="291">
        <f>Q163/Q165</f>
        <v>0.10800862340849293</v>
      </c>
      <c r="S163" s="503">
        <f>Q163*4</f>
        <v>20000</v>
      </c>
      <c r="T163" s="188"/>
      <c r="X163" s="395">
        <f>S163</f>
        <v>20000</v>
      </c>
      <c r="Y163" s="188"/>
      <c r="Z163" s="286"/>
      <c r="AA163" s="188"/>
      <c r="AF163" s="286"/>
    </row>
    <row r="164" spans="1:32" x14ac:dyDescent="0.3">
      <c r="I164" s="115">
        <f>I165/M165</f>
        <v>0.83333333333333337</v>
      </c>
      <c r="J164" s="115"/>
      <c r="K164" s="115">
        <f>K165/M165</f>
        <v>0.16666666666666666</v>
      </c>
      <c r="S164" s="166"/>
      <c r="T164" s="188"/>
      <c r="X164" s="286"/>
      <c r="Y164" s="188"/>
      <c r="Z164" s="286"/>
      <c r="AA164" s="243"/>
      <c r="AB164" s="245"/>
      <c r="AC164" s="245"/>
      <c r="AD164" s="245"/>
      <c r="AE164" s="245"/>
      <c r="AF164" s="287"/>
    </row>
    <row r="165" spans="1:32" x14ac:dyDescent="0.3">
      <c r="A165" s="1404" t="s">
        <v>531</v>
      </c>
      <c r="B165" s="1405"/>
      <c r="C165" s="1405"/>
      <c r="D165" s="1405"/>
      <c r="E165" s="1405"/>
      <c r="F165" s="1614"/>
      <c r="G165" s="1405"/>
      <c r="H165" s="1405"/>
      <c r="I165" s="1405">
        <f>I159+I158</f>
        <v>10</v>
      </c>
      <c r="J165" s="1405"/>
      <c r="K165" s="1405">
        <f>K160</f>
        <v>2</v>
      </c>
      <c r="L165" s="1405"/>
      <c r="M165" s="1405">
        <f>SUM(I165:L165)</f>
        <v>12</v>
      </c>
      <c r="N165" s="1616"/>
      <c r="O165" s="1617"/>
      <c r="P165" s="1616"/>
      <c r="Q165" s="1618">
        <f>SUM(Q157:Q164)</f>
        <v>46292.6</v>
      </c>
      <c r="R165" s="1617">
        <f>SUM(R157:R163)</f>
        <v>1</v>
      </c>
      <c r="S165" s="1619">
        <f>SUM(S157:S164)</f>
        <v>143877.79999999999</v>
      </c>
      <c r="T165" s="1620">
        <f>SUM(T157:T163)</f>
        <v>123877.8</v>
      </c>
      <c r="U165" s="798">
        <f t="shared" ref="U165:X165" si="43">SUM(U157:U163)</f>
        <v>0</v>
      </c>
      <c r="V165" s="798">
        <f t="shared" si="43"/>
        <v>0</v>
      </c>
      <c r="W165" s="798">
        <f t="shared" si="43"/>
        <v>0</v>
      </c>
      <c r="X165" s="798">
        <f t="shared" si="43"/>
        <v>20000</v>
      </c>
      <c r="Y165" s="1621">
        <f>SUM(Y157:Y163)</f>
        <v>88011</v>
      </c>
      <c r="Z165" s="1622">
        <f>SUM(Z157:Z163)</f>
        <v>35866.800000000003</v>
      </c>
      <c r="AA165" s="1665">
        <f>SUM(AA158:AA164)</f>
        <v>61236</v>
      </c>
      <c r="AB165" s="378"/>
      <c r="AC165" s="1666">
        <f>SUM(AC159:AC164)</f>
        <v>35866.800000000003</v>
      </c>
      <c r="AD165" s="1666">
        <f>SUM(AD160:AD164)</f>
        <v>26775</v>
      </c>
      <c r="AE165" s="378"/>
      <c r="AF165" s="1667"/>
    </row>
    <row r="166" spans="1:32" x14ac:dyDescent="0.3">
      <c r="A166" s="1404" t="s">
        <v>532</v>
      </c>
      <c r="B166" s="1405"/>
      <c r="C166" s="1405"/>
      <c r="D166" s="1405"/>
      <c r="E166" s="1405"/>
      <c r="F166" s="1614"/>
      <c r="G166" s="1405"/>
      <c r="H166" s="1405"/>
      <c r="I166" s="1405">
        <f>I159+I158</f>
        <v>10</v>
      </c>
      <c r="J166" s="1405">
        <f>I159+I158</f>
        <v>10</v>
      </c>
      <c r="K166" s="1405">
        <f>K160+I159</f>
        <v>4</v>
      </c>
      <c r="L166" s="1405"/>
      <c r="M166" s="1405">
        <f>SUM(I166:L166)</f>
        <v>24</v>
      </c>
      <c r="N166" s="1616"/>
      <c r="O166" s="1617"/>
      <c r="P166" s="1616"/>
      <c r="Q166" s="1616"/>
      <c r="R166" s="1617"/>
      <c r="S166" s="1626">
        <f>Q165/M165</f>
        <v>3857.7166666666667</v>
      </c>
      <c r="T166" s="1627">
        <f>T165/S165</f>
        <v>0.86099314835228236</v>
      </c>
      <c r="U166" s="1628">
        <f>U165/S165</f>
        <v>0</v>
      </c>
      <c r="V166" s="1628">
        <f>V165/S165</f>
        <v>0</v>
      </c>
      <c r="W166" s="1628">
        <f>W165/S165</f>
        <v>0</v>
      </c>
      <c r="X166" s="1628">
        <f>X165/S165</f>
        <v>0.13900685164771773</v>
      </c>
      <c r="Y166" s="381">
        <f>Y165/S165</f>
        <v>0.61170660101836427</v>
      </c>
      <c r="Z166" s="1630">
        <f>Z165/S165</f>
        <v>0.24928654733391814</v>
      </c>
      <c r="AA166" s="1631"/>
      <c r="AB166" s="1632"/>
      <c r="AC166" s="1632"/>
      <c r="AD166" s="1632"/>
      <c r="AE166" s="1632"/>
      <c r="AF166" s="1633"/>
    </row>
    <row r="167" spans="1:32" x14ac:dyDescent="0.3">
      <c r="A167" s="251" t="s">
        <v>533</v>
      </c>
      <c r="B167" s="252"/>
      <c r="C167" s="252"/>
      <c r="D167" s="252"/>
      <c r="E167" s="252"/>
      <c r="F167" s="253"/>
      <c r="G167" s="252"/>
      <c r="H167" s="252"/>
      <c r="I167" s="2188">
        <f>I166/$M$166</f>
        <v>0.41666666666666669</v>
      </c>
      <c r="J167" s="2188">
        <f t="shared" ref="J167:K167" si="44">J166/$M$166</f>
        <v>0.41666666666666669</v>
      </c>
      <c r="K167" s="2188">
        <f t="shared" si="44"/>
        <v>0.16666666666666666</v>
      </c>
      <c r="L167" s="254"/>
      <c r="M167" s="252"/>
      <c r="N167" s="255"/>
      <c r="O167" s="256"/>
      <c r="P167" s="255"/>
      <c r="Q167" s="257">
        <f>T165/4</f>
        <v>30969.45</v>
      </c>
      <c r="R167" s="262">
        <f>Q167/Q172</f>
        <v>0.86099314835228236</v>
      </c>
      <c r="X167" s="248"/>
      <c r="Y167" s="357">
        <f>I158+K160</f>
        <v>10</v>
      </c>
      <c r="Z167" s="358">
        <f>I159</f>
        <v>2</v>
      </c>
    </row>
    <row r="168" spans="1:32" x14ac:dyDescent="0.3">
      <c r="A168" s="251" t="s">
        <v>11</v>
      </c>
      <c r="B168" s="252"/>
      <c r="C168" s="252"/>
      <c r="D168" s="252"/>
      <c r="E168" s="252"/>
      <c r="F168" s="253"/>
      <c r="G168" s="252"/>
      <c r="H168" s="252"/>
      <c r="I168" s="254"/>
      <c r="J168" s="254"/>
      <c r="K168" s="254"/>
      <c r="L168" s="254"/>
      <c r="M168" s="252"/>
      <c r="N168" s="255"/>
      <c r="O168" s="256"/>
      <c r="P168" s="255"/>
      <c r="Q168" s="257">
        <f>U165/4</f>
        <v>0</v>
      </c>
      <c r="R168" s="262">
        <f>Q168/Q172</f>
        <v>0</v>
      </c>
      <c r="S168" s="1077">
        <f>Q165/M165</f>
        <v>3857.7166666666667</v>
      </c>
      <c r="T168" s="1078" t="s">
        <v>535</v>
      </c>
      <c r="Y168" s="195">
        <f>Y167/M165</f>
        <v>0.83333333333333337</v>
      </c>
      <c r="Z168" s="247">
        <f>Z167/M165</f>
        <v>0.16666666666666666</v>
      </c>
    </row>
    <row r="169" spans="1:32" x14ac:dyDescent="0.3">
      <c r="A169" s="251" t="s">
        <v>536</v>
      </c>
      <c r="B169" s="252"/>
      <c r="C169" s="252"/>
      <c r="D169" s="252"/>
      <c r="E169" s="252"/>
      <c r="F169" s="253"/>
      <c r="G169" s="252"/>
      <c r="H169" s="252"/>
      <c r="I169" s="254"/>
      <c r="J169" s="254"/>
      <c r="K169" s="254"/>
      <c r="L169" s="254"/>
      <c r="M169" s="252"/>
      <c r="N169" s="255"/>
      <c r="O169" s="256"/>
      <c r="P169" s="255"/>
      <c r="Q169" s="257">
        <f>V165/4</f>
        <v>0</v>
      </c>
      <c r="R169" s="262">
        <f>Q169/Q172</f>
        <v>0</v>
      </c>
      <c r="W169" s="99"/>
      <c r="Y169" s="2551" t="s">
        <v>537</v>
      </c>
      <c r="Z169" s="2551"/>
    </row>
    <row r="170" spans="1:32" x14ac:dyDescent="0.3">
      <c r="A170" s="251" t="s">
        <v>529</v>
      </c>
      <c r="B170" s="252"/>
      <c r="C170" s="252"/>
      <c r="D170" s="252"/>
      <c r="E170" s="252"/>
      <c r="F170" s="253"/>
      <c r="G170" s="252"/>
      <c r="H170" s="252"/>
      <c r="I170" s="254"/>
      <c r="J170" s="254"/>
      <c r="K170" s="254"/>
      <c r="L170" s="254"/>
      <c r="M170" s="252"/>
      <c r="N170" s="255"/>
      <c r="O170" s="256"/>
      <c r="P170" s="255"/>
      <c r="Q170" s="257">
        <f>X165/4</f>
        <v>5000</v>
      </c>
      <c r="R170" s="262">
        <f>Q170/Q172</f>
        <v>0.13900685164771773</v>
      </c>
    </row>
    <row r="171" spans="1:32" x14ac:dyDescent="0.3">
      <c r="A171" s="251" t="s">
        <v>528</v>
      </c>
      <c r="B171" s="252"/>
      <c r="C171" s="252"/>
      <c r="D171" s="252"/>
      <c r="E171" s="252"/>
      <c r="F171" s="253"/>
      <c r="G171" s="252"/>
      <c r="H171" s="252"/>
      <c r="I171" s="254"/>
      <c r="J171" s="254"/>
      <c r="K171" s="254"/>
      <c r="L171" s="254"/>
      <c r="M171" s="252"/>
      <c r="N171" s="255"/>
      <c r="O171" s="256"/>
      <c r="P171" s="255"/>
      <c r="Q171" s="257">
        <f>W165/4</f>
        <v>0</v>
      </c>
      <c r="R171" s="262">
        <f>Q171/Q172</f>
        <v>0</v>
      </c>
    </row>
    <row r="172" spans="1:32" x14ac:dyDescent="0.3">
      <c r="A172" s="251"/>
      <c r="B172" s="252"/>
      <c r="C172" s="252"/>
      <c r="D172" s="252"/>
      <c r="E172" s="252"/>
      <c r="F172" s="253"/>
      <c r="G172" s="252"/>
      <c r="H172" s="252"/>
      <c r="I172" s="254"/>
      <c r="J172" s="254"/>
      <c r="K172" s="254"/>
      <c r="L172" s="254"/>
      <c r="M172" s="252"/>
      <c r="N172" s="255"/>
      <c r="O172" s="256"/>
      <c r="P172" s="255"/>
      <c r="Q172" s="264">
        <f>SUM(Q167:Q171)</f>
        <v>35969.449999999997</v>
      </c>
      <c r="R172" s="262">
        <f>SUM(R167:R171)</f>
        <v>1</v>
      </c>
    </row>
    <row r="173" spans="1:32" ht="15.6" x14ac:dyDescent="0.3">
      <c r="A173" s="188"/>
      <c r="N173" s="5"/>
      <c r="O173" s="6"/>
      <c r="P173" s="5"/>
      <c r="Q173" s="7"/>
      <c r="R173" s="6"/>
      <c r="Z173" s="303">
        <f>SUM(AA174:AF174)</f>
        <v>1099793.5</v>
      </c>
      <c r="AA173" s="1553" t="s">
        <v>239</v>
      </c>
      <c r="AB173" s="1554" t="s">
        <v>240</v>
      </c>
      <c r="AC173" s="1554" t="s">
        <v>241</v>
      </c>
      <c r="AD173" s="1554" t="s">
        <v>242</v>
      </c>
      <c r="AE173" s="1554" t="s">
        <v>10</v>
      </c>
      <c r="AF173" s="1578" t="s">
        <v>5</v>
      </c>
    </row>
    <row r="174" spans="1:32" x14ac:dyDescent="0.3">
      <c r="A174" s="1568" t="s">
        <v>878</v>
      </c>
      <c r="B174" s="1569"/>
      <c r="C174" s="1569"/>
      <c r="D174" s="1569"/>
      <c r="E174" s="1569"/>
      <c r="F174" s="1570"/>
      <c r="G174" s="1569"/>
      <c r="H174" s="1569"/>
      <c r="I174" s="1571"/>
      <c r="J174" s="1571"/>
      <c r="K174" s="1571"/>
      <c r="L174" s="1571"/>
      <c r="M174" s="1569"/>
      <c r="N174" s="1572"/>
      <c r="O174" s="1573"/>
      <c r="P174" s="1572"/>
      <c r="Q174" s="1653"/>
      <c r="R174" s="1654"/>
      <c r="S174" s="1647">
        <f>S165+S138+S111+S77+S48</f>
        <v>1223793.5</v>
      </c>
      <c r="Z174" t="s">
        <v>601</v>
      </c>
      <c r="AA174" s="1083">
        <f>AA165+AA138+AA111+AA77+AA48</f>
        <v>326592</v>
      </c>
      <c r="AB174" s="1035">
        <f t="shared" ref="AB174:AF174" si="45">AB165+AB138+AB111+AB77+AB48</f>
        <v>132832</v>
      </c>
      <c r="AC174" s="1035">
        <f t="shared" si="45"/>
        <v>201784.30000000005</v>
      </c>
      <c r="AD174" s="1035">
        <f t="shared" si="45"/>
        <v>364580</v>
      </c>
      <c r="AE174" s="1035">
        <f t="shared" si="45"/>
        <v>16405.200000000004</v>
      </c>
      <c r="AF174" s="1084">
        <f t="shared" si="45"/>
        <v>57600.000000000007</v>
      </c>
    </row>
    <row r="175" spans="1:32" x14ac:dyDescent="0.3">
      <c r="R175" s="3" t="s">
        <v>571</v>
      </c>
      <c r="S175" s="120">
        <f>D19-S174</f>
        <v>-10610.375</v>
      </c>
    </row>
    <row r="176" spans="1:32" x14ac:dyDescent="0.3">
      <c r="Q176" s="116"/>
      <c r="R176" s="626"/>
    </row>
    <row r="177" spans="17:18" x14ac:dyDescent="0.3">
      <c r="Q177" s="116"/>
      <c r="R177" s="62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F67"/>
  <sheetViews>
    <sheetView topLeftCell="A29" workbookViewId="0">
      <selection activeCell="H37" sqref="H37:H39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360</v>
      </c>
      <c r="C2" t="s">
        <v>370</v>
      </c>
      <c r="D2" t="s">
        <v>369</v>
      </c>
      <c r="E2" s="1" t="s">
        <v>243</v>
      </c>
      <c r="F2" s="1" t="s">
        <v>208</v>
      </c>
      <c r="G2" s="2186">
        <v>1</v>
      </c>
      <c r="H2" s="2186">
        <f>VLOOKUP(G2,Pesos!A:B,2,0)</f>
        <v>0.9</v>
      </c>
      <c r="I2" s="1" t="s">
        <v>305</v>
      </c>
      <c r="J2" s="1"/>
      <c r="K2" s="1">
        <v>8</v>
      </c>
      <c r="L2" s="1">
        <v>20</v>
      </c>
      <c r="M2" s="1">
        <v>14</v>
      </c>
      <c r="N2" s="1" t="s">
        <v>63</v>
      </c>
      <c r="O2" s="1">
        <v>14</v>
      </c>
      <c r="P2" s="1"/>
      <c r="Q2" s="1"/>
      <c r="R2" s="1"/>
      <c r="S2" s="1">
        <v>1</v>
      </c>
      <c r="T2" s="5">
        <v>2268</v>
      </c>
      <c r="U2" s="24">
        <v>0.1</v>
      </c>
      <c r="V2" s="25">
        <f>T2*(1-U2)</f>
        <v>2041.2</v>
      </c>
      <c r="W2" s="25">
        <f>V2*S2*M2</f>
        <v>28576.799999999999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360</v>
      </c>
      <c r="C3" t="s">
        <v>370</v>
      </c>
      <c r="D3" t="s">
        <v>369</v>
      </c>
      <c r="E3" s="1" t="s">
        <v>210</v>
      </c>
      <c r="F3" s="1" t="s">
        <v>102</v>
      </c>
      <c r="G3" s="2186">
        <v>2</v>
      </c>
      <c r="H3" s="2186">
        <f>VLOOKUP(G3,Pesos!A:B,2,0)</f>
        <v>0.8</v>
      </c>
      <c r="J3" s="1" t="s">
        <v>305</v>
      </c>
      <c r="K3" s="1">
        <v>6</v>
      </c>
      <c r="L3" s="1">
        <v>10</v>
      </c>
      <c r="M3" s="1">
        <v>3</v>
      </c>
      <c r="N3" s="1" t="s">
        <v>24</v>
      </c>
      <c r="O3" s="1">
        <v>3</v>
      </c>
      <c r="S3" s="1">
        <v>1</v>
      </c>
      <c r="T3" s="5">
        <v>20755</v>
      </c>
      <c r="U3" s="24">
        <v>0.6</v>
      </c>
      <c r="V3" s="25">
        <f t="shared" ref="V3:V7" si="0">T3*(1-U3)</f>
        <v>8302</v>
      </c>
      <c r="W3" s="25">
        <f t="shared" ref="W3:W16" si="1">V3*S3*M3</f>
        <v>24906</v>
      </c>
      <c r="X3" s="6"/>
      <c r="Y3" s="22"/>
      <c r="Z3" s="1"/>
    </row>
    <row r="4" spans="1:32" x14ac:dyDescent="0.3">
      <c r="A4" t="s">
        <v>327</v>
      </c>
      <c r="B4" t="s">
        <v>360</v>
      </c>
      <c r="C4" t="s">
        <v>370</v>
      </c>
      <c r="D4" t="s">
        <v>369</v>
      </c>
      <c r="E4" s="1" t="s">
        <v>243</v>
      </c>
      <c r="F4" s="1" t="s">
        <v>244</v>
      </c>
      <c r="G4" s="2186">
        <v>3</v>
      </c>
      <c r="H4" s="2186">
        <f>VLOOKUP(G4,Pesos!A:B,2,0)</f>
        <v>0.7</v>
      </c>
      <c r="I4" s="1" t="s">
        <v>305</v>
      </c>
      <c r="K4" s="1">
        <v>3</v>
      </c>
      <c r="L4" s="1">
        <v>5</v>
      </c>
      <c r="M4" s="1">
        <v>3</v>
      </c>
      <c r="N4" s="1" t="s">
        <v>63</v>
      </c>
      <c r="O4" s="1">
        <v>3</v>
      </c>
      <c r="S4" s="1">
        <v>1</v>
      </c>
      <c r="T4" s="5">
        <v>6804</v>
      </c>
      <c r="U4" s="24">
        <v>0.1</v>
      </c>
      <c r="V4" s="25">
        <f t="shared" si="0"/>
        <v>6123.6</v>
      </c>
      <c r="W4" s="25">
        <f t="shared" si="1"/>
        <v>18370.800000000003</v>
      </c>
      <c r="X4" s="6"/>
      <c r="Y4" s="22"/>
      <c r="Z4" s="1"/>
    </row>
    <row r="5" spans="1:32" x14ac:dyDescent="0.3">
      <c r="A5" t="s">
        <v>327</v>
      </c>
      <c r="B5" t="s">
        <v>360</v>
      </c>
      <c r="C5" t="s">
        <v>370</v>
      </c>
      <c r="D5" t="s">
        <v>369</v>
      </c>
      <c r="E5" s="1" t="s">
        <v>245</v>
      </c>
      <c r="F5" s="1" t="s">
        <v>102</v>
      </c>
      <c r="G5" s="2186">
        <v>2</v>
      </c>
      <c r="H5" s="2186">
        <f>VLOOKUP(G5,Pesos!A:B,2,0)</f>
        <v>0.8</v>
      </c>
      <c r="J5" s="1" t="s">
        <v>305</v>
      </c>
      <c r="K5" s="1">
        <v>6</v>
      </c>
      <c r="L5" s="2" t="s">
        <v>203</v>
      </c>
      <c r="M5" s="1">
        <v>1</v>
      </c>
      <c r="N5" s="1" t="s">
        <v>24</v>
      </c>
      <c r="O5" s="1">
        <v>1</v>
      </c>
      <c r="S5" s="1">
        <v>1</v>
      </c>
      <c r="T5" s="5">
        <v>7290</v>
      </c>
      <c r="U5" s="24">
        <v>0.18</v>
      </c>
      <c r="V5" s="25">
        <f t="shared" si="0"/>
        <v>5977.8</v>
      </c>
      <c r="W5" s="25">
        <f t="shared" si="1"/>
        <v>5977.8</v>
      </c>
      <c r="X5" s="18"/>
      <c r="Y5" s="22"/>
      <c r="Z5" s="1"/>
    </row>
    <row r="6" spans="1:32" x14ac:dyDescent="0.3">
      <c r="A6" t="s">
        <v>327</v>
      </c>
      <c r="B6" t="s">
        <v>360</v>
      </c>
      <c r="C6" t="s">
        <v>370</v>
      </c>
      <c r="D6" t="s">
        <v>369</v>
      </c>
      <c r="E6" s="1" t="s">
        <v>245</v>
      </c>
      <c r="F6" s="1" t="s">
        <v>102</v>
      </c>
      <c r="G6" s="2186">
        <v>2</v>
      </c>
      <c r="H6" s="2186">
        <f>VLOOKUP(G6,Pesos!A:B,2,0)</f>
        <v>0.8</v>
      </c>
      <c r="J6" s="1" t="s">
        <v>305</v>
      </c>
      <c r="K6" s="1">
        <v>6</v>
      </c>
      <c r="L6" s="2" t="s">
        <v>203</v>
      </c>
      <c r="M6" s="1">
        <v>2</v>
      </c>
      <c r="N6" s="1" t="s">
        <v>24</v>
      </c>
      <c r="O6" s="1">
        <v>2</v>
      </c>
      <c r="S6" s="1">
        <v>1</v>
      </c>
      <c r="T6" s="5">
        <v>12670</v>
      </c>
      <c r="U6" s="24">
        <v>0.41</v>
      </c>
      <c r="V6" s="25">
        <f t="shared" si="0"/>
        <v>7475.3000000000011</v>
      </c>
      <c r="W6" s="25">
        <f t="shared" si="1"/>
        <v>14950.600000000002</v>
      </c>
      <c r="X6" s="6"/>
      <c r="Y6" s="22"/>
      <c r="Z6" s="1"/>
    </row>
    <row r="7" spans="1:32" x14ac:dyDescent="0.3">
      <c r="A7" t="s">
        <v>327</v>
      </c>
      <c r="B7" t="s">
        <v>360</v>
      </c>
      <c r="C7" t="s">
        <v>370</v>
      </c>
      <c r="D7" t="s">
        <v>369</v>
      </c>
      <c r="E7" s="1" t="s">
        <v>246</v>
      </c>
      <c r="F7" s="1" t="s">
        <v>102</v>
      </c>
      <c r="G7" s="2186">
        <v>2</v>
      </c>
      <c r="H7" s="2186">
        <f>VLOOKUP(G7,Pesos!A:B,2,0)</f>
        <v>0.8</v>
      </c>
      <c r="J7" s="1" t="s">
        <v>305</v>
      </c>
      <c r="K7" s="1">
        <v>6</v>
      </c>
      <c r="L7" s="2" t="s">
        <v>203</v>
      </c>
      <c r="M7" s="1">
        <v>3</v>
      </c>
      <c r="N7" s="1" t="s">
        <v>24</v>
      </c>
      <c r="O7" s="1">
        <v>3</v>
      </c>
      <c r="S7" s="1">
        <v>1</v>
      </c>
      <c r="T7" s="5">
        <v>20000</v>
      </c>
      <c r="U7" s="24">
        <v>0.53</v>
      </c>
      <c r="V7" s="25">
        <f t="shared" si="0"/>
        <v>9400</v>
      </c>
      <c r="W7" s="25">
        <f t="shared" si="1"/>
        <v>28200</v>
      </c>
      <c r="X7" s="6"/>
      <c r="Y7" s="22"/>
      <c r="Z7" s="1"/>
    </row>
    <row r="8" spans="1:32" x14ac:dyDescent="0.3">
      <c r="A8" t="s">
        <v>327</v>
      </c>
      <c r="B8" t="s">
        <v>360</v>
      </c>
      <c r="C8" t="s">
        <v>370</v>
      </c>
      <c r="D8" t="s">
        <v>369</v>
      </c>
      <c r="E8" s="1" t="s">
        <v>246</v>
      </c>
      <c r="F8" s="1" t="s">
        <v>208</v>
      </c>
      <c r="G8" s="2186">
        <v>1</v>
      </c>
      <c r="H8" s="2186">
        <f>VLOOKUP(G8,Pesos!A:B,2,0)</f>
        <v>0.9</v>
      </c>
      <c r="I8" s="1" t="s">
        <v>305</v>
      </c>
      <c r="K8" s="1">
        <v>8</v>
      </c>
      <c r="L8" s="2" t="s">
        <v>51</v>
      </c>
      <c r="M8" s="1">
        <v>8</v>
      </c>
      <c r="N8" s="1" t="s">
        <v>63</v>
      </c>
      <c r="Q8" s="1">
        <v>8</v>
      </c>
      <c r="S8" s="1">
        <v>1</v>
      </c>
      <c r="T8" s="5">
        <v>3500</v>
      </c>
      <c r="U8" s="24">
        <v>0.49</v>
      </c>
      <c r="V8" s="25">
        <f t="shared" ref="V8" si="2">T8*(1-U8)</f>
        <v>1785</v>
      </c>
      <c r="W8" s="25">
        <f t="shared" ref="W8" si="3">V8*S8*M8</f>
        <v>14280</v>
      </c>
      <c r="X8" s="6"/>
      <c r="Y8" s="22"/>
      <c r="Z8" s="1"/>
    </row>
    <row r="9" spans="1:32" x14ac:dyDescent="0.3">
      <c r="A9" t="s">
        <v>327</v>
      </c>
      <c r="B9" t="s">
        <v>360</v>
      </c>
      <c r="C9" t="s">
        <v>370</v>
      </c>
      <c r="D9" t="s">
        <v>369</v>
      </c>
      <c r="E9" s="1" t="s">
        <v>246</v>
      </c>
      <c r="F9" s="1" t="s">
        <v>26</v>
      </c>
      <c r="G9" s="2186">
        <v>4</v>
      </c>
      <c r="H9" s="2186">
        <f>VLOOKUP(G9,Pesos!A:B,2,0)</f>
        <v>0.6</v>
      </c>
      <c r="I9" s="1" t="s">
        <v>305</v>
      </c>
      <c r="K9" s="1">
        <v>3</v>
      </c>
      <c r="L9" s="2" t="s">
        <v>263</v>
      </c>
      <c r="M9" s="1">
        <v>3</v>
      </c>
      <c r="N9" s="1" t="s">
        <v>24</v>
      </c>
      <c r="O9" s="1">
        <v>3</v>
      </c>
      <c r="S9" s="1">
        <v>1</v>
      </c>
      <c r="T9" s="5">
        <v>12000</v>
      </c>
      <c r="U9" s="24">
        <v>0.38</v>
      </c>
      <c r="V9" s="26">
        <f>T9*(1-U9)</f>
        <v>7440</v>
      </c>
      <c r="W9" s="25">
        <f t="shared" si="1"/>
        <v>22320</v>
      </c>
      <c r="X9" s="6"/>
      <c r="Y9" s="22"/>
      <c r="Z9" s="1"/>
    </row>
    <row r="10" spans="1:32" x14ac:dyDescent="0.3">
      <c r="G10" s="2186"/>
      <c r="H10" s="2186"/>
      <c r="L10" s="2"/>
      <c r="M10" s="2"/>
      <c r="T10" s="5"/>
      <c r="U10" s="24"/>
      <c r="V10" s="26"/>
      <c r="X10" s="6"/>
      <c r="Y10" s="22"/>
      <c r="Z10" s="1"/>
    </row>
    <row r="11" spans="1:32" x14ac:dyDescent="0.3">
      <c r="A11" t="s">
        <v>340</v>
      </c>
      <c r="B11" t="s">
        <v>360</v>
      </c>
      <c r="C11" t="s">
        <v>370</v>
      </c>
      <c r="D11" t="s">
        <v>369</v>
      </c>
      <c r="E11" s="1" t="s">
        <v>243</v>
      </c>
      <c r="F11" s="1" t="s">
        <v>208</v>
      </c>
      <c r="G11" s="2186">
        <v>2</v>
      </c>
      <c r="H11" s="2186">
        <f>VLOOKUP(G11,Pesos!A:B,2,0)</f>
        <v>0.8</v>
      </c>
      <c r="I11" s="1" t="s">
        <v>305</v>
      </c>
      <c r="K11" s="1">
        <v>8</v>
      </c>
      <c r="L11" s="2" t="s">
        <v>51</v>
      </c>
      <c r="M11" s="2" t="s">
        <v>170</v>
      </c>
      <c r="N11" s="1" t="s">
        <v>63</v>
      </c>
      <c r="O11" s="1">
        <v>16</v>
      </c>
      <c r="S11" s="1">
        <v>1</v>
      </c>
      <c r="T11" s="5">
        <v>2268</v>
      </c>
      <c r="U11" s="24">
        <v>0.1</v>
      </c>
      <c r="V11" s="26">
        <f t="shared" ref="V11:V15" si="4">T11*(1-U11)</f>
        <v>2041.2</v>
      </c>
      <c r="W11" s="25">
        <f t="shared" si="1"/>
        <v>32659.200000000001</v>
      </c>
      <c r="X11" s="6"/>
      <c r="Y11" s="22"/>
      <c r="Z11" s="1"/>
    </row>
    <row r="12" spans="1:32" x14ac:dyDescent="0.3">
      <c r="A12" t="s">
        <v>340</v>
      </c>
      <c r="B12" t="s">
        <v>360</v>
      </c>
      <c r="C12" t="s">
        <v>370</v>
      </c>
      <c r="D12" t="s">
        <v>369</v>
      </c>
      <c r="E12" s="1" t="s">
        <v>245</v>
      </c>
      <c r="F12" s="1" t="s">
        <v>102</v>
      </c>
      <c r="G12" s="2186">
        <v>1</v>
      </c>
      <c r="H12" s="2186">
        <f>VLOOKUP(G12,Pesos!A:B,2,0)</f>
        <v>0.9</v>
      </c>
      <c r="J12" s="1" t="s">
        <v>305</v>
      </c>
      <c r="K12" s="1">
        <v>6</v>
      </c>
      <c r="L12" s="2" t="s">
        <v>203</v>
      </c>
      <c r="M12" s="2" t="s">
        <v>332</v>
      </c>
      <c r="N12" s="1" t="s">
        <v>24</v>
      </c>
      <c r="O12" s="1">
        <v>2</v>
      </c>
      <c r="S12" s="1">
        <v>1</v>
      </c>
      <c r="T12" s="5">
        <v>7290</v>
      </c>
      <c r="U12" s="24">
        <v>0.18</v>
      </c>
      <c r="V12" s="26">
        <f t="shared" si="4"/>
        <v>5977.8</v>
      </c>
      <c r="W12" s="25">
        <f t="shared" si="1"/>
        <v>11955.6</v>
      </c>
      <c r="X12" s="6"/>
      <c r="Y12" s="22"/>
      <c r="Z12" s="1"/>
    </row>
    <row r="13" spans="1:32" x14ac:dyDescent="0.3">
      <c r="A13" t="s">
        <v>340</v>
      </c>
      <c r="B13" t="s">
        <v>360</v>
      </c>
      <c r="C13" t="s">
        <v>370</v>
      </c>
      <c r="D13" t="s">
        <v>369</v>
      </c>
      <c r="E13" s="1" t="s">
        <v>245</v>
      </c>
      <c r="F13" s="1" t="s">
        <v>102</v>
      </c>
      <c r="G13" s="2186">
        <v>1</v>
      </c>
      <c r="H13" s="2186">
        <f>VLOOKUP(G13,Pesos!A:B,2,0)</f>
        <v>0.9</v>
      </c>
      <c r="J13" s="1" t="s">
        <v>305</v>
      </c>
      <c r="K13" s="1">
        <v>6</v>
      </c>
      <c r="L13" s="2" t="s">
        <v>203</v>
      </c>
      <c r="M13" s="2" t="s">
        <v>332</v>
      </c>
      <c r="N13" s="1" t="s">
        <v>24</v>
      </c>
      <c r="O13" s="1">
        <v>2</v>
      </c>
      <c r="S13" s="1">
        <v>1</v>
      </c>
      <c r="T13" s="5">
        <v>12670</v>
      </c>
      <c r="U13" s="24">
        <v>0.41</v>
      </c>
      <c r="V13" s="26">
        <f t="shared" si="4"/>
        <v>7475.3000000000011</v>
      </c>
      <c r="W13" s="25">
        <f t="shared" si="1"/>
        <v>14950.600000000002</v>
      </c>
      <c r="X13" s="6"/>
      <c r="Y13" s="22"/>
      <c r="Z13" s="1"/>
    </row>
    <row r="14" spans="1:32" x14ac:dyDescent="0.3">
      <c r="A14" t="s">
        <v>340</v>
      </c>
      <c r="B14" t="s">
        <v>360</v>
      </c>
      <c r="C14" t="s">
        <v>370</v>
      </c>
      <c r="D14" t="s">
        <v>369</v>
      </c>
      <c r="E14" s="1" t="s">
        <v>246</v>
      </c>
      <c r="F14" s="1" t="s">
        <v>102</v>
      </c>
      <c r="G14" s="2186">
        <v>1</v>
      </c>
      <c r="H14" s="2186">
        <f>VLOOKUP(G14,Pesos!A:B,2,0)</f>
        <v>0.9</v>
      </c>
      <c r="J14" s="1" t="s">
        <v>305</v>
      </c>
      <c r="K14" s="1">
        <v>6</v>
      </c>
      <c r="L14" s="2" t="s">
        <v>203</v>
      </c>
      <c r="M14" s="2" t="s">
        <v>333</v>
      </c>
      <c r="N14" s="1" t="s">
        <v>24</v>
      </c>
      <c r="O14" s="1">
        <v>3</v>
      </c>
      <c r="S14" s="1">
        <v>1</v>
      </c>
      <c r="T14" s="5">
        <v>20000</v>
      </c>
      <c r="U14" s="24">
        <v>0.53</v>
      </c>
      <c r="V14" s="26">
        <f t="shared" si="4"/>
        <v>9400</v>
      </c>
      <c r="W14" s="25">
        <f t="shared" si="1"/>
        <v>28200</v>
      </c>
      <c r="X14" s="6"/>
      <c r="Y14" s="22"/>
      <c r="Z14" s="1"/>
    </row>
    <row r="15" spans="1:32" x14ac:dyDescent="0.3">
      <c r="A15" t="s">
        <v>340</v>
      </c>
      <c r="B15" t="s">
        <v>360</v>
      </c>
      <c r="C15" t="s">
        <v>370</v>
      </c>
      <c r="D15" t="s">
        <v>369</v>
      </c>
      <c r="E15" s="1" t="s">
        <v>246</v>
      </c>
      <c r="F15" s="1" t="s">
        <v>208</v>
      </c>
      <c r="G15" s="2186">
        <v>2</v>
      </c>
      <c r="H15" s="2186">
        <f>VLOOKUP(G15,Pesos!A:B,2,0)</f>
        <v>0.8</v>
      </c>
      <c r="I15" s="1" t="s">
        <v>305</v>
      </c>
      <c r="K15" s="1">
        <v>8</v>
      </c>
      <c r="L15" s="2" t="s">
        <v>51</v>
      </c>
      <c r="M15" s="2" t="s">
        <v>203</v>
      </c>
      <c r="N15" s="1" t="s">
        <v>63</v>
      </c>
      <c r="Q15" s="1">
        <v>10</v>
      </c>
      <c r="S15" s="1">
        <v>1</v>
      </c>
      <c r="T15" s="5">
        <v>3500</v>
      </c>
      <c r="U15" s="24">
        <v>0.49</v>
      </c>
      <c r="V15" s="26">
        <f t="shared" si="4"/>
        <v>1785</v>
      </c>
      <c r="W15" s="25">
        <f t="shared" si="1"/>
        <v>17850</v>
      </c>
      <c r="X15" s="6"/>
    </row>
    <row r="16" spans="1:32" x14ac:dyDescent="0.3">
      <c r="A16" t="s">
        <v>340</v>
      </c>
      <c r="B16" t="s">
        <v>360</v>
      </c>
      <c r="C16" t="s">
        <v>370</v>
      </c>
      <c r="D16" t="s">
        <v>369</v>
      </c>
      <c r="E16" s="1" t="s">
        <v>246</v>
      </c>
      <c r="F16" s="1" t="s">
        <v>26</v>
      </c>
      <c r="G16" s="2186">
        <v>4</v>
      </c>
      <c r="H16" s="2186">
        <f>VLOOKUP(G16,Pesos!A:B,2,0)</f>
        <v>0.6</v>
      </c>
      <c r="I16" s="1" t="s">
        <v>305</v>
      </c>
      <c r="K16" s="1">
        <v>3</v>
      </c>
      <c r="L16" s="2" t="s">
        <v>263</v>
      </c>
      <c r="M16" s="2" t="s">
        <v>38</v>
      </c>
      <c r="N16" s="1" t="s">
        <v>24</v>
      </c>
      <c r="O16" s="1">
        <v>1</v>
      </c>
      <c r="S16" s="1">
        <v>1</v>
      </c>
      <c r="T16" s="5">
        <v>12000</v>
      </c>
      <c r="U16" s="24">
        <v>0.38</v>
      </c>
      <c r="V16" s="26">
        <f>T16*(1-U16)</f>
        <v>7440</v>
      </c>
      <c r="W16" s="25">
        <f t="shared" si="1"/>
        <v>7440</v>
      </c>
      <c r="X16" s="6"/>
    </row>
    <row r="17" spans="1:24" x14ac:dyDescent="0.3">
      <c r="A17" t="s">
        <v>340</v>
      </c>
      <c r="B17" t="s">
        <v>360</v>
      </c>
      <c r="C17" t="s">
        <v>370</v>
      </c>
      <c r="D17" t="s">
        <v>369</v>
      </c>
      <c r="E17" s="1" t="s">
        <v>247</v>
      </c>
      <c r="F17" s="1" t="s">
        <v>50</v>
      </c>
      <c r="G17" s="2186">
        <v>3</v>
      </c>
      <c r="H17" s="2186">
        <f>VLOOKUP(G17,Pesos!A:B,2,0)</f>
        <v>0.7</v>
      </c>
      <c r="I17" s="1" t="s">
        <v>305</v>
      </c>
      <c r="K17" s="1">
        <v>10</v>
      </c>
      <c r="L17" s="1">
        <v>20</v>
      </c>
      <c r="M17" s="2" t="s">
        <v>256</v>
      </c>
      <c r="N17" s="1" t="s">
        <v>24</v>
      </c>
      <c r="O17" s="1">
        <v>15</v>
      </c>
      <c r="S17" s="1">
        <v>1</v>
      </c>
      <c r="T17" s="5">
        <v>3528</v>
      </c>
      <c r="U17" s="24">
        <v>0.69</v>
      </c>
      <c r="V17" s="26">
        <f t="shared" ref="V17:V18" si="5">T17*(1-U17)</f>
        <v>1093.6800000000003</v>
      </c>
      <c r="W17" s="25">
        <f t="shared" ref="W17" si="6">V17*S17*M17</f>
        <v>16405.200000000004</v>
      </c>
      <c r="X17" s="6"/>
    </row>
    <row r="18" spans="1:24" x14ac:dyDescent="0.3">
      <c r="A18" t="s">
        <v>342</v>
      </c>
      <c r="B18" t="s">
        <v>360</v>
      </c>
      <c r="C18" t="s">
        <v>370</v>
      </c>
      <c r="D18" t="s">
        <v>369</v>
      </c>
      <c r="E18" s="1" t="s">
        <v>41</v>
      </c>
      <c r="F18" s="1" t="s">
        <v>168</v>
      </c>
      <c r="G18" s="2186">
        <v>5</v>
      </c>
      <c r="H18" s="2186">
        <f>VLOOKUP(G18,Pesos!A:B,2,0)</f>
        <v>0.5</v>
      </c>
      <c r="I18" s="1" t="s">
        <v>305</v>
      </c>
      <c r="K18" s="1">
        <v>30</v>
      </c>
      <c r="L18" s="1">
        <v>50</v>
      </c>
      <c r="M18" s="2" t="s">
        <v>185</v>
      </c>
      <c r="N18" s="1" t="s">
        <v>63</v>
      </c>
      <c r="O18" s="1">
        <v>30</v>
      </c>
      <c r="Q18" s="1">
        <v>30</v>
      </c>
      <c r="S18" s="1">
        <v>2</v>
      </c>
      <c r="T18" s="5">
        <v>1600</v>
      </c>
      <c r="U18" s="24">
        <v>0.7</v>
      </c>
      <c r="V18" s="26">
        <f t="shared" si="5"/>
        <v>480.00000000000006</v>
      </c>
      <c r="W18" s="25">
        <f>V18*S18*M18</f>
        <v>28800.000000000004</v>
      </c>
      <c r="X18" s="6"/>
    </row>
    <row r="19" spans="1:24" x14ac:dyDescent="0.3">
      <c r="G19" s="2186"/>
      <c r="H19" s="2186"/>
      <c r="M19" s="1"/>
      <c r="R19" s="18"/>
      <c r="T19" s="5"/>
      <c r="U19" s="24"/>
      <c r="V19" s="26"/>
      <c r="W19" s="26"/>
      <c r="X19" s="6"/>
    </row>
    <row r="20" spans="1:24" x14ac:dyDescent="0.3">
      <c r="A20" t="s">
        <v>342</v>
      </c>
      <c r="B20" t="s">
        <v>360</v>
      </c>
      <c r="C20" t="s">
        <v>370</v>
      </c>
      <c r="D20" t="s">
        <v>369</v>
      </c>
      <c r="E20" s="1" t="s">
        <v>243</v>
      </c>
      <c r="F20" s="1" t="s">
        <v>208</v>
      </c>
      <c r="G20" s="2186">
        <v>2</v>
      </c>
      <c r="H20" s="2186">
        <f>VLOOKUP(G20,Pesos!A:B,2,0)</f>
        <v>0.8</v>
      </c>
      <c r="I20" s="1" t="s">
        <v>305</v>
      </c>
      <c r="K20" s="1">
        <v>6</v>
      </c>
      <c r="L20" s="1">
        <v>16</v>
      </c>
      <c r="M20" s="1">
        <v>12</v>
      </c>
      <c r="N20" s="1" t="s">
        <v>63</v>
      </c>
      <c r="O20" s="1">
        <v>12</v>
      </c>
      <c r="R20" s="6"/>
      <c r="S20" s="1">
        <v>1</v>
      </c>
      <c r="T20" s="5">
        <v>2268</v>
      </c>
      <c r="U20" s="24">
        <v>0.1</v>
      </c>
      <c r="V20" s="26">
        <f t="shared" ref="V20:V29" si="7">T20*(1-U20)</f>
        <v>2041.2</v>
      </c>
      <c r="W20" s="26">
        <f t="shared" ref="W20:W29" si="8">V20*S20*M20</f>
        <v>24494.400000000001</v>
      </c>
      <c r="X20" s="6"/>
    </row>
    <row r="21" spans="1:24" x14ac:dyDescent="0.3">
      <c r="A21" t="s">
        <v>342</v>
      </c>
      <c r="B21" t="s">
        <v>360</v>
      </c>
      <c r="C21" t="s">
        <v>370</v>
      </c>
      <c r="D21" t="s">
        <v>369</v>
      </c>
      <c r="E21" s="1" t="s">
        <v>210</v>
      </c>
      <c r="F21" s="1" t="s">
        <v>102</v>
      </c>
      <c r="G21" s="2186">
        <v>1</v>
      </c>
      <c r="H21" s="2186">
        <f>VLOOKUP(G21,Pesos!A:B,2,0)</f>
        <v>0.9</v>
      </c>
      <c r="J21" s="1" t="s">
        <v>305</v>
      </c>
      <c r="K21" s="1">
        <v>4</v>
      </c>
      <c r="L21" s="1">
        <v>8</v>
      </c>
      <c r="M21" s="1">
        <v>2</v>
      </c>
      <c r="N21" s="1" t="s">
        <v>24</v>
      </c>
      <c r="O21" s="1">
        <v>2</v>
      </c>
      <c r="R21" s="6"/>
      <c r="S21" s="1">
        <v>1</v>
      </c>
      <c r="T21" s="5">
        <v>20755</v>
      </c>
      <c r="U21" s="24">
        <v>0.6</v>
      </c>
      <c r="V21" s="26">
        <f t="shared" ref="V21:V27" si="9">T21*(1-U21)</f>
        <v>8302</v>
      </c>
      <c r="W21" s="26">
        <f t="shared" ref="W21:W27" si="10">V21*S21*M21</f>
        <v>16604</v>
      </c>
      <c r="X21" s="6"/>
    </row>
    <row r="22" spans="1:24" x14ac:dyDescent="0.3">
      <c r="A22" t="s">
        <v>342</v>
      </c>
      <c r="B22" t="s">
        <v>360</v>
      </c>
      <c r="C22" t="s">
        <v>370</v>
      </c>
      <c r="D22" t="s">
        <v>369</v>
      </c>
      <c r="E22" s="1" t="s">
        <v>243</v>
      </c>
      <c r="F22" s="1" t="s">
        <v>244</v>
      </c>
      <c r="G22" s="2186">
        <v>3</v>
      </c>
      <c r="H22" s="2186">
        <f>VLOOKUP(G22,Pesos!A:B,2,0)</f>
        <v>0.7</v>
      </c>
      <c r="I22" s="1" t="s">
        <v>305</v>
      </c>
      <c r="K22" s="1">
        <v>2</v>
      </c>
      <c r="L22" s="1">
        <v>4</v>
      </c>
      <c r="M22" s="1">
        <v>1</v>
      </c>
      <c r="N22" s="1" t="s">
        <v>63</v>
      </c>
      <c r="O22" s="1">
        <v>1</v>
      </c>
      <c r="R22" s="18"/>
      <c r="S22" s="1">
        <v>1</v>
      </c>
      <c r="T22" s="5">
        <v>6804</v>
      </c>
      <c r="U22" s="24">
        <v>0.1</v>
      </c>
      <c r="V22" s="26">
        <f t="shared" si="9"/>
        <v>6123.6</v>
      </c>
      <c r="W22" s="26">
        <f t="shared" si="10"/>
        <v>6123.6</v>
      </c>
      <c r="X22" s="6"/>
    </row>
    <row r="23" spans="1:24" x14ac:dyDescent="0.3">
      <c r="A23" t="s">
        <v>342</v>
      </c>
      <c r="B23" t="s">
        <v>360</v>
      </c>
      <c r="C23" t="s">
        <v>370</v>
      </c>
      <c r="D23" t="s">
        <v>369</v>
      </c>
      <c r="E23" s="1" t="s">
        <v>245</v>
      </c>
      <c r="F23" s="1" t="s">
        <v>102</v>
      </c>
      <c r="G23" s="2186">
        <v>1</v>
      </c>
      <c r="H23" s="2186">
        <f>VLOOKUP(G23,Pesos!A:B,2,0)</f>
        <v>0.9</v>
      </c>
      <c r="J23" s="1" t="s">
        <v>305</v>
      </c>
      <c r="K23" s="1">
        <v>4</v>
      </c>
      <c r="L23" s="1">
        <v>8</v>
      </c>
      <c r="M23" s="1">
        <v>2</v>
      </c>
      <c r="N23" s="1" t="s">
        <v>24</v>
      </c>
      <c r="O23" s="1">
        <v>2</v>
      </c>
      <c r="R23" s="18"/>
      <c r="S23" s="1">
        <v>1</v>
      </c>
      <c r="T23" s="5">
        <v>7290</v>
      </c>
      <c r="U23" s="24">
        <v>0.18</v>
      </c>
      <c r="V23" s="26">
        <f t="shared" si="9"/>
        <v>5977.8</v>
      </c>
      <c r="W23" s="26">
        <f t="shared" si="10"/>
        <v>11955.6</v>
      </c>
      <c r="X23" s="6"/>
    </row>
    <row r="24" spans="1:24" x14ac:dyDescent="0.3">
      <c r="A24" t="s">
        <v>342</v>
      </c>
      <c r="B24" t="s">
        <v>360</v>
      </c>
      <c r="C24" t="s">
        <v>370</v>
      </c>
      <c r="D24" t="s">
        <v>369</v>
      </c>
      <c r="E24" s="1" t="s">
        <v>245</v>
      </c>
      <c r="F24" s="1" t="s">
        <v>102</v>
      </c>
      <c r="G24" s="2186">
        <v>1</v>
      </c>
      <c r="H24" s="2186">
        <f>VLOOKUP(G24,Pesos!A:B,2,0)</f>
        <v>0.9</v>
      </c>
      <c r="J24" s="1" t="s">
        <v>305</v>
      </c>
      <c r="K24" s="2" t="s">
        <v>346</v>
      </c>
      <c r="L24" s="1">
        <v>8</v>
      </c>
      <c r="M24" s="1">
        <v>1</v>
      </c>
      <c r="N24" s="1" t="s">
        <v>24</v>
      </c>
      <c r="O24" s="1">
        <v>1</v>
      </c>
      <c r="S24" s="1">
        <v>1</v>
      </c>
      <c r="T24" s="5">
        <v>12670</v>
      </c>
      <c r="U24" s="24">
        <v>0.41</v>
      </c>
      <c r="V24" s="26">
        <f t="shared" si="9"/>
        <v>7475.3000000000011</v>
      </c>
      <c r="W24" s="26">
        <f t="shared" si="10"/>
        <v>7475.3000000000011</v>
      </c>
    </row>
    <row r="25" spans="1:24" x14ac:dyDescent="0.3">
      <c r="A25" t="s">
        <v>342</v>
      </c>
      <c r="B25" t="s">
        <v>360</v>
      </c>
      <c r="C25" t="s">
        <v>370</v>
      </c>
      <c r="D25" t="s">
        <v>369</v>
      </c>
      <c r="E25" s="1" t="s">
        <v>246</v>
      </c>
      <c r="F25" s="1" t="s">
        <v>102</v>
      </c>
      <c r="G25" s="2186">
        <v>1</v>
      </c>
      <c r="H25" s="2186">
        <f>VLOOKUP(G25,Pesos!A:B,2,0)</f>
        <v>0.9</v>
      </c>
      <c r="J25" s="1" t="s">
        <v>305</v>
      </c>
      <c r="K25" s="2" t="s">
        <v>346</v>
      </c>
      <c r="L25" s="1">
        <v>8</v>
      </c>
      <c r="M25" s="1">
        <v>1</v>
      </c>
      <c r="N25" s="1" t="s">
        <v>24</v>
      </c>
      <c r="O25" s="1">
        <v>1</v>
      </c>
      <c r="S25" s="1">
        <v>1</v>
      </c>
      <c r="T25" s="5">
        <v>20000</v>
      </c>
      <c r="U25" s="24">
        <v>0.53</v>
      </c>
      <c r="V25" s="26">
        <f t="shared" si="9"/>
        <v>9400</v>
      </c>
      <c r="W25" s="26">
        <f t="shared" si="10"/>
        <v>9400</v>
      </c>
    </row>
    <row r="26" spans="1:24" x14ac:dyDescent="0.3">
      <c r="A26" t="s">
        <v>342</v>
      </c>
      <c r="B26" t="s">
        <v>360</v>
      </c>
      <c r="C26" t="s">
        <v>370</v>
      </c>
      <c r="D26" t="s">
        <v>369</v>
      </c>
      <c r="E26" s="1" t="s">
        <v>246</v>
      </c>
      <c r="F26" s="1" t="s">
        <v>208</v>
      </c>
      <c r="G26" s="2186">
        <v>2</v>
      </c>
      <c r="H26" s="2186">
        <f>VLOOKUP(G26,Pesos!A:B,2,0)</f>
        <v>0.8</v>
      </c>
      <c r="I26" s="1" t="s">
        <v>305</v>
      </c>
      <c r="K26" s="2" t="s">
        <v>354</v>
      </c>
      <c r="L26" s="1">
        <v>16</v>
      </c>
      <c r="M26" s="1">
        <v>6</v>
      </c>
      <c r="N26" s="1" t="s">
        <v>63</v>
      </c>
      <c r="Q26" s="1">
        <v>6</v>
      </c>
      <c r="S26" s="1">
        <v>1</v>
      </c>
      <c r="T26" s="5">
        <v>3500</v>
      </c>
      <c r="U26" s="24">
        <v>0.49</v>
      </c>
      <c r="V26" s="26">
        <f t="shared" si="9"/>
        <v>1785</v>
      </c>
      <c r="W26" s="26">
        <f t="shared" si="10"/>
        <v>10710</v>
      </c>
    </row>
    <row r="27" spans="1:24" x14ac:dyDescent="0.3">
      <c r="A27" t="s">
        <v>342</v>
      </c>
      <c r="B27" t="s">
        <v>360</v>
      </c>
      <c r="C27" t="s">
        <v>370</v>
      </c>
      <c r="D27" t="s">
        <v>369</v>
      </c>
      <c r="E27" s="1" t="s">
        <v>246</v>
      </c>
      <c r="F27" s="1" t="s">
        <v>26</v>
      </c>
      <c r="G27" s="2186">
        <v>4</v>
      </c>
      <c r="H27" s="2186">
        <f>VLOOKUP(G27,Pesos!A:B,2,0)</f>
        <v>0.6</v>
      </c>
      <c r="I27" s="1" t="s">
        <v>305</v>
      </c>
      <c r="K27" s="2" t="s">
        <v>332</v>
      </c>
      <c r="L27" s="1">
        <v>6</v>
      </c>
      <c r="M27" s="1">
        <v>2</v>
      </c>
      <c r="N27" s="1" t="s">
        <v>24</v>
      </c>
      <c r="O27" s="1">
        <v>2</v>
      </c>
      <c r="S27" s="1">
        <v>1</v>
      </c>
      <c r="T27" s="5">
        <v>12000</v>
      </c>
      <c r="U27" s="24">
        <v>0.38</v>
      </c>
      <c r="V27" s="26">
        <f t="shared" si="9"/>
        <v>7440</v>
      </c>
      <c r="W27" s="26">
        <f t="shared" si="10"/>
        <v>14880</v>
      </c>
    </row>
    <row r="28" spans="1:24" x14ac:dyDescent="0.3">
      <c r="G28" s="2186"/>
      <c r="H28" s="2186"/>
      <c r="M28" s="1"/>
      <c r="T28" s="5"/>
      <c r="U28" s="24"/>
      <c r="V28" s="26"/>
      <c r="W28" s="26"/>
    </row>
    <row r="29" spans="1:24" x14ac:dyDescent="0.3">
      <c r="A29" t="s">
        <v>343</v>
      </c>
      <c r="B29" t="s">
        <v>360</v>
      </c>
      <c r="C29" t="s">
        <v>370</v>
      </c>
      <c r="D29" t="s">
        <v>369</v>
      </c>
      <c r="E29" s="1" t="s">
        <v>243</v>
      </c>
      <c r="F29" s="1" t="s">
        <v>208</v>
      </c>
      <c r="G29" s="2186">
        <v>2</v>
      </c>
      <c r="H29" s="2186">
        <f>VLOOKUP(G29,Pesos!A:B,2,0)</f>
        <v>0.8</v>
      </c>
      <c r="I29" s="1" t="s">
        <v>305</v>
      </c>
      <c r="K29" s="1">
        <v>6</v>
      </c>
      <c r="L29" s="1">
        <v>16</v>
      </c>
      <c r="M29" s="1">
        <v>8</v>
      </c>
      <c r="N29" s="1" t="s">
        <v>63</v>
      </c>
      <c r="O29" s="1">
        <v>8</v>
      </c>
      <c r="S29" s="1">
        <v>1</v>
      </c>
      <c r="T29" s="5">
        <v>2268</v>
      </c>
      <c r="U29" s="24">
        <v>0.1</v>
      </c>
      <c r="V29" s="26">
        <f t="shared" si="7"/>
        <v>2041.2</v>
      </c>
      <c r="W29" s="26">
        <f t="shared" si="8"/>
        <v>16329.6</v>
      </c>
    </row>
    <row r="30" spans="1:24" x14ac:dyDescent="0.3">
      <c r="A30" t="s">
        <v>343</v>
      </c>
      <c r="B30" t="s">
        <v>360</v>
      </c>
      <c r="C30" t="s">
        <v>370</v>
      </c>
      <c r="D30" t="s">
        <v>369</v>
      </c>
      <c r="E30" s="1" t="s">
        <v>210</v>
      </c>
      <c r="F30" s="1" t="s">
        <v>102</v>
      </c>
      <c r="G30" s="2186">
        <v>1</v>
      </c>
      <c r="H30" s="2186">
        <f>VLOOKUP(G30,Pesos!A:B,2,0)</f>
        <v>0.9</v>
      </c>
      <c r="J30" s="1" t="s">
        <v>305</v>
      </c>
      <c r="K30" s="1">
        <v>4</v>
      </c>
      <c r="L30" s="1">
        <v>8</v>
      </c>
      <c r="M30" s="1">
        <v>2</v>
      </c>
      <c r="N30" s="1" t="s">
        <v>24</v>
      </c>
      <c r="O30" s="1">
        <v>2</v>
      </c>
      <c r="S30" s="1">
        <v>1</v>
      </c>
      <c r="T30" s="5">
        <v>20755</v>
      </c>
      <c r="U30" s="24">
        <v>0.6</v>
      </c>
      <c r="V30" s="26">
        <f t="shared" ref="V30:V35" si="11">T30*(1-U30)</f>
        <v>8302</v>
      </c>
      <c r="W30" s="26">
        <f t="shared" ref="W30:W35" si="12">V30*S30*M30</f>
        <v>16604</v>
      </c>
    </row>
    <row r="31" spans="1:24" x14ac:dyDescent="0.3">
      <c r="A31" t="s">
        <v>343</v>
      </c>
      <c r="B31" t="s">
        <v>360</v>
      </c>
      <c r="C31" t="s">
        <v>370</v>
      </c>
      <c r="D31" t="s">
        <v>369</v>
      </c>
      <c r="E31" s="1" t="s">
        <v>245</v>
      </c>
      <c r="F31" s="1" t="s">
        <v>102</v>
      </c>
      <c r="G31" s="2186">
        <v>1</v>
      </c>
      <c r="H31" s="2186">
        <f>VLOOKUP(G31,Pesos!A:B,2,0)</f>
        <v>0.9</v>
      </c>
      <c r="J31" s="1" t="s">
        <v>305</v>
      </c>
      <c r="K31" s="1">
        <v>4</v>
      </c>
      <c r="L31" s="1">
        <v>8</v>
      </c>
      <c r="M31" s="1">
        <v>2</v>
      </c>
      <c r="N31" s="1" t="s">
        <v>24</v>
      </c>
      <c r="O31" s="1">
        <v>2</v>
      </c>
      <c r="S31" s="1">
        <v>1</v>
      </c>
      <c r="T31" s="5">
        <v>7290</v>
      </c>
      <c r="U31" s="24">
        <v>0.18</v>
      </c>
      <c r="V31" s="26">
        <f t="shared" si="11"/>
        <v>5977.8</v>
      </c>
      <c r="W31" s="26">
        <f t="shared" si="12"/>
        <v>11955.6</v>
      </c>
    </row>
    <row r="32" spans="1:24" x14ac:dyDescent="0.3">
      <c r="A32" t="s">
        <v>343</v>
      </c>
      <c r="B32" t="s">
        <v>360</v>
      </c>
      <c r="C32" t="s">
        <v>370</v>
      </c>
      <c r="D32" t="s">
        <v>369</v>
      </c>
      <c r="E32" s="1" t="s">
        <v>245</v>
      </c>
      <c r="F32" s="1" t="s">
        <v>102</v>
      </c>
      <c r="G32" s="2186">
        <v>1</v>
      </c>
      <c r="H32" s="2186">
        <f>VLOOKUP(G32,Pesos!A:B,2,0)</f>
        <v>0.9</v>
      </c>
      <c r="J32" s="1" t="s">
        <v>305</v>
      </c>
      <c r="K32" s="1">
        <v>4</v>
      </c>
      <c r="L32" s="1">
        <v>8</v>
      </c>
      <c r="M32" s="1">
        <v>1</v>
      </c>
      <c r="N32" s="1" t="s">
        <v>24</v>
      </c>
      <c r="O32" s="1">
        <v>1</v>
      </c>
      <c r="S32" s="1">
        <v>1</v>
      </c>
      <c r="T32" s="5">
        <v>12670</v>
      </c>
      <c r="U32" s="24">
        <v>0.41</v>
      </c>
      <c r="V32" s="26">
        <f t="shared" si="11"/>
        <v>7475.3000000000011</v>
      </c>
      <c r="W32" s="26">
        <f t="shared" si="12"/>
        <v>7475.3000000000011</v>
      </c>
    </row>
    <row r="33" spans="1:23" x14ac:dyDescent="0.3">
      <c r="A33" t="s">
        <v>343</v>
      </c>
      <c r="B33" t="s">
        <v>360</v>
      </c>
      <c r="C33" t="s">
        <v>370</v>
      </c>
      <c r="D33" t="s">
        <v>369</v>
      </c>
      <c r="E33" s="1" t="s">
        <v>246</v>
      </c>
      <c r="F33" s="1" t="s">
        <v>102</v>
      </c>
      <c r="G33" s="2186">
        <v>1</v>
      </c>
      <c r="H33" s="2186">
        <f>VLOOKUP(G33,Pesos!A:B,2,0)</f>
        <v>0.9</v>
      </c>
      <c r="J33" s="1" t="s">
        <v>305</v>
      </c>
      <c r="K33" s="1">
        <v>4</v>
      </c>
      <c r="L33" s="1">
        <v>8</v>
      </c>
      <c r="M33" s="1">
        <v>1</v>
      </c>
      <c r="N33" s="1" t="s">
        <v>24</v>
      </c>
      <c r="O33" s="1">
        <v>2</v>
      </c>
      <c r="S33" s="1">
        <v>1</v>
      </c>
      <c r="T33" s="5">
        <v>20000</v>
      </c>
      <c r="U33" s="24">
        <v>0.53</v>
      </c>
      <c r="V33" s="26">
        <f t="shared" si="11"/>
        <v>9400</v>
      </c>
      <c r="W33" s="26">
        <f t="shared" si="12"/>
        <v>9400</v>
      </c>
    </row>
    <row r="34" spans="1:23" x14ac:dyDescent="0.3">
      <c r="A34" t="s">
        <v>343</v>
      </c>
      <c r="B34" t="s">
        <v>360</v>
      </c>
      <c r="C34" t="s">
        <v>370</v>
      </c>
      <c r="D34" t="s">
        <v>369</v>
      </c>
      <c r="E34" s="1" t="s">
        <v>246</v>
      </c>
      <c r="F34" s="1" t="s">
        <v>208</v>
      </c>
      <c r="G34" s="2186">
        <v>2</v>
      </c>
      <c r="H34" s="2186">
        <f>VLOOKUP(G34,Pesos!A:B,2,0)</f>
        <v>0.8</v>
      </c>
      <c r="I34" s="1" t="s">
        <v>305</v>
      </c>
      <c r="K34" s="1">
        <v>6</v>
      </c>
      <c r="L34" s="1">
        <v>16</v>
      </c>
      <c r="M34" s="1">
        <v>3</v>
      </c>
      <c r="N34" s="1" t="s">
        <v>63</v>
      </c>
      <c r="Q34" s="1">
        <v>3</v>
      </c>
      <c r="S34" s="1">
        <v>1</v>
      </c>
      <c r="T34" s="5">
        <v>3500</v>
      </c>
      <c r="U34" s="24">
        <v>0.49</v>
      </c>
      <c r="V34" s="26">
        <f t="shared" si="11"/>
        <v>1785</v>
      </c>
      <c r="W34" s="26">
        <f t="shared" si="12"/>
        <v>5355</v>
      </c>
    </row>
    <row r="35" spans="1:23" x14ac:dyDescent="0.3">
      <c r="A35" t="s">
        <v>343</v>
      </c>
      <c r="B35" t="s">
        <v>360</v>
      </c>
      <c r="C35" t="s">
        <v>370</v>
      </c>
      <c r="D35" t="s">
        <v>369</v>
      </c>
      <c r="E35" s="1" t="s">
        <v>41</v>
      </c>
      <c r="F35" s="1" t="s">
        <v>168</v>
      </c>
      <c r="G35" s="2186">
        <v>3</v>
      </c>
      <c r="H35" s="2186">
        <f>VLOOKUP(G35,Pesos!A:B,2,0)</f>
        <v>0.7</v>
      </c>
      <c r="I35" s="1" t="s">
        <v>305</v>
      </c>
      <c r="K35" s="1">
        <v>30</v>
      </c>
      <c r="L35" s="1">
        <v>50</v>
      </c>
      <c r="M35" s="1">
        <v>30</v>
      </c>
      <c r="N35" s="1" t="s">
        <v>63</v>
      </c>
      <c r="O35" s="1">
        <v>30</v>
      </c>
      <c r="Q35" s="1">
        <v>30</v>
      </c>
      <c r="S35" s="1">
        <v>2</v>
      </c>
      <c r="T35" s="5">
        <v>1600</v>
      </c>
      <c r="U35" s="24">
        <v>0.7</v>
      </c>
      <c r="V35" s="26">
        <f t="shared" si="11"/>
        <v>480.00000000000006</v>
      </c>
      <c r="W35" s="26">
        <f t="shared" si="12"/>
        <v>28800.000000000004</v>
      </c>
    </row>
    <row r="36" spans="1:23" x14ac:dyDescent="0.3">
      <c r="G36" s="2186"/>
      <c r="H36" s="2186"/>
      <c r="M36" s="1"/>
      <c r="T36" s="5"/>
      <c r="U36" s="24"/>
      <c r="V36" s="26"/>
      <c r="W36" s="26"/>
    </row>
    <row r="37" spans="1:23" x14ac:dyDescent="0.3">
      <c r="A37" t="s">
        <v>326</v>
      </c>
      <c r="B37" t="s">
        <v>360</v>
      </c>
      <c r="C37" t="s">
        <v>370</v>
      </c>
      <c r="D37" t="s">
        <v>369</v>
      </c>
      <c r="E37" s="1" t="s">
        <v>243</v>
      </c>
      <c r="F37" s="1" t="s">
        <v>208</v>
      </c>
      <c r="G37" s="2186">
        <v>2</v>
      </c>
      <c r="H37" s="2186">
        <f>VLOOKUP(G37,Pesos!A:B,2,0)</f>
        <v>0.8</v>
      </c>
      <c r="I37" s="1" t="s">
        <v>305</v>
      </c>
      <c r="K37" s="1">
        <v>6</v>
      </c>
      <c r="L37" s="1">
        <v>16</v>
      </c>
      <c r="M37" s="1">
        <v>10</v>
      </c>
      <c r="N37" s="1" t="s">
        <v>63</v>
      </c>
      <c r="O37" s="1">
        <v>8</v>
      </c>
      <c r="S37" s="1">
        <v>1</v>
      </c>
      <c r="T37" s="5">
        <v>2268</v>
      </c>
      <c r="U37" s="24">
        <v>0.1</v>
      </c>
      <c r="V37" s="26">
        <f t="shared" ref="V37:V39" si="13">T37*(1-U37)</f>
        <v>2041.2</v>
      </c>
      <c r="W37" s="26">
        <f t="shared" ref="W37:W39" si="14">V37*S37*M37</f>
        <v>20412</v>
      </c>
    </row>
    <row r="38" spans="1:23" x14ac:dyDescent="0.3">
      <c r="A38" t="s">
        <v>326</v>
      </c>
      <c r="B38" t="s">
        <v>360</v>
      </c>
      <c r="C38" t="s">
        <v>370</v>
      </c>
      <c r="D38" t="s">
        <v>369</v>
      </c>
      <c r="E38" s="1" t="s">
        <v>245</v>
      </c>
      <c r="F38" s="1" t="s">
        <v>102</v>
      </c>
      <c r="G38" s="2186">
        <v>1</v>
      </c>
      <c r="H38" s="2186">
        <f>VLOOKUP(G38,Pesos!A:B,2,0)</f>
        <v>0.9</v>
      </c>
      <c r="J38" s="1" t="s">
        <v>305</v>
      </c>
      <c r="K38" s="1">
        <v>4</v>
      </c>
      <c r="L38" s="1">
        <v>8</v>
      </c>
      <c r="M38" s="1">
        <v>2</v>
      </c>
      <c r="N38" s="1" t="s">
        <v>24</v>
      </c>
      <c r="O38" s="1">
        <v>2</v>
      </c>
      <c r="S38" s="1">
        <v>1</v>
      </c>
      <c r="T38" s="5">
        <v>7290</v>
      </c>
      <c r="U38" s="24">
        <v>0.18</v>
      </c>
      <c r="V38" s="26">
        <f t="shared" si="13"/>
        <v>5977.8</v>
      </c>
      <c r="W38" s="26">
        <f t="shared" si="14"/>
        <v>11955.6</v>
      </c>
    </row>
    <row r="39" spans="1:23" x14ac:dyDescent="0.3">
      <c r="A39" t="s">
        <v>326</v>
      </c>
      <c r="B39" t="s">
        <v>360</v>
      </c>
      <c r="C39" t="s">
        <v>370</v>
      </c>
      <c r="D39" t="s">
        <v>369</v>
      </c>
      <c r="E39" s="1" t="s">
        <v>246</v>
      </c>
      <c r="F39" s="1" t="s">
        <v>208</v>
      </c>
      <c r="G39" s="2186">
        <v>2</v>
      </c>
      <c r="H39" s="2186">
        <f>VLOOKUP(G39,Pesos!A:B,2,0)</f>
        <v>0.8</v>
      </c>
      <c r="I39" s="1" t="s">
        <v>305</v>
      </c>
      <c r="K39" s="1">
        <v>6</v>
      </c>
      <c r="L39" s="1">
        <v>16</v>
      </c>
      <c r="M39" s="1">
        <v>5</v>
      </c>
      <c r="N39" s="1" t="s">
        <v>63</v>
      </c>
      <c r="Q39" s="1">
        <v>2</v>
      </c>
      <c r="S39" s="1">
        <v>1</v>
      </c>
      <c r="T39" s="5">
        <v>3500</v>
      </c>
      <c r="U39" s="24">
        <v>0.49</v>
      </c>
      <c r="V39" s="26">
        <f t="shared" si="13"/>
        <v>1785</v>
      </c>
      <c r="W39" s="26">
        <f t="shared" si="14"/>
        <v>8925</v>
      </c>
    </row>
    <row r="40" spans="1:23" x14ac:dyDescent="0.3">
      <c r="M40" s="1"/>
      <c r="T40" s="5"/>
      <c r="U40" s="24"/>
      <c r="V40" s="26"/>
      <c r="W40" s="26"/>
    </row>
    <row r="41" spans="1:23" x14ac:dyDescent="0.3">
      <c r="M41" s="1"/>
      <c r="T41" s="5"/>
      <c r="U41" s="24"/>
      <c r="V41" s="26"/>
      <c r="W41" s="26"/>
    </row>
    <row r="42" spans="1:23" x14ac:dyDescent="0.3">
      <c r="M42" s="1"/>
      <c r="T42" s="28"/>
      <c r="U42" s="29"/>
      <c r="V42" s="26"/>
      <c r="W42" s="26"/>
    </row>
    <row r="43" spans="1:23" x14ac:dyDescent="0.3">
      <c r="M43" s="1"/>
      <c r="T43" s="28"/>
      <c r="U43" s="29"/>
      <c r="V43" s="26"/>
      <c r="W43" s="26"/>
    </row>
    <row r="44" spans="1:23" x14ac:dyDescent="0.3">
      <c r="M44" s="1"/>
      <c r="T44" s="26"/>
      <c r="U44" s="24"/>
      <c r="V44" s="26"/>
      <c r="W44" s="26"/>
    </row>
    <row r="45" spans="1:23" x14ac:dyDescent="0.3">
      <c r="M45" s="1"/>
      <c r="T45" s="26"/>
      <c r="U45" s="24"/>
      <c r="V45" s="26"/>
      <c r="W45" s="26"/>
    </row>
    <row r="46" spans="1:23" x14ac:dyDescent="0.3">
      <c r="A46" s="47"/>
      <c r="D46" s="43" t="s">
        <v>1158</v>
      </c>
      <c r="E46" s="43" t="s">
        <v>1159</v>
      </c>
      <c r="F46" s="43" t="s">
        <v>1160</v>
      </c>
      <c r="G46" s="43"/>
      <c r="M46" s="1"/>
      <c r="T46" s="26"/>
      <c r="U46" s="24"/>
      <c r="V46" s="26"/>
      <c r="W46" s="26"/>
    </row>
    <row r="47" spans="1:23" x14ac:dyDescent="0.3">
      <c r="A47" s="47" t="s">
        <v>1161</v>
      </c>
      <c r="B47" s="2174"/>
      <c r="C47" s="2174"/>
      <c r="D47" s="2181">
        <f>E47*(1-10%)</f>
        <v>4222.2648648648646</v>
      </c>
      <c r="E47" s="427">
        <f>'SAO LUIS'!S51</f>
        <v>4691.405405405405</v>
      </c>
      <c r="F47" s="427">
        <f>E47*(1+15%)</f>
        <v>5395.1162162162154</v>
      </c>
      <c r="G47" s="427"/>
      <c r="M47" s="1"/>
      <c r="T47" s="28"/>
      <c r="U47" s="29"/>
      <c r="V47" s="26"/>
      <c r="W47" s="26"/>
    </row>
    <row r="48" spans="1:23" x14ac:dyDescent="0.3">
      <c r="A48" s="47" t="s">
        <v>1162</v>
      </c>
      <c r="B48" s="2174"/>
      <c r="C48" s="2174"/>
      <c r="D48" s="2181">
        <f>E48*(1-25%)</f>
        <v>1199.0408256880733</v>
      </c>
      <c r="E48" s="427">
        <f>'SAO LUIS'!S80</f>
        <v>1598.7211009174312</v>
      </c>
      <c r="F48" s="427">
        <f>E48*(1+5%)</f>
        <v>1678.6571559633028</v>
      </c>
      <c r="G48" s="427"/>
      <c r="M48" s="1"/>
      <c r="T48" s="28"/>
      <c r="U48" s="29"/>
      <c r="V48" s="26"/>
      <c r="W48" s="26"/>
    </row>
    <row r="49" spans="1:23" x14ac:dyDescent="0.3">
      <c r="A49" s="47" t="s">
        <v>550</v>
      </c>
      <c r="B49" s="2174"/>
      <c r="C49" s="2174"/>
      <c r="D49" s="2181">
        <f>E49*(1-15%)</f>
        <v>3514.6838888888888</v>
      </c>
      <c r="E49" s="427">
        <f>'SAO LUIS'!S114</f>
        <v>4134.9222222222224</v>
      </c>
      <c r="F49" s="427">
        <f>E49*(1+15%)</f>
        <v>4755.1605555555552</v>
      </c>
      <c r="G49" s="427"/>
      <c r="M49" s="1"/>
      <c r="T49" s="28"/>
      <c r="U49" s="29"/>
      <c r="V49" s="26"/>
      <c r="W49" s="26"/>
    </row>
    <row r="50" spans="1:23" x14ac:dyDescent="0.3">
      <c r="A50" s="47" t="s">
        <v>679</v>
      </c>
      <c r="B50" s="2174"/>
      <c r="C50" s="2174"/>
      <c r="D50" s="2181">
        <f>E50*(1-25%)</f>
        <v>1076.1490384615383</v>
      </c>
      <c r="E50" s="427">
        <f>'SAO LUIS'!S141</f>
        <v>1434.8653846153845</v>
      </c>
      <c r="F50" s="427">
        <f>E50*(1+5%)</f>
        <v>1506.6086538461539</v>
      </c>
      <c r="G50" s="427"/>
    </row>
    <row r="51" spans="1:23" x14ac:dyDescent="0.3">
      <c r="A51" s="47" t="s">
        <v>568</v>
      </c>
      <c r="B51" s="2174"/>
      <c r="C51" s="2174"/>
      <c r="D51" s="2181">
        <f>E51*(1-25%)</f>
        <v>2893.2874999999999</v>
      </c>
      <c r="E51" s="427">
        <f>'SAO LUIS'!S168</f>
        <v>3857.7166666666667</v>
      </c>
      <c r="F51" s="427">
        <f>E51*(1+5%)</f>
        <v>4050.6025000000004</v>
      </c>
      <c r="G51" s="427"/>
    </row>
    <row r="52" spans="1:23" x14ac:dyDescent="0.3">
      <c r="A52" s="47"/>
      <c r="B52" s="47"/>
      <c r="C52" s="47"/>
      <c r="D52" s="48"/>
    </row>
    <row r="53" spans="1:23" x14ac:dyDescent="0.3">
      <c r="A53" s="47"/>
      <c r="B53" s="46"/>
      <c r="C53" s="46"/>
      <c r="D53" s="2314" t="s">
        <v>1163</v>
      </c>
      <c r="E53" s="2315"/>
      <c r="F53" s="2315"/>
      <c r="G53" s="2316"/>
    </row>
    <row r="54" spans="1:23" x14ac:dyDescent="0.3">
      <c r="A54" s="47" t="s">
        <v>1161</v>
      </c>
      <c r="B54" s="2175"/>
      <c r="C54" s="2175"/>
      <c r="D54" s="3">
        <v>0.78378378378378377</v>
      </c>
      <c r="E54" s="3"/>
      <c r="F54" s="3">
        <v>0.21621621621621623</v>
      </c>
      <c r="G54" s="3"/>
    </row>
    <row r="55" spans="1:23" x14ac:dyDescent="0.3">
      <c r="A55" s="47" t="s">
        <v>1162</v>
      </c>
      <c r="B55" s="2175"/>
      <c r="C55" s="2175"/>
      <c r="D55" s="2175">
        <v>0.6330275229357798</v>
      </c>
      <c r="E55" s="304"/>
      <c r="F55" s="304">
        <v>0.3669724770642202</v>
      </c>
      <c r="G55" s="304"/>
    </row>
    <row r="56" spans="1:23" x14ac:dyDescent="0.3">
      <c r="A56" s="47" t="s">
        <v>550</v>
      </c>
      <c r="B56" s="2175"/>
      <c r="C56" s="2175"/>
      <c r="D56" s="2175">
        <v>0.77777777777777779</v>
      </c>
      <c r="E56" s="304"/>
      <c r="F56" s="304">
        <v>0.22222222222222221</v>
      </c>
      <c r="G56" s="304"/>
    </row>
    <row r="57" spans="1:23" x14ac:dyDescent="0.3">
      <c r="A57" s="47" t="s">
        <v>679</v>
      </c>
      <c r="B57" s="2175"/>
      <c r="C57" s="2175"/>
      <c r="D57" s="2175">
        <v>0.57692307692307687</v>
      </c>
      <c r="E57" s="304"/>
      <c r="F57" s="304">
        <v>0.42307692307692307</v>
      </c>
      <c r="G57" s="304"/>
    </row>
    <row r="58" spans="1:23" x14ac:dyDescent="0.3">
      <c r="A58" s="47" t="s">
        <v>568</v>
      </c>
      <c r="B58" s="47"/>
      <c r="C58" s="47"/>
      <c r="D58" s="2175">
        <v>0.83333333333333337</v>
      </c>
      <c r="E58" s="3"/>
      <c r="F58" s="304">
        <v>0.16666666666666666</v>
      </c>
    </row>
    <row r="59" spans="1:23" x14ac:dyDescent="0.3">
      <c r="A59" s="47"/>
      <c r="B59" s="47"/>
      <c r="C59" s="47"/>
      <c r="D59" s="48"/>
    </row>
    <row r="60" spans="1:23" x14ac:dyDescent="0.3">
      <c r="A60" s="47"/>
      <c r="B60" s="47"/>
      <c r="C60" s="47"/>
      <c r="D60" s="48"/>
    </row>
    <row r="61" spans="1:23" x14ac:dyDescent="0.3">
      <c r="A61" s="47"/>
      <c r="B61" s="47"/>
      <c r="C61" s="47"/>
      <c r="D61" s="48"/>
    </row>
    <row r="62" spans="1:23" x14ac:dyDescent="0.3">
      <c r="A62" s="47"/>
      <c r="B62" s="46"/>
      <c r="C62" s="46"/>
      <c r="D62" s="2314" t="s">
        <v>1164</v>
      </c>
      <c r="E62" s="2315"/>
      <c r="F62" s="2315"/>
      <c r="G62" s="2316"/>
    </row>
    <row r="63" spans="1:23" x14ac:dyDescent="0.3">
      <c r="A63" s="47" t="s">
        <v>1161</v>
      </c>
      <c r="B63" s="2175"/>
      <c r="C63" s="2175"/>
      <c r="D63" s="2175">
        <v>0.29591836734693877</v>
      </c>
      <c r="E63" s="2175">
        <v>0.29591836734693877</v>
      </c>
      <c r="F63" s="2175">
        <v>0.20408163265306123</v>
      </c>
      <c r="G63" s="2175">
        <v>0.20408163265306123</v>
      </c>
    </row>
    <row r="64" spans="1:23" x14ac:dyDescent="0.3">
      <c r="A64" s="47" t="s">
        <v>1162</v>
      </c>
      <c r="B64" s="6"/>
      <c r="C64" s="6"/>
      <c r="D64" s="6">
        <v>0.26136363636363635</v>
      </c>
      <c r="E64" s="2175">
        <v>0.26136363636363635</v>
      </c>
      <c r="F64" s="2175">
        <v>0.23863636363636365</v>
      </c>
      <c r="G64" s="2175">
        <v>0.23863636363636365</v>
      </c>
    </row>
    <row r="65" spans="1:7" x14ac:dyDescent="0.3">
      <c r="A65" s="47" t="s">
        <v>550</v>
      </c>
      <c r="B65" s="2175"/>
      <c r="C65" s="2175"/>
      <c r="D65" s="2175">
        <v>0.375</v>
      </c>
      <c r="E65" s="2175">
        <v>0.375</v>
      </c>
      <c r="F65" s="2175">
        <v>0.25</v>
      </c>
      <c r="G65" s="2175"/>
    </row>
    <row r="66" spans="1:7" x14ac:dyDescent="0.3">
      <c r="A66" s="47" t="s">
        <v>679</v>
      </c>
      <c r="B66" s="2175"/>
      <c r="C66" s="2175"/>
      <c r="D66" s="6">
        <v>0.34615384615384615</v>
      </c>
      <c r="E66" s="6">
        <v>0.34615384615384615</v>
      </c>
      <c r="F66" s="6">
        <v>0.30769230769230771</v>
      </c>
      <c r="G66" s="2200"/>
    </row>
    <row r="67" spans="1:7" x14ac:dyDescent="0.3">
      <c r="A67" s="47" t="s">
        <v>568</v>
      </c>
      <c r="B67" s="47"/>
      <c r="C67" s="47"/>
      <c r="D67" s="6">
        <v>0.41666666666666669</v>
      </c>
      <c r="E67" s="2175">
        <v>0.41666666666666669</v>
      </c>
      <c r="F67" s="2175">
        <v>0.16666666666666666</v>
      </c>
      <c r="G67" s="2175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F202"/>
  <sheetViews>
    <sheetView workbookViewId="0"/>
  </sheetViews>
  <sheetFormatPr defaultRowHeight="14.4" x14ac:dyDescent="0.3"/>
  <sheetData>
    <row r="1" spans="1:5" ht="21" x14ac:dyDescent="0.4">
      <c r="A1" s="92" t="s">
        <v>1091</v>
      </c>
    </row>
    <row r="2" spans="1:5" x14ac:dyDescent="0.3">
      <c r="A2" t="s">
        <v>452</v>
      </c>
    </row>
    <row r="4" spans="1:5" x14ac:dyDescent="0.3">
      <c r="B4" s="95"/>
    </row>
    <row r="5" spans="1:5" x14ac:dyDescent="0.3">
      <c r="B5" s="96"/>
      <c r="C5" s="603"/>
    </row>
    <row r="6" spans="1:5" x14ac:dyDescent="0.3">
      <c r="A6" s="100" t="s">
        <v>1092</v>
      </c>
      <c r="B6" s="101">
        <v>470420.8</v>
      </c>
      <c r="C6" s="102"/>
    </row>
    <row r="7" spans="1:5" x14ac:dyDescent="0.3">
      <c r="A7" s="100" t="s">
        <v>1093</v>
      </c>
      <c r="B7" s="101">
        <v>672594.74</v>
      </c>
      <c r="C7" s="97"/>
    </row>
    <row r="8" spans="1:5" x14ac:dyDescent="0.3">
      <c r="C8" s="97"/>
    </row>
    <row r="9" spans="1:5" x14ac:dyDescent="0.3">
      <c r="A9" s="103" t="s">
        <v>1094</v>
      </c>
      <c r="B9" s="104">
        <v>1293476.05</v>
      </c>
      <c r="C9" s="105"/>
    </row>
    <row r="10" spans="1:5" x14ac:dyDescent="0.3">
      <c r="A10" s="100" t="s">
        <v>1095</v>
      </c>
      <c r="B10" s="101">
        <v>1771885</v>
      </c>
      <c r="C10" s="3"/>
    </row>
    <row r="13" spans="1:5" x14ac:dyDescent="0.3">
      <c r="A13" s="4" t="s">
        <v>457</v>
      </c>
    </row>
    <row r="14" spans="1:5" x14ac:dyDescent="0.3">
      <c r="A14" s="106" t="s">
        <v>458</v>
      </c>
      <c r="B14" s="106"/>
      <c r="C14" s="106" t="s">
        <v>459</v>
      </c>
      <c r="D14" s="106" t="s">
        <v>460</v>
      </c>
      <c r="E14" s="106" t="s">
        <v>461</v>
      </c>
    </row>
    <row r="15" spans="1:5" x14ac:dyDescent="0.3">
      <c r="A15" s="107" t="s">
        <v>606</v>
      </c>
      <c r="B15" s="108" t="s">
        <v>463</v>
      </c>
      <c r="C15" s="109">
        <v>0.43</v>
      </c>
      <c r="D15" s="110">
        <v>556194.70149999997</v>
      </c>
      <c r="E15" s="110">
        <v>185398.23383333333</v>
      </c>
    </row>
    <row r="16" spans="1:5" x14ac:dyDescent="0.3">
      <c r="A16" s="107" t="s">
        <v>607</v>
      </c>
      <c r="B16" s="108" t="s">
        <v>465</v>
      </c>
      <c r="C16" s="109">
        <v>0.44</v>
      </c>
      <c r="D16" s="110">
        <v>569129.46200000006</v>
      </c>
      <c r="E16" s="110">
        <v>113825.89240000001</v>
      </c>
    </row>
    <row r="17" spans="1:32" x14ac:dyDescent="0.3">
      <c r="A17" s="107" t="s">
        <v>608</v>
      </c>
      <c r="B17" s="108">
        <v>3</v>
      </c>
      <c r="C17" s="109">
        <v>0.13</v>
      </c>
      <c r="D17" s="110">
        <v>168151.88650000002</v>
      </c>
      <c r="E17" s="110">
        <v>56050.628833333343</v>
      </c>
    </row>
    <row r="18" spans="1:32" x14ac:dyDescent="0.3">
      <c r="B18" s="1" t="s">
        <v>467</v>
      </c>
      <c r="C18" s="3">
        <v>1</v>
      </c>
      <c r="D18" s="112">
        <v>1293476.05</v>
      </c>
    </row>
    <row r="21" spans="1:32" x14ac:dyDescent="0.3">
      <c r="A21" s="100" t="s">
        <v>769</v>
      </c>
      <c r="B21" s="769">
        <v>833932</v>
      </c>
      <c r="Q21" s="115"/>
    </row>
    <row r="22" spans="1:32" x14ac:dyDescent="0.3">
      <c r="A22" s="714" t="s">
        <v>579</v>
      </c>
      <c r="B22" s="770">
        <v>398911</v>
      </c>
      <c r="E22" s="1" t="s">
        <v>470</v>
      </c>
      <c r="F22" s="2" t="s">
        <v>1082</v>
      </c>
      <c r="H22" s="1" t="s">
        <v>472</v>
      </c>
      <c r="J22" s="304">
        <v>0.4</v>
      </c>
      <c r="K22" s="304"/>
      <c r="L22" s="304"/>
    </row>
    <row r="23" spans="1:32" x14ac:dyDescent="0.3">
      <c r="E23" s="1" t="s">
        <v>473</v>
      </c>
      <c r="F23" s="2" t="s">
        <v>162</v>
      </c>
      <c r="H23" s="1" t="s">
        <v>473</v>
      </c>
      <c r="J23" s="1">
        <v>23</v>
      </c>
      <c r="K23" s="1"/>
      <c r="L23" s="1"/>
    </row>
    <row r="24" spans="1:32" x14ac:dyDescent="0.3">
      <c r="E24" s="1" t="s">
        <v>475</v>
      </c>
      <c r="F24" s="2" t="s">
        <v>1096</v>
      </c>
      <c r="H24" s="1" t="s">
        <v>475</v>
      </c>
      <c r="J24" s="95">
        <v>916</v>
      </c>
      <c r="K24" s="95"/>
      <c r="L24" s="95"/>
      <c r="P24" s="115"/>
    </row>
    <row r="25" spans="1:32" x14ac:dyDescent="0.3">
      <c r="E25" s="1" t="s">
        <v>477</v>
      </c>
      <c r="F25" s="2" t="s">
        <v>1097</v>
      </c>
      <c r="H25" s="1" t="s">
        <v>477</v>
      </c>
      <c r="J25" s="95">
        <v>3654333</v>
      </c>
      <c r="K25" s="95"/>
      <c r="L25" s="95"/>
      <c r="O25" s="98"/>
      <c r="S25" s="116"/>
    </row>
    <row r="26" spans="1:32" ht="18" x14ac:dyDescent="0.35">
      <c r="A26" s="1037" t="s">
        <v>479</v>
      </c>
      <c r="O26" s="98"/>
      <c r="P26" s="117"/>
    </row>
    <row r="27" spans="1:32" x14ac:dyDescent="0.3">
      <c r="O27" s="119"/>
    </row>
    <row r="28" spans="1:32" x14ac:dyDescent="0.3">
      <c r="A28" s="2587" t="s">
        <v>480</v>
      </c>
      <c r="B28" s="2588"/>
      <c r="C28" s="2588"/>
      <c r="D28" s="2588"/>
      <c r="E28" s="2588"/>
      <c r="F28" s="2588"/>
      <c r="G28" s="2588"/>
      <c r="H28" s="2588"/>
      <c r="I28" s="2588"/>
      <c r="J28" s="2588"/>
      <c r="K28" s="2588"/>
      <c r="L28" s="2588"/>
      <c r="M28" s="2588"/>
      <c r="N28" s="2588"/>
      <c r="O28" s="2588"/>
      <c r="P28" s="2588"/>
      <c r="Q28" s="2588"/>
      <c r="R28" s="2589"/>
      <c r="S28" s="2563" t="s">
        <v>584</v>
      </c>
      <c r="T28" s="2564"/>
      <c r="U28" s="2564"/>
      <c r="V28" s="2564"/>
      <c r="W28" s="2564"/>
      <c r="X28" s="2564"/>
      <c r="Y28" s="2564"/>
      <c r="Z28" s="2564"/>
      <c r="AA28" s="2564"/>
      <c r="AB28" s="2564"/>
      <c r="AC28" s="2564"/>
      <c r="AD28" s="2564"/>
      <c r="AE28" s="2564"/>
      <c r="AF28" s="2576"/>
    </row>
    <row r="29" spans="1:32" ht="18" x14ac:dyDescent="0.3">
      <c r="A29" s="2722" t="s">
        <v>482</v>
      </c>
      <c r="B29" s="2723" t="s">
        <v>483</v>
      </c>
      <c r="C29" s="2723" t="s">
        <v>484</v>
      </c>
      <c r="D29" s="2723" t="s">
        <v>485</v>
      </c>
      <c r="E29" s="2723" t="s">
        <v>486</v>
      </c>
      <c r="F29" s="2724" t="s">
        <v>487</v>
      </c>
      <c r="G29" s="2723" t="s">
        <v>488</v>
      </c>
      <c r="H29" s="2723" t="s">
        <v>489</v>
      </c>
      <c r="I29" s="1381" t="s">
        <v>490</v>
      </c>
      <c r="J29" s="1381"/>
      <c r="K29" s="1381"/>
      <c r="L29" s="1381"/>
      <c r="M29" s="1382" t="s">
        <v>491</v>
      </c>
      <c r="N29" s="1383" t="s">
        <v>492</v>
      </c>
      <c r="O29" s="1384" t="s">
        <v>493</v>
      </c>
      <c r="P29" s="1383" t="s">
        <v>492</v>
      </c>
      <c r="Q29" s="1383" t="s">
        <v>494</v>
      </c>
      <c r="R29" s="1385" t="s">
        <v>495</v>
      </c>
      <c r="S29" s="1052" t="s">
        <v>496</v>
      </c>
      <c r="T29" s="2582" t="s">
        <v>497</v>
      </c>
      <c r="U29" s="2581"/>
      <c r="V29" s="2581"/>
      <c r="W29" s="2581"/>
      <c r="X29" s="2581"/>
      <c r="Y29" s="2582" t="s">
        <v>498</v>
      </c>
      <c r="Z29" s="2581"/>
      <c r="AA29" s="2608" t="s">
        <v>499</v>
      </c>
      <c r="AB29" s="2607"/>
      <c r="AC29" s="2607"/>
      <c r="AD29" s="2607"/>
      <c r="AE29" s="2607"/>
      <c r="AF29" s="2609"/>
    </row>
    <row r="30" spans="1:32" ht="18" x14ac:dyDescent="0.3">
      <c r="A30" s="2722"/>
      <c r="B30" s="2723"/>
      <c r="C30" s="2723"/>
      <c r="D30" s="2723"/>
      <c r="E30" s="2723"/>
      <c r="F30" s="2724"/>
      <c r="G30" s="2723"/>
      <c r="H30" s="2723"/>
      <c r="I30" s="1386" t="s">
        <v>500</v>
      </c>
      <c r="J30" s="1386" t="s">
        <v>501</v>
      </c>
      <c r="K30" s="1386" t="s">
        <v>502</v>
      </c>
      <c r="L30" s="1386" t="s">
        <v>503</v>
      </c>
      <c r="M30" s="1382" t="s">
        <v>504</v>
      </c>
      <c r="N30" s="1383" t="s">
        <v>505</v>
      </c>
      <c r="O30" s="1384" t="s">
        <v>506</v>
      </c>
      <c r="P30" s="1383" t="s">
        <v>507</v>
      </c>
      <c r="Q30" s="1383" t="s">
        <v>507</v>
      </c>
      <c r="R30" s="1385"/>
      <c r="S30" s="1052" t="s">
        <v>508</v>
      </c>
      <c r="T30" s="2787"/>
      <c r="U30" s="2788"/>
      <c r="V30" s="2788"/>
      <c r="W30" s="2788"/>
      <c r="X30" s="2788"/>
      <c r="Y30" s="2787"/>
      <c r="Z30" s="2788"/>
      <c r="AA30" s="2787"/>
      <c r="AB30" s="2788"/>
      <c r="AC30" s="2788"/>
      <c r="AD30" s="2788"/>
      <c r="AE30" s="2788"/>
      <c r="AF30" s="2789"/>
    </row>
    <row r="31" spans="1:32" ht="15.6" x14ac:dyDescent="0.3">
      <c r="A31" s="2796" t="s">
        <v>509</v>
      </c>
      <c r="B31" s="2797"/>
      <c r="C31" s="2797"/>
      <c r="D31" s="2797"/>
      <c r="E31" s="2797"/>
      <c r="F31" s="2797"/>
      <c r="G31" s="2797"/>
      <c r="H31" s="2797"/>
      <c r="I31" s="2797"/>
      <c r="J31" s="2797"/>
      <c r="K31" s="2797"/>
      <c r="L31" s="2797"/>
      <c r="M31" s="2797"/>
      <c r="N31" s="2797"/>
      <c r="O31" s="2797"/>
      <c r="P31" s="2797"/>
      <c r="Q31" s="2797"/>
      <c r="R31" s="2797"/>
      <c r="S31" s="1577"/>
      <c r="T31" s="1553" t="s">
        <v>510</v>
      </c>
      <c r="U31" s="1554" t="s">
        <v>11</v>
      </c>
      <c r="V31" s="1554" t="s">
        <v>511</v>
      </c>
      <c r="W31" s="1554" t="s">
        <v>512</v>
      </c>
      <c r="X31" s="1578" t="s">
        <v>513</v>
      </c>
      <c r="Y31" s="1553" t="s">
        <v>514</v>
      </c>
      <c r="Z31" s="1578" t="s">
        <v>515</v>
      </c>
      <c r="AA31" s="1554" t="s">
        <v>248</v>
      </c>
      <c r="AB31" s="1554" t="s">
        <v>226</v>
      </c>
      <c r="AC31" s="1554" t="s">
        <v>249</v>
      </c>
      <c r="AD31" s="1554" t="s">
        <v>206</v>
      </c>
      <c r="AE31" s="1554" t="s">
        <v>5</v>
      </c>
      <c r="AF31" s="1668"/>
    </row>
    <row r="32" spans="1:32" x14ac:dyDescent="0.3">
      <c r="A32" s="154"/>
      <c r="B32" s="462"/>
      <c r="C32" s="462"/>
      <c r="D32" s="462"/>
      <c r="E32" s="462"/>
      <c r="F32" s="463"/>
      <c r="G32" s="462"/>
      <c r="H32" s="462"/>
      <c r="I32" s="464"/>
      <c r="J32" s="465"/>
      <c r="K32" s="465"/>
      <c r="L32" s="466"/>
      <c r="M32" s="467"/>
      <c r="N32" s="468"/>
      <c r="O32" s="469"/>
      <c r="P32" s="468"/>
      <c r="Q32" s="468"/>
      <c r="R32" s="501"/>
      <c r="S32" s="166"/>
      <c r="T32" s="188"/>
      <c r="X32" s="286"/>
      <c r="Y32" s="188"/>
      <c r="Z32" s="286"/>
      <c r="AA32" s="464"/>
      <c r="AB32" s="465"/>
      <c r="AC32" s="465"/>
      <c r="AD32" s="465"/>
      <c r="AE32" s="465"/>
      <c r="AF32" s="466"/>
    </row>
    <row r="33" spans="1:32" x14ac:dyDescent="0.3">
      <c r="A33" s="157"/>
      <c r="B33" s="157"/>
      <c r="C33" s="157"/>
      <c r="D33" s="157"/>
      <c r="E33" s="157"/>
      <c r="F33" s="158"/>
      <c r="G33" s="157"/>
      <c r="H33" s="157"/>
      <c r="I33" s="188"/>
      <c r="L33" s="286"/>
      <c r="M33" s="163"/>
      <c r="N33" s="164"/>
      <c r="O33" s="165"/>
      <c r="P33" s="164"/>
      <c r="Q33" s="164"/>
      <c r="R33" s="1046"/>
      <c r="S33" s="164"/>
      <c r="T33" s="394"/>
      <c r="U33" s="169"/>
      <c r="V33" s="169"/>
      <c r="W33" s="169"/>
      <c r="X33" s="395"/>
      <c r="Y33" s="394"/>
      <c r="Z33" s="395"/>
      <c r="AA33" s="188"/>
      <c r="AF33" s="286"/>
    </row>
    <row r="34" spans="1:32" x14ac:dyDescent="0.3">
      <c r="A34" s="157" t="s">
        <v>1098</v>
      </c>
      <c r="B34" s="157" t="s">
        <v>250</v>
      </c>
      <c r="C34" s="157" t="s">
        <v>1099</v>
      </c>
      <c r="D34" s="157" t="s">
        <v>208</v>
      </c>
      <c r="E34" s="157" t="s">
        <v>520</v>
      </c>
      <c r="F34" s="158" t="s">
        <v>1100</v>
      </c>
      <c r="G34" s="157">
        <v>4</v>
      </c>
      <c r="H34" s="157" t="s">
        <v>63</v>
      </c>
      <c r="I34" s="185"/>
      <c r="J34" s="160"/>
      <c r="K34" s="161">
        <v>4</v>
      </c>
      <c r="L34" s="2209"/>
      <c r="M34" s="163">
        <v>1</v>
      </c>
      <c r="N34" s="166">
        <v>4685.12</v>
      </c>
      <c r="O34" s="173">
        <v>0.33300000000000002</v>
      </c>
      <c r="P34" s="166">
        <f t="shared" ref="P34" si="0">N34*(1-O34)</f>
        <v>3124.9750400000003</v>
      </c>
      <c r="Q34" s="166">
        <f t="shared" ref="Q34:Q44" si="1">P34*M34*G34</f>
        <v>12499.900160000001</v>
      </c>
      <c r="R34" s="184">
        <f t="shared" ref="R34:R44" si="2">Q34/$Q$50</f>
        <v>6.6679653616240425E-2</v>
      </c>
      <c r="S34" s="503">
        <f t="shared" ref="S34:S48" si="3">Q34*2</f>
        <v>24999.800320000002</v>
      </c>
      <c r="T34" s="394">
        <f t="shared" ref="T34:T36" si="4">S34</f>
        <v>24999.800320000002</v>
      </c>
      <c r="X34" s="286"/>
      <c r="Y34" s="394">
        <f>S34</f>
        <v>24999.800320000002</v>
      </c>
      <c r="Z34" s="395"/>
      <c r="AA34" s="394">
        <f>S34</f>
        <v>24999.800320000002</v>
      </c>
      <c r="AF34" s="286"/>
    </row>
    <row r="35" spans="1:32" x14ac:dyDescent="0.3">
      <c r="A35" s="157" t="s">
        <v>1098</v>
      </c>
      <c r="B35" s="157" t="s">
        <v>227</v>
      </c>
      <c r="C35" s="157" t="s">
        <v>1099</v>
      </c>
      <c r="D35" s="157" t="s">
        <v>102</v>
      </c>
      <c r="E35" s="157" t="s">
        <v>518</v>
      </c>
      <c r="F35" s="158" t="s">
        <v>521</v>
      </c>
      <c r="G35" s="157">
        <v>3</v>
      </c>
      <c r="H35" s="157" t="s">
        <v>24</v>
      </c>
      <c r="I35" s="159">
        <v>3</v>
      </c>
      <c r="J35" s="161"/>
      <c r="K35" s="161"/>
      <c r="L35" s="2209"/>
      <c r="M35" s="163">
        <v>1</v>
      </c>
      <c r="N35" s="166">
        <v>8132.89</v>
      </c>
      <c r="O35" s="173">
        <v>0.72</v>
      </c>
      <c r="P35" s="166">
        <f>N35*(1-O35)</f>
        <v>2277.2092000000002</v>
      </c>
      <c r="Q35" s="166">
        <f t="shared" si="1"/>
        <v>6831.6276000000007</v>
      </c>
      <c r="R35" s="167">
        <f t="shared" si="2"/>
        <v>3.6442736035673093E-2</v>
      </c>
      <c r="S35" s="503">
        <f t="shared" si="3"/>
        <v>13663.255200000001</v>
      </c>
      <c r="T35" s="394">
        <f t="shared" si="4"/>
        <v>13663.255200000001</v>
      </c>
      <c r="X35" s="286"/>
      <c r="Y35" s="394"/>
      <c r="Z35" s="395">
        <f>S35</f>
        <v>13663.255200000001</v>
      </c>
      <c r="AA35" s="188"/>
      <c r="AB35" s="169">
        <f>S35</f>
        <v>13663.255200000001</v>
      </c>
      <c r="AF35" s="286"/>
    </row>
    <row r="36" spans="1:32" x14ac:dyDescent="0.3">
      <c r="A36" s="157" t="s">
        <v>1098</v>
      </c>
      <c r="B36" s="157" t="s">
        <v>250</v>
      </c>
      <c r="C36" s="157" t="s">
        <v>1099</v>
      </c>
      <c r="D36" s="157" t="s">
        <v>26</v>
      </c>
      <c r="E36" s="157" t="s">
        <v>520</v>
      </c>
      <c r="F36" s="158" t="s">
        <v>551</v>
      </c>
      <c r="G36" s="157">
        <v>3</v>
      </c>
      <c r="H36" s="157" t="s">
        <v>24</v>
      </c>
      <c r="I36" s="182">
        <v>3</v>
      </c>
      <c r="J36" s="183"/>
      <c r="K36" s="183"/>
      <c r="L36" s="2239"/>
      <c r="M36" s="163">
        <v>1</v>
      </c>
      <c r="N36" s="166">
        <v>11343.75</v>
      </c>
      <c r="O36" s="173">
        <v>0.21740000000000001</v>
      </c>
      <c r="P36" s="166">
        <f t="shared" ref="P36:P44" si="5">N36*(1-O36)</f>
        <v>8877.6187499999996</v>
      </c>
      <c r="Q36" s="166">
        <f t="shared" si="1"/>
        <v>26632.856249999997</v>
      </c>
      <c r="R36" s="184">
        <f t="shared" si="2"/>
        <v>0.14207070511202574</v>
      </c>
      <c r="S36" s="503">
        <f t="shared" si="3"/>
        <v>53265.712499999994</v>
      </c>
      <c r="T36" s="394">
        <f t="shared" si="4"/>
        <v>53265.712499999994</v>
      </c>
      <c r="X36" s="286"/>
      <c r="Y36" s="394">
        <f>S36</f>
        <v>53265.712499999994</v>
      </c>
      <c r="Z36" s="395"/>
      <c r="AA36" s="394">
        <f>S36</f>
        <v>53265.712499999994</v>
      </c>
      <c r="AF36" s="286"/>
    </row>
    <row r="37" spans="1:32" x14ac:dyDescent="0.3">
      <c r="A37" s="157" t="s">
        <v>1098</v>
      </c>
      <c r="B37" s="157" t="s">
        <v>251</v>
      </c>
      <c r="C37" s="157" t="s">
        <v>1099</v>
      </c>
      <c r="D37" s="157" t="s">
        <v>102</v>
      </c>
      <c r="E37" s="157" t="s">
        <v>518</v>
      </c>
      <c r="F37" s="158" t="s">
        <v>521</v>
      </c>
      <c r="G37" s="157">
        <v>2</v>
      </c>
      <c r="H37" s="157" t="s">
        <v>24</v>
      </c>
      <c r="I37" s="182">
        <v>2</v>
      </c>
      <c r="J37" s="183"/>
      <c r="K37" s="183"/>
      <c r="L37" s="2239"/>
      <c r="M37" s="163">
        <v>1</v>
      </c>
      <c r="N37" s="166">
        <v>3600</v>
      </c>
      <c r="O37" s="173">
        <v>0.17</v>
      </c>
      <c r="P37" s="166">
        <f t="shared" si="5"/>
        <v>2988</v>
      </c>
      <c r="Q37" s="166">
        <f t="shared" si="1"/>
        <v>5976</v>
      </c>
      <c r="R37" s="167">
        <f t="shared" si="2"/>
        <v>3.187846342051525E-2</v>
      </c>
      <c r="S37" s="503">
        <f t="shared" si="3"/>
        <v>11952</v>
      </c>
      <c r="T37" s="394">
        <f>S37</f>
        <v>11952</v>
      </c>
      <c r="X37" s="286"/>
      <c r="Y37" s="394"/>
      <c r="Z37" s="395">
        <f>S37</f>
        <v>11952</v>
      </c>
      <c r="AA37" s="188"/>
      <c r="AC37" s="169">
        <f>S37</f>
        <v>11952</v>
      </c>
      <c r="AF37" s="286"/>
    </row>
    <row r="38" spans="1:32" x14ac:dyDescent="0.3">
      <c r="A38" s="157" t="s">
        <v>1098</v>
      </c>
      <c r="B38" s="157" t="s">
        <v>251</v>
      </c>
      <c r="C38" s="157" t="s">
        <v>1038</v>
      </c>
      <c r="D38" s="157" t="s">
        <v>252</v>
      </c>
      <c r="E38" s="157" t="s">
        <v>520</v>
      </c>
      <c r="F38" s="158" t="s">
        <v>43</v>
      </c>
      <c r="G38" s="157">
        <v>1</v>
      </c>
      <c r="H38" s="157" t="s">
        <v>24</v>
      </c>
      <c r="I38" s="182">
        <v>1</v>
      </c>
      <c r="J38" s="183"/>
      <c r="K38" s="183"/>
      <c r="L38" s="2239"/>
      <c r="M38" s="163">
        <v>1</v>
      </c>
      <c r="N38" s="166">
        <v>3600</v>
      </c>
      <c r="O38" s="173">
        <v>0.17</v>
      </c>
      <c r="P38" s="166">
        <f t="shared" si="5"/>
        <v>2988</v>
      </c>
      <c r="Q38" s="166">
        <f t="shared" si="1"/>
        <v>2988</v>
      </c>
      <c r="R38" s="1390">
        <f t="shared" si="2"/>
        <v>1.5939231710257625E-2</v>
      </c>
      <c r="S38" s="503">
        <f t="shared" si="3"/>
        <v>5976</v>
      </c>
      <c r="T38" s="394">
        <f>S38</f>
        <v>5976</v>
      </c>
      <c r="U38" s="169"/>
      <c r="V38" s="169"/>
      <c r="X38" s="286"/>
      <c r="Y38" s="394">
        <f>S38</f>
        <v>5976</v>
      </c>
      <c r="Z38" s="286"/>
      <c r="AA38" s="188"/>
      <c r="AC38" s="169">
        <f>S38</f>
        <v>5976</v>
      </c>
      <c r="AF38" s="286"/>
    </row>
    <row r="39" spans="1:32" x14ac:dyDescent="0.3">
      <c r="A39" s="157" t="s">
        <v>1098</v>
      </c>
      <c r="B39" s="157" t="s">
        <v>251</v>
      </c>
      <c r="C39" s="157" t="s">
        <v>1099</v>
      </c>
      <c r="D39" s="157" t="s">
        <v>208</v>
      </c>
      <c r="E39" s="157" t="s">
        <v>520</v>
      </c>
      <c r="F39" s="158" t="s">
        <v>1100</v>
      </c>
      <c r="G39" s="157">
        <v>8</v>
      </c>
      <c r="H39" s="157" t="s">
        <v>24</v>
      </c>
      <c r="I39" s="175">
        <v>8</v>
      </c>
      <c r="J39" s="688"/>
      <c r="L39" s="286"/>
      <c r="M39" s="163">
        <v>1</v>
      </c>
      <c r="N39" s="166">
        <v>1400</v>
      </c>
      <c r="O39" s="173">
        <v>0.14000000000000001</v>
      </c>
      <c r="P39" s="166">
        <f t="shared" si="5"/>
        <v>1204</v>
      </c>
      <c r="Q39" s="166">
        <f t="shared" si="1"/>
        <v>9632</v>
      </c>
      <c r="R39" s="1390">
        <f t="shared" si="2"/>
        <v>5.1381084281526587E-2</v>
      </c>
      <c r="S39" s="503">
        <f t="shared" si="3"/>
        <v>19264</v>
      </c>
      <c r="T39" s="394">
        <f>S39</f>
        <v>19264</v>
      </c>
      <c r="V39" s="169"/>
      <c r="X39" s="286"/>
      <c r="Y39" s="394">
        <f>S39</f>
        <v>19264</v>
      </c>
      <c r="Z39" s="395"/>
      <c r="AA39" s="188"/>
      <c r="AC39" s="169">
        <f>S39</f>
        <v>19264</v>
      </c>
      <c r="AF39" s="286"/>
    </row>
    <row r="40" spans="1:32" x14ac:dyDescent="0.3">
      <c r="A40" s="157" t="s">
        <v>1098</v>
      </c>
      <c r="B40" s="157" t="s">
        <v>251</v>
      </c>
      <c r="C40" s="157" t="s">
        <v>1099</v>
      </c>
      <c r="D40" s="157" t="s">
        <v>29</v>
      </c>
      <c r="E40" s="157" t="s">
        <v>524</v>
      </c>
      <c r="F40" s="158" t="s">
        <v>43</v>
      </c>
      <c r="G40" s="157">
        <v>2</v>
      </c>
      <c r="H40" s="157" t="s">
        <v>24</v>
      </c>
      <c r="I40" s="182">
        <v>2</v>
      </c>
      <c r="J40" s="183"/>
      <c r="K40" s="183"/>
      <c r="L40" s="2239"/>
      <c r="M40" s="163">
        <v>1</v>
      </c>
      <c r="N40" s="166">
        <v>18800</v>
      </c>
      <c r="O40" s="173">
        <v>0.17</v>
      </c>
      <c r="P40" s="166">
        <f t="shared" si="5"/>
        <v>15604</v>
      </c>
      <c r="Q40" s="166">
        <f t="shared" si="1"/>
        <v>31208</v>
      </c>
      <c r="R40" s="1390">
        <f t="shared" si="2"/>
        <v>0.16647642008491298</v>
      </c>
      <c r="S40" s="503">
        <f t="shared" si="3"/>
        <v>62416</v>
      </c>
      <c r="T40" s="394">
        <f>S40</f>
        <v>62416</v>
      </c>
      <c r="V40" s="169"/>
      <c r="X40" s="286"/>
      <c r="Y40" s="394">
        <f>S40</f>
        <v>62416</v>
      </c>
      <c r="Z40" s="286"/>
      <c r="AA40" s="188"/>
      <c r="AC40" s="169">
        <f>S40</f>
        <v>62416</v>
      </c>
      <c r="AF40" s="286"/>
    </row>
    <row r="41" spans="1:32" x14ac:dyDescent="0.3">
      <c r="A41" s="157" t="s">
        <v>1098</v>
      </c>
      <c r="B41" s="157" t="s">
        <v>210</v>
      </c>
      <c r="C41" s="157" t="s">
        <v>1101</v>
      </c>
      <c r="D41" s="157" t="s">
        <v>211</v>
      </c>
      <c r="E41" s="157" t="s">
        <v>520</v>
      </c>
      <c r="F41" s="158" t="s">
        <v>994</v>
      </c>
      <c r="G41" s="157">
        <v>6</v>
      </c>
      <c r="H41" s="157" t="s">
        <v>63</v>
      </c>
      <c r="I41" s="175">
        <v>6</v>
      </c>
      <c r="J41" s="688"/>
      <c r="K41" s="1"/>
      <c r="L41" s="163"/>
      <c r="M41" s="163">
        <v>1</v>
      </c>
      <c r="N41" s="473">
        <v>2049</v>
      </c>
      <c r="O41" s="165">
        <v>0.6</v>
      </c>
      <c r="P41" s="473">
        <f t="shared" si="5"/>
        <v>819.6</v>
      </c>
      <c r="Q41" s="473">
        <f t="shared" si="1"/>
        <v>4917.6000000000004</v>
      </c>
      <c r="R41" s="1669">
        <f t="shared" si="2"/>
        <v>2.6232518694231224E-2</v>
      </c>
      <c r="S41" s="164">
        <f t="shared" si="3"/>
        <v>9835.2000000000007</v>
      </c>
      <c r="T41" s="394"/>
      <c r="U41" s="169">
        <f>S41</f>
        <v>9835.2000000000007</v>
      </c>
      <c r="V41" s="169"/>
      <c r="X41" s="286"/>
      <c r="Y41" s="394">
        <f>S41</f>
        <v>9835.2000000000007</v>
      </c>
      <c r="Z41" s="286"/>
      <c r="AA41" s="188"/>
      <c r="AD41" s="169">
        <f>S41</f>
        <v>9835.2000000000007</v>
      </c>
      <c r="AF41" s="286"/>
    </row>
    <row r="42" spans="1:32" x14ac:dyDescent="0.3">
      <c r="A42" s="157" t="s">
        <v>1098</v>
      </c>
      <c r="B42" s="157" t="s">
        <v>210</v>
      </c>
      <c r="C42" s="157" t="s">
        <v>1101</v>
      </c>
      <c r="D42" s="157" t="s">
        <v>211</v>
      </c>
      <c r="E42" s="157" t="s">
        <v>518</v>
      </c>
      <c r="F42" s="158" t="s">
        <v>994</v>
      </c>
      <c r="G42" s="157">
        <v>5</v>
      </c>
      <c r="H42" s="157" t="s">
        <v>63</v>
      </c>
      <c r="I42" s="1"/>
      <c r="J42" s="1"/>
      <c r="K42" s="161">
        <v>5</v>
      </c>
      <c r="L42" s="2209"/>
      <c r="M42" s="163">
        <v>1</v>
      </c>
      <c r="N42" s="473">
        <v>5463</v>
      </c>
      <c r="O42" s="165">
        <v>0.6</v>
      </c>
      <c r="P42" s="473">
        <f t="shared" si="5"/>
        <v>2185.2000000000003</v>
      </c>
      <c r="Q42" s="473">
        <f t="shared" si="1"/>
        <v>10926.000000000002</v>
      </c>
      <c r="R42" s="608">
        <f t="shared" si="2"/>
        <v>5.8283817157387827E-2</v>
      </c>
      <c r="S42" s="164">
        <f t="shared" si="3"/>
        <v>21852.000000000004</v>
      </c>
      <c r="T42" s="394"/>
      <c r="U42" s="169">
        <f>S42</f>
        <v>21852.000000000004</v>
      </c>
      <c r="V42" s="169"/>
      <c r="X42" s="286"/>
      <c r="Y42" s="394"/>
      <c r="Z42" s="395">
        <f>S42</f>
        <v>21852.000000000004</v>
      </c>
      <c r="AA42" s="188"/>
      <c r="AD42" s="169">
        <f>S42</f>
        <v>21852.000000000004</v>
      </c>
      <c r="AF42" s="286"/>
    </row>
    <row r="43" spans="1:32" x14ac:dyDescent="0.3">
      <c r="A43" s="157" t="s">
        <v>1098</v>
      </c>
      <c r="B43" s="157" t="s">
        <v>210</v>
      </c>
      <c r="C43" s="157" t="s">
        <v>1099</v>
      </c>
      <c r="D43" s="157" t="s">
        <v>29</v>
      </c>
      <c r="E43" s="157" t="s">
        <v>520</v>
      </c>
      <c r="F43" s="158" t="s">
        <v>43</v>
      </c>
      <c r="G43" s="157">
        <v>1</v>
      </c>
      <c r="H43" s="157" t="s">
        <v>24</v>
      </c>
      <c r="I43" s="182">
        <v>1</v>
      </c>
      <c r="J43" s="183"/>
      <c r="K43" s="183"/>
      <c r="L43" s="2239"/>
      <c r="M43" s="163">
        <v>1</v>
      </c>
      <c r="N43" s="473">
        <v>54625</v>
      </c>
      <c r="O43" s="165">
        <v>0.6</v>
      </c>
      <c r="P43" s="473">
        <f t="shared" si="5"/>
        <v>21850</v>
      </c>
      <c r="Q43" s="473">
        <f t="shared" si="1"/>
        <v>21850</v>
      </c>
      <c r="R43" s="1664">
        <f t="shared" si="2"/>
        <v>0.11655696548498297</v>
      </c>
      <c r="S43" s="164">
        <f t="shared" si="3"/>
        <v>43700</v>
      </c>
      <c r="T43" s="394">
        <f>S43</f>
        <v>43700</v>
      </c>
      <c r="V43" s="169"/>
      <c r="X43" s="286"/>
      <c r="Y43" s="394">
        <f>S43</f>
        <v>43700</v>
      </c>
      <c r="Z43" s="286"/>
      <c r="AA43" s="188"/>
      <c r="AD43" s="169">
        <f>S43</f>
        <v>43700</v>
      </c>
      <c r="AF43" s="286"/>
    </row>
    <row r="44" spans="1:32" x14ac:dyDescent="0.3">
      <c r="A44" s="157" t="s">
        <v>1098</v>
      </c>
      <c r="B44" s="157" t="s">
        <v>108</v>
      </c>
      <c r="C44" s="157" t="s">
        <v>1099</v>
      </c>
      <c r="D44" s="157" t="s">
        <v>253</v>
      </c>
      <c r="E44" s="157" t="s">
        <v>520</v>
      </c>
      <c r="F44" s="158" t="s">
        <v>38</v>
      </c>
      <c r="G44" s="157">
        <v>1</v>
      </c>
      <c r="H44" s="157" t="s">
        <v>24</v>
      </c>
      <c r="I44" s="182">
        <v>1</v>
      </c>
      <c r="J44" s="183"/>
      <c r="K44" s="183"/>
      <c r="L44" s="2239"/>
      <c r="M44" s="163">
        <v>1</v>
      </c>
      <c r="N44" s="473">
        <v>45000</v>
      </c>
      <c r="O44" s="165">
        <v>0.2</v>
      </c>
      <c r="P44" s="473">
        <f t="shared" si="5"/>
        <v>36000</v>
      </c>
      <c r="Q44" s="473">
        <f t="shared" si="1"/>
        <v>36000</v>
      </c>
      <c r="R44" s="1664">
        <f t="shared" si="2"/>
        <v>0.19203893626816415</v>
      </c>
      <c r="S44" s="164">
        <f t="shared" si="3"/>
        <v>72000</v>
      </c>
      <c r="T44" s="394"/>
      <c r="V44" s="169">
        <f>S44</f>
        <v>72000</v>
      </c>
      <c r="X44" s="286"/>
      <c r="Y44" s="394">
        <f>S44</f>
        <v>72000</v>
      </c>
      <c r="Z44" s="286"/>
      <c r="AA44" s="188"/>
      <c r="AE44" s="169">
        <f>S44</f>
        <v>72000</v>
      </c>
      <c r="AF44" s="286"/>
    </row>
    <row r="45" spans="1:32" x14ac:dyDescent="0.3">
      <c r="A45" s="157"/>
      <c r="B45" s="157"/>
      <c r="C45" s="157"/>
      <c r="D45" s="157"/>
      <c r="E45" s="157"/>
      <c r="F45" s="158"/>
      <c r="G45" s="157"/>
      <c r="H45" s="157"/>
      <c r="I45" s="1"/>
      <c r="J45" s="1"/>
      <c r="K45" s="1"/>
      <c r="L45" s="163"/>
      <c r="M45" s="163"/>
      <c r="N45" s="473"/>
      <c r="O45" s="165"/>
      <c r="P45" s="473"/>
      <c r="Q45" s="473"/>
      <c r="R45" s="1664"/>
      <c r="S45" s="164"/>
      <c r="T45" s="394"/>
      <c r="V45" s="169"/>
      <c r="X45" s="286"/>
      <c r="Y45" s="394"/>
      <c r="Z45" s="286"/>
      <c r="AA45" s="188"/>
      <c r="AF45" s="286"/>
    </row>
    <row r="46" spans="1:32" x14ac:dyDescent="0.3">
      <c r="A46" s="172"/>
      <c r="B46" s="157"/>
      <c r="C46" s="190"/>
      <c r="D46" s="190"/>
      <c r="E46" s="190"/>
      <c r="F46" s="191"/>
      <c r="G46" s="190"/>
      <c r="H46" s="190"/>
      <c r="I46" s="245"/>
      <c r="J46" s="245"/>
      <c r="K46" s="245"/>
      <c r="L46" s="287"/>
      <c r="M46" s="190"/>
      <c r="N46" s="194"/>
      <c r="O46" s="195"/>
      <c r="P46" s="194"/>
      <c r="Q46" s="166"/>
      <c r="R46" s="393"/>
      <c r="S46" s="503"/>
      <c r="T46" s="188"/>
      <c r="X46" s="286"/>
      <c r="Y46" s="188"/>
      <c r="Z46" s="286"/>
      <c r="AA46" s="188"/>
      <c r="AF46" s="286"/>
    </row>
    <row r="47" spans="1:32" x14ac:dyDescent="0.3">
      <c r="A47" s="108" t="s">
        <v>1098</v>
      </c>
      <c r="B47" s="108" t="s">
        <v>528</v>
      </c>
      <c r="C47" s="289"/>
      <c r="D47" s="252"/>
      <c r="E47" s="252"/>
      <c r="F47" s="253"/>
      <c r="G47" s="252"/>
      <c r="H47" s="252"/>
      <c r="I47" s="254"/>
      <c r="J47" s="254"/>
      <c r="K47" s="254"/>
      <c r="L47" s="254"/>
      <c r="M47" s="252"/>
      <c r="N47" s="255"/>
      <c r="O47" s="256"/>
      <c r="P47" s="290"/>
      <c r="Q47" s="257"/>
      <c r="R47" s="291">
        <f>Q47/Q50</f>
        <v>0</v>
      </c>
      <c r="S47" s="503">
        <f>Q47*2</f>
        <v>0</v>
      </c>
      <c r="T47" s="188"/>
      <c r="W47" s="169">
        <f>S47</f>
        <v>0</v>
      </c>
      <c r="X47" s="286"/>
      <c r="Y47" s="188"/>
      <c r="Z47" s="286"/>
      <c r="AA47" s="188"/>
      <c r="AF47" s="286"/>
    </row>
    <row r="48" spans="1:32" x14ac:dyDescent="0.3">
      <c r="A48" s="108" t="s">
        <v>1098</v>
      </c>
      <c r="B48" s="108" t="s">
        <v>529</v>
      </c>
      <c r="C48" s="289"/>
      <c r="D48" s="252"/>
      <c r="E48" s="252"/>
      <c r="F48" s="253"/>
      <c r="G48" s="252"/>
      <c r="H48" s="252"/>
      <c r="I48" s="254"/>
      <c r="J48" s="254"/>
      <c r="K48" s="254"/>
      <c r="L48" s="254"/>
      <c r="M48" s="252"/>
      <c r="N48" s="255"/>
      <c r="O48" s="256"/>
      <c r="P48" s="290"/>
      <c r="Q48" s="257">
        <v>18000</v>
      </c>
      <c r="R48" s="291">
        <f>Q48/Q50</f>
        <v>9.6019468134082075E-2</v>
      </c>
      <c r="S48" s="503">
        <f t="shared" si="3"/>
        <v>36000</v>
      </c>
      <c r="T48" s="188"/>
      <c r="X48" s="395">
        <f>S48</f>
        <v>36000</v>
      </c>
      <c r="Y48" s="188"/>
      <c r="Z48" s="286"/>
      <c r="AA48" s="188"/>
      <c r="AF48" s="286"/>
    </row>
    <row r="49" spans="1:32" x14ac:dyDescent="0.3">
      <c r="I49" s="115">
        <f>I50/M50</f>
        <v>0.75</v>
      </c>
      <c r="J49" s="115"/>
      <c r="K49" s="115">
        <f>K50/M50</f>
        <v>0.25</v>
      </c>
      <c r="S49" s="166"/>
      <c r="T49" s="188"/>
      <c r="X49" s="286"/>
      <c r="Y49" s="188"/>
      <c r="Z49" s="286"/>
      <c r="AA49" s="243"/>
      <c r="AB49" s="245"/>
      <c r="AC49" s="245"/>
      <c r="AD49" s="245"/>
      <c r="AE49" s="245"/>
      <c r="AF49" s="287"/>
    </row>
    <row r="50" spans="1:32" x14ac:dyDescent="0.3">
      <c r="A50" s="840" t="s">
        <v>531</v>
      </c>
      <c r="B50" s="841"/>
      <c r="C50" s="841"/>
      <c r="D50" s="841"/>
      <c r="E50" s="841"/>
      <c r="F50" s="842"/>
      <c r="G50" s="841"/>
      <c r="H50" s="841"/>
      <c r="I50" s="841">
        <f>I43+I41+I40+I39+I38+I37+I36+I35+I44</f>
        <v>27</v>
      </c>
      <c r="J50" s="841"/>
      <c r="K50" s="841">
        <f>K42+K34</f>
        <v>9</v>
      </c>
      <c r="L50" s="841"/>
      <c r="M50" s="841">
        <f>SUM(I50:L50)</f>
        <v>36</v>
      </c>
      <c r="N50" s="843"/>
      <c r="O50" s="844"/>
      <c r="P50" s="843"/>
      <c r="Q50" s="845">
        <f>SUM(Q33:Q49)</f>
        <v>187461.98401000001</v>
      </c>
      <c r="R50" s="844">
        <f>SUM(R33:R48)</f>
        <v>1</v>
      </c>
      <c r="S50" s="1580">
        <f>SUM(S33:S49)</f>
        <v>374923.96802000003</v>
      </c>
      <c r="T50" s="1581">
        <f>SUM(T33:T48)</f>
        <v>235236.76801999999</v>
      </c>
      <c r="U50" s="570">
        <f>SUM(U33:U48)</f>
        <v>31687.200000000004</v>
      </c>
      <c r="V50" s="570">
        <f>SUM(V33:V48)</f>
        <v>72000</v>
      </c>
      <c r="W50" s="570">
        <f>SUM(W33:W48)</f>
        <v>0</v>
      </c>
      <c r="X50" s="570">
        <f>SUM(X33:X48)</f>
        <v>36000</v>
      </c>
      <c r="Y50" s="1091">
        <f t="shared" ref="Y50:Z50" si="6">SUM(Y33:Y48)</f>
        <v>291456.71282000002</v>
      </c>
      <c r="Z50" s="1056">
        <f t="shared" si="6"/>
        <v>47467.2552</v>
      </c>
      <c r="AA50" s="1670">
        <f>SUM(AA33:AA48)</f>
        <v>78265.512820000004</v>
      </c>
      <c r="AB50" s="615">
        <f>SUM(AB32:AB49)</f>
        <v>13663.255200000001</v>
      </c>
      <c r="AC50" s="615">
        <f t="shared" ref="AC50:AE50" si="7">SUM(AC32:AC49)</f>
        <v>99608</v>
      </c>
      <c r="AD50" s="615">
        <f t="shared" si="7"/>
        <v>75387.200000000012</v>
      </c>
      <c r="AE50" s="615">
        <f t="shared" si="7"/>
        <v>72000</v>
      </c>
      <c r="AF50" s="1671"/>
    </row>
    <row r="51" spans="1:32" x14ac:dyDescent="0.3">
      <c r="A51" s="840" t="s">
        <v>532</v>
      </c>
      <c r="B51" s="841"/>
      <c r="C51" s="841"/>
      <c r="D51" s="841"/>
      <c r="E51" s="841"/>
      <c r="F51" s="842"/>
      <c r="G51" s="841"/>
      <c r="H51" s="841"/>
      <c r="I51" s="841">
        <f>I43+I41+I40+I39+I38+I37+I36+I35+I44</f>
        <v>27</v>
      </c>
      <c r="J51" s="841">
        <f>I51</f>
        <v>27</v>
      </c>
      <c r="K51" s="841">
        <f>I43+K42+I40+I38+I37+I36+I35+K34</f>
        <v>21</v>
      </c>
      <c r="L51" s="841">
        <f>K51</f>
        <v>21</v>
      </c>
      <c r="M51" s="841">
        <f>SUM(I51:L51)</f>
        <v>96</v>
      </c>
      <c r="N51" s="843"/>
      <c r="O51" s="844"/>
      <c r="P51" s="843"/>
      <c r="Q51" s="843"/>
      <c r="R51" s="844"/>
      <c r="S51" s="1585"/>
      <c r="T51" s="1586">
        <f>T50/S50</f>
        <v>0.62742525974613461</v>
      </c>
      <c r="U51" s="1587">
        <f>U50/S50</f>
        <v>8.4516335851619051E-2</v>
      </c>
      <c r="V51" s="1588">
        <f>V50/S50</f>
        <v>0.19203893626816415</v>
      </c>
      <c r="W51" s="1587">
        <f>W50/S50</f>
        <v>0</v>
      </c>
      <c r="X51" s="1587">
        <f>X50/S50</f>
        <v>9.6019468134082075E-2</v>
      </c>
      <c r="Y51" s="1589">
        <f>Y50/S50</f>
        <v>0.77737551525234172</v>
      </c>
      <c r="Z51" s="1590">
        <f>Z50/S50</f>
        <v>0.12660501661357615</v>
      </c>
      <c r="AA51" s="1591"/>
      <c r="AB51" s="1592"/>
      <c r="AC51" s="1592"/>
      <c r="AD51" s="1592"/>
      <c r="AE51" s="1592"/>
      <c r="AF51" s="1593"/>
    </row>
    <row r="52" spans="1:32" x14ac:dyDescent="0.3">
      <c r="A52" s="251" t="s">
        <v>533</v>
      </c>
      <c r="B52" s="252"/>
      <c r="C52" s="252"/>
      <c r="D52" s="252"/>
      <c r="E52" s="252"/>
      <c r="F52" s="253"/>
      <c r="G52" s="252"/>
      <c r="H52" s="252"/>
      <c r="I52" s="2188">
        <f>I51/$M$51</f>
        <v>0.28125</v>
      </c>
      <c r="J52" s="2188">
        <f t="shared" ref="J52:L52" si="8">J51/$M$51</f>
        <v>0.28125</v>
      </c>
      <c r="K52" s="2188">
        <f t="shared" si="8"/>
        <v>0.21875</v>
      </c>
      <c r="L52" s="2188">
        <f t="shared" si="8"/>
        <v>0.21875</v>
      </c>
      <c r="M52" s="252"/>
      <c r="N52" s="255"/>
      <c r="O52" s="256"/>
      <c r="P52" s="255"/>
      <c r="Q52" s="257">
        <f>T50/2</f>
        <v>117618.38400999999</v>
      </c>
      <c r="R52" s="262">
        <f>Q52/Q57</f>
        <v>0.62742525974613472</v>
      </c>
      <c r="X52" s="248"/>
      <c r="Y52" s="357">
        <f>K34+I36+I38+I39+I40+I41+I43+I44</f>
        <v>26</v>
      </c>
      <c r="Z52" s="358">
        <f>I35+I37+K42</f>
        <v>10</v>
      </c>
    </row>
    <row r="53" spans="1:32" x14ac:dyDescent="0.3">
      <c r="A53" s="251" t="s">
        <v>11</v>
      </c>
      <c r="B53" s="252"/>
      <c r="C53" s="252"/>
      <c r="D53" s="252"/>
      <c r="E53" s="252"/>
      <c r="F53" s="253"/>
      <c r="G53" s="252"/>
      <c r="H53" s="252"/>
      <c r="I53" s="254"/>
      <c r="J53" s="254"/>
      <c r="K53" s="254"/>
      <c r="L53" s="254"/>
      <c r="M53" s="252"/>
      <c r="N53" s="255"/>
      <c r="O53" s="256"/>
      <c r="P53" s="255"/>
      <c r="Q53" s="257">
        <f>U50/2</f>
        <v>15843.600000000002</v>
      </c>
      <c r="R53" s="262">
        <f>Q53/Q57</f>
        <v>8.4516335851619065E-2</v>
      </c>
      <c r="S53" s="1050">
        <f>Q50/M50</f>
        <v>5207.2773336111113</v>
      </c>
      <c r="T53" s="1051" t="s">
        <v>535</v>
      </c>
      <c r="Y53" s="195">
        <f>Y52/M50</f>
        <v>0.72222222222222221</v>
      </c>
      <c r="Z53" s="247">
        <f>Z52/M50</f>
        <v>0.27777777777777779</v>
      </c>
    </row>
    <row r="54" spans="1:32" x14ac:dyDescent="0.3">
      <c r="A54" s="251" t="s">
        <v>536</v>
      </c>
      <c r="B54" s="252"/>
      <c r="C54" s="252"/>
      <c r="D54" s="252"/>
      <c r="E54" s="252"/>
      <c r="F54" s="253"/>
      <c r="G54" s="252"/>
      <c r="H54" s="252"/>
      <c r="I54" s="254"/>
      <c r="J54" s="254"/>
      <c r="K54" s="254"/>
      <c r="L54" s="254"/>
      <c r="M54" s="252"/>
      <c r="N54" s="255"/>
      <c r="O54" s="256"/>
      <c r="P54" s="255"/>
      <c r="Q54" s="257">
        <f>V50/2</f>
        <v>36000</v>
      </c>
      <c r="R54" s="262">
        <f>Q54/Q57</f>
        <v>0.19203893626816418</v>
      </c>
      <c r="W54" s="99"/>
      <c r="Y54" s="2551" t="s">
        <v>537</v>
      </c>
      <c r="Z54" s="2551"/>
    </row>
    <row r="55" spans="1:32" x14ac:dyDescent="0.3">
      <c r="A55" s="251" t="s">
        <v>529</v>
      </c>
      <c r="B55" s="252"/>
      <c r="C55" s="252"/>
      <c r="D55" s="252"/>
      <c r="E55" s="252"/>
      <c r="F55" s="253"/>
      <c r="G55" s="252"/>
      <c r="H55" s="252"/>
      <c r="I55" s="254"/>
      <c r="J55" s="254"/>
      <c r="K55" s="254"/>
      <c r="L55" s="254"/>
      <c r="M55" s="252"/>
      <c r="N55" s="255"/>
      <c r="O55" s="256"/>
      <c r="P55" s="255"/>
      <c r="Q55" s="257">
        <f>X50/2</f>
        <v>18000</v>
      </c>
      <c r="R55" s="262">
        <f>Q55/Q57</f>
        <v>9.6019468134082089E-2</v>
      </c>
    </row>
    <row r="56" spans="1:32" x14ac:dyDescent="0.3">
      <c r="A56" s="251" t="s">
        <v>528</v>
      </c>
      <c r="B56" s="252"/>
      <c r="C56" s="252"/>
      <c r="D56" s="252"/>
      <c r="E56" s="252"/>
      <c r="F56" s="253"/>
      <c r="G56" s="252"/>
      <c r="H56" s="252"/>
      <c r="I56" s="254"/>
      <c r="J56" s="254"/>
      <c r="K56" s="254"/>
      <c r="L56" s="254"/>
      <c r="M56" s="252"/>
      <c r="N56" s="255"/>
      <c r="O56" s="256"/>
      <c r="P56" s="255"/>
      <c r="Q56" s="257">
        <f>W50/2</f>
        <v>0</v>
      </c>
      <c r="R56" s="262">
        <f>Q56/Q57</f>
        <v>0</v>
      </c>
    </row>
    <row r="57" spans="1:32" x14ac:dyDescent="0.3">
      <c r="A57" s="251"/>
      <c r="B57" s="252"/>
      <c r="C57" s="252"/>
      <c r="D57" s="252"/>
      <c r="E57" s="252"/>
      <c r="F57" s="253"/>
      <c r="G57" s="252"/>
      <c r="H57" s="252"/>
      <c r="I57" s="254"/>
      <c r="J57" s="254"/>
      <c r="K57" s="254"/>
      <c r="L57" s="254"/>
      <c r="M57" s="252"/>
      <c r="N57" s="255"/>
      <c r="O57" s="256"/>
      <c r="P57" s="255"/>
      <c r="Q57" s="264">
        <f>SUM(Q52:Q56)</f>
        <v>187461.98400999999</v>
      </c>
      <c r="R57" s="262">
        <f>SUM(R52:R56)</f>
        <v>1</v>
      </c>
    </row>
    <row r="59" spans="1:32" ht="18" x14ac:dyDescent="0.35">
      <c r="A59" s="1037" t="s">
        <v>538</v>
      </c>
    </row>
    <row r="61" spans="1:32" x14ac:dyDescent="0.3">
      <c r="A61" s="2587" t="s">
        <v>480</v>
      </c>
      <c r="B61" s="2588"/>
      <c r="C61" s="2588"/>
      <c r="D61" s="2588"/>
      <c r="E61" s="2588"/>
      <c r="F61" s="2588"/>
      <c r="G61" s="2588"/>
      <c r="H61" s="2588"/>
      <c r="I61" s="2588"/>
      <c r="J61" s="2588"/>
      <c r="K61" s="2588"/>
      <c r="L61" s="2588"/>
      <c r="M61" s="2588"/>
      <c r="N61" s="2588"/>
      <c r="O61" s="2588"/>
      <c r="P61" s="2588"/>
      <c r="Q61" s="2588"/>
      <c r="R61" s="2589"/>
      <c r="S61" s="2563" t="s">
        <v>584</v>
      </c>
      <c r="T61" s="2564"/>
      <c r="U61" s="2564"/>
      <c r="V61" s="2564"/>
      <c r="W61" s="2564"/>
      <c r="X61" s="2564"/>
      <c r="Y61" s="2564"/>
      <c r="Z61" s="2564"/>
      <c r="AA61" s="2564"/>
      <c r="AB61" s="2564"/>
      <c r="AC61" s="2564"/>
      <c r="AD61" s="2564"/>
      <c r="AE61" s="2564"/>
      <c r="AF61" s="2576"/>
    </row>
    <row r="62" spans="1:32" ht="18" x14ac:dyDescent="0.3">
      <c r="A62" s="2722" t="s">
        <v>482</v>
      </c>
      <c r="B62" s="2723" t="s">
        <v>483</v>
      </c>
      <c r="C62" s="2723" t="s">
        <v>484</v>
      </c>
      <c r="D62" s="2723" t="s">
        <v>485</v>
      </c>
      <c r="E62" s="2723" t="s">
        <v>486</v>
      </c>
      <c r="F62" s="2724" t="s">
        <v>487</v>
      </c>
      <c r="G62" s="2723" t="s">
        <v>488</v>
      </c>
      <c r="H62" s="2723" t="s">
        <v>489</v>
      </c>
      <c r="I62" s="1381" t="s">
        <v>490</v>
      </c>
      <c r="J62" s="1381"/>
      <c r="K62" s="1381"/>
      <c r="L62" s="1381"/>
      <c r="M62" s="1382" t="s">
        <v>491</v>
      </c>
      <c r="N62" s="1383" t="s">
        <v>492</v>
      </c>
      <c r="O62" s="1384" t="s">
        <v>493</v>
      </c>
      <c r="P62" s="1383" t="s">
        <v>492</v>
      </c>
      <c r="Q62" s="1383" t="s">
        <v>494</v>
      </c>
      <c r="R62" s="1385" t="s">
        <v>495</v>
      </c>
      <c r="S62" s="1052" t="s">
        <v>496</v>
      </c>
      <c r="T62" s="2582" t="s">
        <v>497</v>
      </c>
      <c r="U62" s="2581"/>
      <c r="V62" s="2581"/>
      <c r="W62" s="2581"/>
      <c r="X62" s="2581"/>
      <c r="Y62" s="2582" t="s">
        <v>498</v>
      </c>
      <c r="Z62" s="2581"/>
      <c r="AA62" s="2608" t="s">
        <v>499</v>
      </c>
      <c r="AB62" s="2607"/>
      <c r="AC62" s="2607"/>
      <c r="AD62" s="2607"/>
      <c r="AE62" s="2607"/>
      <c r="AF62" s="2609"/>
    </row>
    <row r="63" spans="1:32" ht="18" x14ac:dyDescent="0.3">
      <c r="A63" s="2722"/>
      <c r="B63" s="2723"/>
      <c r="C63" s="2723"/>
      <c r="D63" s="2723"/>
      <c r="E63" s="2723"/>
      <c r="F63" s="2724"/>
      <c r="G63" s="2723"/>
      <c r="H63" s="2723"/>
      <c r="I63" s="1386" t="s">
        <v>500</v>
      </c>
      <c r="J63" s="1386" t="s">
        <v>501</v>
      </c>
      <c r="K63" s="1386" t="s">
        <v>502</v>
      </c>
      <c r="L63" s="1386" t="s">
        <v>503</v>
      </c>
      <c r="M63" s="1382" t="s">
        <v>504</v>
      </c>
      <c r="N63" s="1383" t="s">
        <v>505</v>
      </c>
      <c r="O63" s="1384" t="s">
        <v>506</v>
      </c>
      <c r="P63" s="1383" t="s">
        <v>507</v>
      </c>
      <c r="Q63" s="1383" t="s">
        <v>507</v>
      </c>
      <c r="R63" s="1385"/>
      <c r="S63" s="1052" t="s">
        <v>508</v>
      </c>
      <c r="T63" s="2787"/>
      <c r="U63" s="2788"/>
      <c r="V63" s="2788"/>
      <c r="W63" s="2788"/>
      <c r="X63" s="2788"/>
      <c r="Y63" s="2787"/>
      <c r="Z63" s="2788"/>
      <c r="AA63" s="2787"/>
      <c r="AB63" s="2788"/>
      <c r="AC63" s="2788"/>
      <c r="AD63" s="2788"/>
      <c r="AE63" s="2788"/>
      <c r="AF63" s="2789"/>
    </row>
    <row r="64" spans="1:32" ht="15.6" x14ac:dyDescent="0.3">
      <c r="A64" s="2796" t="s">
        <v>509</v>
      </c>
      <c r="B64" s="2797"/>
      <c r="C64" s="2797"/>
      <c r="D64" s="2797"/>
      <c r="E64" s="2797"/>
      <c r="F64" s="2797"/>
      <c r="G64" s="2797"/>
      <c r="H64" s="2797"/>
      <c r="I64" s="2797"/>
      <c r="J64" s="2797"/>
      <c r="K64" s="2797"/>
      <c r="L64" s="2797"/>
      <c r="M64" s="2797"/>
      <c r="N64" s="2797"/>
      <c r="O64" s="2797"/>
      <c r="P64" s="2797"/>
      <c r="Q64" s="2797"/>
      <c r="R64" s="2797"/>
      <c r="S64" s="1577"/>
      <c r="T64" s="1553" t="s">
        <v>510</v>
      </c>
      <c r="U64" s="1554" t="s">
        <v>11</v>
      </c>
      <c r="V64" s="1554" t="s">
        <v>511</v>
      </c>
      <c r="W64" s="1554" t="s">
        <v>512</v>
      </c>
      <c r="X64" s="1578" t="s">
        <v>513</v>
      </c>
      <c r="Y64" s="1553" t="s">
        <v>514</v>
      </c>
      <c r="Z64" s="1578" t="s">
        <v>515</v>
      </c>
      <c r="AA64" s="1554" t="s">
        <v>248</v>
      </c>
      <c r="AB64" s="1554" t="s">
        <v>226</v>
      </c>
      <c r="AC64" s="1554" t="s">
        <v>249</v>
      </c>
      <c r="AD64" s="1554" t="s">
        <v>206</v>
      </c>
      <c r="AE64" s="1554" t="s">
        <v>254</v>
      </c>
      <c r="AF64" s="1668" t="s">
        <v>5</v>
      </c>
    </row>
    <row r="65" spans="1:32" x14ac:dyDescent="0.3">
      <c r="A65" s="154"/>
      <c r="B65" s="462"/>
      <c r="C65" s="462"/>
      <c r="D65" s="462"/>
      <c r="E65" s="462"/>
      <c r="F65" s="463"/>
      <c r="G65" s="462"/>
      <c r="H65" s="462"/>
      <c r="I65" s="465"/>
      <c r="J65" s="465"/>
      <c r="K65" s="465"/>
      <c r="L65" s="465"/>
      <c r="M65" s="462"/>
      <c r="N65" s="468"/>
      <c r="O65" s="469"/>
      <c r="P65" s="468"/>
      <c r="Q65" s="468"/>
      <c r="R65" s="501"/>
      <c r="S65" s="166"/>
      <c r="T65" s="188"/>
      <c r="X65" s="286"/>
      <c r="Y65" s="188"/>
      <c r="Z65" s="286"/>
      <c r="AA65" s="464"/>
      <c r="AB65" s="465"/>
      <c r="AC65" s="465"/>
      <c r="AD65" s="465"/>
      <c r="AE65" s="465"/>
      <c r="AF65" s="466"/>
    </row>
    <row r="66" spans="1:32" x14ac:dyDescent="0.3">
      <c r="A66" s="157" t="s">
        <v>1098</v>
      </c>
      <c r="B66" s="157" t="s">
        <v>250</v>
      </c>
      <c r="C66" s="157" t="s">
        <v>1099</v>
      </c>
      <c r="D66" s="157" t="s">
        <v>208</v>
      </c>
      <c r="E66" s="157" t="s">
        <v>520</v>
      </c>
      <c r="F66" s="158" t="s">
        <v>1100</v>
      </c>
      <c r="G66" s="157">
        <v>4</v>
      </c>
      <c r="H66" s="157" t="s">
        <v>63</v>
      </c>
      <c r="I66" s="185"/>
      <c r="J66" s="160"/>
      <c r="K66" s="161">
        <v>4</v>
      </c>
      <c r="L66" s="2209"/>
      <c r="M66" s="163">
        <v>1</v>
      </c>
      <c r="N66" s="166">
        <v>4685.12</v>
      </c>
      <c r="O66" s="173">
        <v>0.33300000000000002</v>
      </c>
      <c r="P66" s="166">
        <f t="shared" ref="P66" si="9">N66*(1-O66)</f>
        <v>3124.9750400000003</v>
      </c>
      <c r="Q66" s="166">
        <f t="shared" ref="Q66:Q75" si="10">P66*M66*G66</f>
        <v>12499.900160000001</v>
      </c>
      <c r="R66" s="184">
        <f t="shared" ref="R66:R75" si="11">Q66/$Q$83</f>
        <v>6.6610013097796156E-2</v>
      </c>
      <c r="S66" s="503">
        <f t="shared" ref="S66:S75" si="12">Q66</f>
        <v>12499.900160000001</v>
      </c>
      <c r="T66" s="394">
        <f t="shared" ref="T66:T68" si="13">S66</f>
        <v>12499.900160000001</v>
      </c>
      <c r="X66" s="286"/>
      <c r="Y66" s="394">
        <f>S66</f>
        <v>12499.900160000001</v>
      </c>
      <c r="Z66" s="395"/>
      <c r="AA66" s="394">
        <f>S66</f>
        <v>12499.900160000001</v>
      </c>
      <c r="AF66" s="286"/>
    </row>
    <row r="67" spans="1:32" x14ac:dyDescent="0.3">
      <c r="A67" s="157" t="s">
        <v>1098</v>
      </c>
      <c r="B67" s="157" t="s">
        <v>227</v>
      </c>
      <c r="C67" s="157" t="s">
        <v>1099</v>
      </c>
      <c r="D67" s="157" t="s">
        <v>102</v>
      </c>
      <c r="E67" s="157" t="s">
        <v>518</v>
      </c>
      <c r="F67" s="158" t="s">
        <v>521</v>
      </c>
      <c r="G67" s="157">
        <v>2</v>
      </c>
      <c r="H67" s="157" t="s">
        <v>24</v>
      </c>
      <c r="I67" s="159">
        <v>2</v>
      </c>
      <c r="J67" s="161"/>
      <c r="K67" s="161"/>
      <c r="L67" s="2209"/>
      <c r="M67" s="163">
        <v>1</v>
      </c>
      <c r="N67" s="166">
        <v>8132.89</v>
      </c>
      <c r="O67" s="173">
        <v>0.72</v>
      </c>
      <c r="P67" s="166">
        <f>N67*(1-O67)</f>
        <v>2277.2092000000002</v>
      </c>
      <c r="Q67" s="166">
        <f t="shared" si="10"/>
        <v>4554.4184000000005</v>
      </c>
      <c r="R67" s="167">
        <f t="shared" si="11"/>
        <v>2.4269783389761396E-2</v>
      </c>
      <c r="S67" s="503">
        <f t="shared" si="12"/>
        <v>4554.4184000000005</v>
      </c>
      <c r="T67" s="394">
        <f t="shared" si="13"/>
        <v>4554.4184000000005</v>
      </c>
      <c r="X67" s="286"/>
      <c r="Y67" s="394"/>
      <c r="Z67" s="395">
        <f>S67</f>
        <v>4554.4184000000005</v>
      </c>
      <c r="AA67" s="188"/>
      <c r="AB67" s="169">
        <f>S67</f>
        <v>4554.4184000000005</v>
      </c>
      <c r="AF67" s="286"/>
    </row>
    <row r="68" spans="1:32" x14ac:dyDescent="0.3">
      <c r="A68" s="157" t="s">
        <v>1098</v>
      </c>
      <c r="B68" s="157" t="s">
        <v>250</v>
      </c>
      <c r="C68" s="157" t="s">
        <v>1099</v>
      </c>
      <c r="D68" s="157" t="s">
        <v>26</v>
      </c>
      <c r="E68" s="157" t="s">
        <v>520</v>
      </c>
      <c r="F68" s="158" t="s">
        <v>551</v>
      </c>
      <c r="G68" s="157">
        <v>3</v>
      </c>
      <c r="H68" s="157" t="s">
        <v>24</v>
      </c>
      <c r="I68" s="182">
        <v>3</v>
      </c>
      <c r="J68" s="183"/>
      <c r="K68" s="183"/>
      <c r="L68" s="2239"/>
      <c r="M68" s="163">
        <v>1</v>
      </c>
      <c r="N68" s="166">
        <v>11343.75</v>
      </c>
      <c r="O68" s="173">
        <v>0.21740000000000001</v>
      </c>
      <c r="P68" s="166">
        <f t="shared" ref="P68:P75" si="14">N68*(1-O68)</f>
        <v>8877.6187499999996</v>
      </c>
      <c r="Q68" s="166">
        <f t="shared" si="10"/>
        <v>26632.856249999997</v>
      </c>
      <c r="R68" s="184">
        <f t="shared" si="11"/>
        <v>0.14192232585353881</v>
      </c>
      <c r="S68" s="503">
        <f t="shared" si="12"/>
        <v>26632.856249999997</v>
      </c>
      <c r="T68" s="394">
        <f t="shared" si="13"/>
        <v>26632.856249999997</v>
      </c>
      <c r="X68" s="286"/>
      <c r="Y68" s="394">
        <f>S68</f>
        <v>26632.856249999997</v>
      </c>
      <c r="Z68" s="395"/>
      <c r="AA68" s="394">
        <f>S68</f>
        <v>26632.856249999997</v>
      </c>
      <c r="AF68" s="286"/>
    </row>
    <row r="69" spans="1:32" x14ac:dyDescent="0.3">
      <c r="A69" s="157" t="s">
        <v>1098</v>
      </c>
      <c r="B69" s="157" t="s">
        <v>251</v>
      </c>
      <c r="C69" s="157" t="s">
        <v>1099</v>
      </c>
      <c r="D69" s="157" t="s">
        <v>102</v>
      </c>
      <c r="E69" s="157" t="s">
        <v>518</v>
      </c>
      <c r="F69" s="158" t="s">
        <v>521</v>
      </c>
      <c r="G69" s="157">
        <v>2</v>
      </c>
      <c r="H69" s="157" t="s">
        <v>24</v>
      </c>
      <c r="I69" s="182">
        <v>2</v>
      </c>
      <c r="J69" s="183"/>
      <c r="K69" s="183"/>
      <c r="L69" s="2239"/>
      <c r="M69" s="163">
        <v>1</v>
      </c>
      <c r="N69" s="166">
        <v>3600</v>
      </c>
      <c r="O69" s="173">
        <v>0.17</v>
      </c>
      <c r="P69" s="166">
        <f t="shared" si="14"/>
        <v>2988</v>
      </c>
      <c r="Q69" s="166">
        <f t="shared" si="10"/>
        <v>5976</v>
      </c>
      <c r="R69" s="167">
        <f t="shared" si="11"/>
        <v>3.1845169415531539E-2</v>
      </c>
      <c r="S69" s="503">
        <f t="shared" si="12"/>
        <v>5976</v>
      </c>
      <c r="T69" s="394">
        <f>S69</f>
        <v>5976</v>
      </c>
      <c r="X69" s="286"/>
      <c r="Y69" s="394"/>
      <c r="Z69" s="395">
        <f>S69</f>
        <v>5976</v>
      </c>
      <c r="AA69" s="188"/>
      <c r="AC69" s="169">
        <f>S69</f>
        <v>5976</v>
      </c>
      <c r="AF69" s="286"/>
    </row>
    <row r="70" spans="1:32" x14ac:dyDescent="0.3">
      <c r="A70" s="157" t="s">
        <v>1098</v>
      </c>
      <c r="B70" s="157" t="s">
        <v>251</v>
      </c>
      <c r="C70" s="157" t="s">
        <v>1038</v>
      </c>
      <c r="D70" s="157" t="s">
        <v>252</v>
      </c>
      <c r="E70" s="157" t="s">
        <v>520</v>
      </c>
      <c r="F70" s="158" t="s">
        <v>43</v>
      </c>
      <c r="G70" s="157">
        <v>1</v>
      </c>
      <c r="H70" s="157" t="s">
        <v>24</v>
      </c>
      <c r="I70" s="182">
        <v>1</v>
      </c>
      <c r="J70" s="183"/>
      <c r="K70" s="183"/>
      <c r="L70" s="2239"/>
      <c r="M70" s="163">
        <v>1</v>
      </c>
      <c r="N70" s="166">
        <v>3600</v>
      </c>
      <c r="O70" s="173">
        <v>0.17</v>
      </c>
      <c r="P70" s="166">
        <f t="shared" si="14"/>
        <v>2988</v>
      </c>
      <c r="Q70" s="166">
        <f t="shared" si="10"/>
        <v>2988</v>
      </c>
      <c r="R70" s="1390">
        <f t="shared" si="11"/>
        <v>1.592258470776577E-2</v>
      </c>
      <c r="S70" s="503">
        <f t="shared" si="12"/>
        <v>2988</v>
      </c>
      <c r="T70" s="394">
        <f>S70</f>
        <v>2988</v>
      </c>
      <c r="U70" s="169"/>
      <c r="V70" s="169"/>
      <c r="X70" s="286"/>
      <c r="Y70" s="394">
        <f>S70</f>
        <v>2988</v>
      </c>
      <c r="Z70" s="286"/>
      <c r="AA70" s="188"/>
      <c r="AC70" s="169">
        <f>S70</f>
        <v>2988</v>
      </c>
      <c r="AF70" s="286"/>
    </row>
    <row r="71" spans="1:32" x14ac:dyDescent="0.3">
      <c r="A71" s="157" t="s">
        <v>1098</v>
      </c>
      <c r="B71" s="157" t="s">
        <v>251</v>
      </c>
      <c r="C71" s="157" t="s">
        <v>1099</v>
      </c>
      <c r="D71" s="157" t="s">
        <v>208</v>
      </c>
      <c r="E71" s="157" t="s">
        <v>520</v>
      </c>
      <c r="F71" s="158" t="s">
        <v>1100</v>
      </c>
      <c r="G71" s="157">
        <v>8</v>
      </c>
      <c r="H71" s="157" t="s">
        <v>24</v>
      </c>
      <c r="I71" s="175">
        <v>8</v>
      </c>
      <c r="J71" s="688"/>
      <c r="L71" s="286"/>
      <c r="M71" s="163">
        <v>1</v>
      </c>
      <c r="N71" s="166">
        <v>1400</v>
      </c>
      <c r="O71" s="173">
        <v>0.14000000000000001</v>
      </c>
      <c r="P71" s="166">
        <f t="shared" si="14"/>
        <v>1204</v>
      </c>
      <c r="Q71" s="166">
        <f t="shared" si="10"/>
        <v>9632</v>
      </c>
      <c r="R71" s="1390">
        <f t="shared" si="11"/>
        <v>5.132742165502005E-2</v>
      </c>
      <c r="S71" s="503">
        <f t="shared" si="12"/>
        <v>9632</v>
      </c>
      <c r="T71" s="394">
        <f>S71</f>
        <v>9632</v>
      </c>
      <c r="V71" s="169"/>
      <c r="X71" s="286"/>
      <c r="Y71" s="394">
        <f>S71</f>
        <v>9632</v>
      </c>
      <c r="Z71" s="395"/>
      <c r="AA71" s="188"/>
      <c r="AC71" s="169">
        <f>S71</f>
        <v>9632</v>
      </c>
      <c r="AF71" s="286"/>
    </row>
    <row r="72" spans="1:32" x14ac:dyDescent="0.3">
      <c r="A72" s="157" t="s">
        <v>1098</v>
      </c>
      <c r="B72" s="157" t="s">
        <v>210</v>
      </c>
      <c r="C72" s="157" t="s">
        <v>1101</v>
      </c>
      <c r="D72" s="157" t="s">
        <v>211</v>
      </c>
      <c r="E72" s="157" t="s">
        <v>520</v>
      </c>
      <c r="F72" s="158" t="s">
        <v>994</v>
      </c>
      <c r="G72" s="157">
        <v>6</v>
      </c>
      <c r="H72" s="157" t="s">
        <v>63</v>
      </c>
      <c r="I72" s="175">
        <v>6</v>
      </c>
      <c r="J72" s="688"/>
      <c r="K72" s="1"/>
      <c r="L72" s="163"/>
      <c r="M72" s="163">
        <v>1</v>
      </c>
      <c r="N72" s="473">
        <v>2049</v>
      </c>
      <c r="O72" s="165">
        <v>0.6</v>
      </c>
      <c r="P72" s="473">
        <f t="shared" si="14"/>
        <v>819.6</v>
      </c>
      <c r="Q72" s="473">
        <f t="shared" si="10"/>
        <v>4917.6000000000004</v>
      </c>
      <c r="R72" s="1669">
        <f t="shared" si="11"/>
        <v>2.6205121338322944E-2</v>
      </c>
      <c r="S72" s="164">
        <f t="shared" si="12"/>
        <v>4917.6000000000004</v>
      </c>
      <c r="T72" s="394"/>
      <c r="U72" s="169">
        <f>S72</f>
        <v>4917.6000000000004</v>
      </c>
      <c r="V72" s="169"/>
      <c r="X72" s="286"/>
      <c r="Y72" s="394">
        <f>S72</f>
        <v>4917.6000000000004</v>
      </c>
      <c r="Z72" s="286"/>
      <c r="AA72" s="188"/>
      <c r="AD72" s="169">
        <f>S72</f>
        <v>4917.6000000000004</v>
      </c>
      <c r="AF72" s="286"/>
    </row>
    <row r="73" spans="1:32" x14ac:dyDescent="0.3">
      <c r="A73" s="157" t="s">
        <v>1098</v>
      </c>
      <c r="B73" s="157" t="s">
        <v>210</v>
      </c>
      <c r="C73" s="157" t="s">
        <v>1101</v>
      </c>
      <c r="D73" s="157" t="s">
        <v>211</v>
      </c>
      <c r="E73" s="157" t="s">
        <v>518</v>
      </c>
      <c r="F73" s="158" t="s">
        <v>994</v>
      </c>
      <c r="G73" s="157">
        <v>5</v>
      </c>
      <c r="H73" s="157" t="s">
        <v>63</v>
      </c>
      <c r="I73" s="1"/>
      <c r="J73" s="1"/>
      <c r="K73" s="161">
        <v>5</v>
      </c>
      <c r="L73" s="2209"/>
      <c r="M73" s="163">
        <v>1</v>
      </c>
      <c r="N73" s="473">
        <v>5463</v>
      </c>
      <c r="O73" s="165">
        <v>0.6</v>
      </c>
      <c r="P73" s="473">
        <f t="shared" si="14"/>
        <v>2185.2000000000003</v>
      </c>
      <c r="Q73" s="473">
        <f t="shared" si="10"/>
        <v>10926.000000000002</v>
      </c>
      <c r="R73" s="608">
        <f t="shared" si="11"/>
        <v>5.8222945286830266E-2</v>
      </c>
      <c r="S73" s="164">
        <f t="shared" si="12"/>
        <v>10926.000000000002</v>
      </c>
      <c r="T73" s="394"/>
      <c r="U73" s="169">
        <f>S73</f>
        <v>10926.000000000002</v>
      </c>
      <c r="V73" s="169"/>
      <c r="X73" s="286"/>
      <c r="Y73" s="394"/>
      <c r="Z73" s="395">
        <f>S73</f>
        <v>10926.000000000002</v>
      </c>
      <c r="AA73" s="188"/>
      <c r="AD73" s="169">
        <f>S73</f>
        <v>10926.000000000002</v>
      </c>
      <c r="AF73" s="286"/>
    </row>
    <row r="74" spans="1:32" x14ac:dyDescent="0.3">
      <c r="A74" s="157" t="s">
        <v>1098</v>
      </c>
      <c r="B74" s="157" t="s">
        <v>179</v>
      </c>
      <c r="C74" s="157" t="s">
        <v>1041</v>
      </c>
      <c r="D74" s="157" t="s">
        <v>180</v>
      </c>
      <c r="E74" s="157" t="s">
        <v>520</v>
      </c>
      <c r="F74" s="158" t="s">
        <v>553</v>
      </c>
      <c r="G74" s="157">
        <v>8</v>
      </c>
      <c r="H74" s="157" t="s">
        <v>24</v>
      </c>
      <c r="I74" s="182">
        <v>8</v>
      </c>
      <c r="J74" s="183"/>
      <c r="K74" s="183"/>
      <c r="L74" s="2239"/>
      <c r="M74" s="163">
        <v>1</v>
      </c>
      <c r="N74" s="473">
        <v>11069</v>
      </c>
      <c r="O74" s="165">
        <v>0.4</v>
      </c>
      <c r="P74" s="473">
        <f t="shared" si="14"/>
        <v>6641.4</v>
      </c>
      <c r="Q74" s="473">
        <f t="shared" si="10"/>
        <v>53131.199999999997</v>
      </c>
      <c r="R74" s="1664">
        <f t="shared" si="11"/>
        <v>0.28312785563093867</v>
      </c>
      <c r="S74" s="164">
        <f t="shared" si="12"/>
        <v>53131.199999999997</v>
      </c>
      <c r="T74" s="394"/>
      <c r="V74" s="169">
        <f>S74</f>
        <v>53131.199999999997</v>
      </c>
      <c r="X74" s="286"/>
      <c r="Y74" s="394">
        <f>S74</f>
        <v>53131.199999999997</v>
      </c>
      <c r="Z74" s="286"/>
      <c r="AA74" s="188"/>
      <c r="AE74" s="169">
        <f>S74</f>
        <v>53131.199999999997</v>
      </c>
      <c r="AF74" s="286"/>
    </row>
    <row r="75" spans="1:32" x14ac:dyDescent="0.3">
      <c r="A75" s="157" t="s">
        <v>1098</v>
      </c>
      <c r="B75" s="157" t="s">
        <v>108</v>
      </c>
      <c r="C75" s="157" t="s">
        <v>1039</v>
      </c>
      <c r="D75" s="157" t="s">
        <v>255</v>
      </c>
      <c r="E75" s="157" t="s">
        <v>518</v>
      </c>
      <c r="F75" s="158" t="s">
        <v>553</v>
      </c>
      <c r="G75" s="157">
        <v>3</v>
      </c>
      <c r="H75" s="157" t="s">
        <v>22</v>
      </c>
      <c r="I75" s="182">
        <v>3</v>
      </c>
      <c r="J75" s="1648"/>
      <c r="K75" s="183">
        <v>3</v>
      </c>
      <c r="L75" s="1649"/>
      <c r="M75" s="163">
        <v>2</v>
      </c>
      <c r="N75" s="473">
        <v>8000</v>
      </c>
      <c r="O75" s="165">
        <v>0.2</v>
      </c>
      <c r="P75" s="473">
        <f t="shared" si="14"/>
        <v>6400</v>
      </c>
      <c r="Q75" s="473">
        <f t="shared" si="10"/>
        <v>38400</v>
      </c>
      <c r="R75" s="608">
        <f t="shared" si="11"/>
        <v>0.20462759463795369</v>
      </c>
      <c r="S75" s="164">
        <f t="shared" si="12"/>
        <v>38400</v>
      </c>
      <c r="T75" s="394"/>
      <c r="U75" s="169">
        <f>S75</f>
        <v>38400</v>
      </c>
      <c r="V75" s="169"/>
      <c r="X75" s="286"/>
      <c r="Y75" s="394">
        <f>S75</f>
        <v>38400</v>
      </c>
      <c r="Z75" s="286"/>
      <c r="AA75" s="188"/>
      <c r="AF75" s="395">
        <f>S75</f>
        <v>38400</v>
      </c>
    </row>
    <row r="76" spans="1:32" x14ac:dyDescent="0.3">
      <c r="A76" s="157"/>
      <c r="B76" s="157"/>
      <c r="C76" s="157"/>
      <c r="D76" s="157"/>
      <c r="E76" s="157"/>
      <c r="F76" s="158"/>
      <c r="G76" s="157"/>
      <c r="H76" s="157"/>
      <c r="I76" s="1"/>
      <c r="J76" s="1"/>
      <c r="K76" s="1"/>
      <c r="L76" s="163"/>
      <c r="M76" s="163"/>
      <c r="N76" s="473"/>
      <c r="O76" s="165"/>
      <c r="P76" s="473"/>
      <c r="Q76" s="473"/>
      <c r="R76" s="1664"/>
      <c r="S76" s="164"/>
      <c r="T76" s="394"/>
      <c r="V76" s="169"/>
      <c r="X76" s="286"/>
      <c r="Y76" s="394"/>
      <c r="Z76" s="286"/>
      <c r="AA76" s="188"/>
      <c r="AF76" s="286"/>
    </row>
    <row r="77" spans="1:32" x14ac:dyDescent="0.3">
      <c r="A77" s="157"/>
      <c r="B77" s="157"/>
      <c r="C77" s="157"/>
      <c r="D77" s="157"/>
      <c r="E77" s="157"/>
      <c r="F77" s="158"/>
      <c r="G77" s="157"/>
      <c r="H77" s="157"/>
      <c r="I77" s="1"/>
      <c r="J77" s="1"/>
      <c r="K77" s="1"/>
      <c r="L77" s="163"/>
      <c r="M77" s="163"/>
      <c r="N77" s="473"/>
      <c r="O77" s="165"/>
      <c r="P77" s="473"/>
      <c r="Q77" s="473"/>
      <c r="R77" s="1664"/>
      <c r="S77" s="164"/>
      <c r="T77" s="394"/>
      <c r="V77" s="169"/>
      <c r="X77" s="286"/>
      <c r="Y77" s="394"/>
      <c r="Z77" s="286"/>
      <c r="AA77" s="188"/>
      <c r="AF77" s="286"/>
    </row>
    <row r="78" spans="1:32" x14ac:dyDescent="0.3">
      <c r="A78" s="157"/>
      <c r="B78" s="157"/>
      <c r="C78" s="157"/>
      <c r="D78" s="157"/>
      <c r="E78" s="157"/>
      <c r="F78" s="158"/>
      <c r="G78" s="157"/>
      <c r="H78" s="157"/>
      <c r="I78" s="1"/>
      <c r="J78" s="1"/>
      <c r="K78" s="1"/>
      <c r="L78" s="163"/>
      <c r="M78" s="163"/>
      <c r="N78" s="473"/>
      <c r="O78" s="165"/>
      <c r="P78" s="473"/>
      <c r="Q78" s="473"/>
      <c r="R78" s="1664"/>
      <c r="S78" s="164"/>
      <c r="T78" s="394"/>
      <c r="V78" s="169"/>
      <c r="X78" s="286"/>
      <c r="Y78" s="394"/>
      <c r="Z78" s="286"/>
      <c r="AA78" s="188"/>
      <c r="AF78" s="286"/>
    </row>
    <row r="79" spans="1:32" x14ac:dyDescent="0.3">
      <c r="A79" s="172"/>
      <c r="B79" s="157"/>
      <c r="C79" s="190"/>
      <c r="D79" s="190"/>
      <c r="E79" s="190"/>
      <c r="F79" s="191"/>
      <c r="G79" s="190"/>
      <c r="H79" s="190"/>
      <c r="I79" s="245"/>
      <c r="J79" s="245"/>
      <c r="K79" s="245"/>
      <c r="L79" s="287"/>
      <c r="M79" s="190"/>
      <c r="N79" s="194"/>
      <c r="O79" s="195"/>
      <c r="P79" s="194"/>
      <c r="Q79" s="166"/>
      <c r="R79" s="393"/>
      <c r="S79" s="503"/>
      <c r="T79" s="188"/>
      <c r="X79" s="286"/>
      <c r="Y79" s="188"/>
      <c r="Z79" s="286"/>
      <c r="AA79" s="188"/>
      <c r="AF79" s="286"/>
    </row>
    <row r="80" spans="1:32" x14ac:dyDescent="0.3">
      <c r="A80" s="108" t="s">
        <v>1098</v>
      </c>
      <c r="B80" s="108" t="s">
        <v>528</v>
      </c>
      <c r="C80" s="289"/>
      <c r="D80" s="252"/>
      <c r="E80" s="252"/>
      <c r="F80" s="253"/>
      <c r="G80" s="252"/>
      <c r="H80" s="252"/>
      <c r="I80" s="254"/>
      <c r="J80" s="254"/>
      <c r="K80" s="254"/>
      <c r="L80" s="254"/>
      <c r="M80" s="252"/>
      <c r="N80" s="255"/>
      <c r="O80" s="256"/>
      <c r="P80" s="290"/>
      <c r="Q80" s="257"/>
      <c r="R80" s="291">
        <f>Q80/Q83</f>
        <v>0</v>
      </c>
      <c r="S80" s="503">
        <f>Q80*2</f>
        <v>0</v>
      </c>
      <c r="T80" s="188"/>
      <c r="W80" s="169">
        <f>S80</f>
        <v>0</v>
      </c>
      <c r="X80" s="286"/>
      <c r="Y80" s="188"/>
      <c r="Z80" s="286"/>
      <c r="AA80" s="188"/>
      <c r="AF80" s="286"/>
    </row>
    <row r="81" spans="1:32" x14ac:dyDescent="0.3">
      <c r="A81" s="108" t="s">
        <v>1098</v>
      </c>
      <c r="B81" s="108" t="s">
        <v>529</v>
      </c>
      <c r="C81" s="289"/>
      <c r="D81" s="252"/>
      <c r="E81" s="252"/>
      <c r="F81" s="253"/>
      <c r="G81" s="252"/>
      <c r="H81" s="252"/>
      <c r="I81" s="254"/>
      <c r="J81" s="254"/>
      <c r="K81" s="254"/>
      <c r="L81" s="254"/>
      <c r="M81" s="252"/>
      <c r="N81" s="255"/>
      <c r="O81" s="256"/>
      <c r="P81" s="290"/>
      <c r="Q81" s="257">
        <v>18000</v>
      </c>
      <c r="R81" s="291">
        <f>Q81/Q83</f>
        <v>9.5919184986540784E-2</v>
      </c>
      <c r="S81" s="503">
        <f>Q81</f>
        <v>18000</v>
      </c>
      <c r="T81" s="188"/>
      <c r="X81" s="395">
        <f>S81</f>
        <v>18000</v>
      </c>
      <c r="Y81" s="188"/>
      <c r="Z81" s="286"/>
      <c r="AA81" s="188"/>
      <c r="AF81" s="286"/>
    </row>
    <row r="82" spans="1:32" x14ac:dyDescent="0.3">
      <c r="I82" s="115">
        <f>I83/M83</f>
        <v>0.73333333333333328</v>
      </c>
      <c r="J82" s="115"/>
      <c r="K82" s="115">
        <f>K83/M83</f>
        <v>0.26666666666666666</v>
      </c>
      <c r="S82" s="166"/>
      <c r="T82" s="188"/>
      <c r="X82" s="286"/>
      <c r="Y82" s="188"/>
      <c r="Z82" s="286"/>
      <c r="AA82" s="188"/>
      <c r="AF82" s="286"/>
    </row>
    <row r="83" spans="1:32" x14ac:dyDescent="0.3">
      <c r="A83" s="840" t="s">
        <v>531</v>
      </c>
      <c r="B83" s="841"/>
      <c r="C83" s="841"/>
      <c r="D83" s="841"/>
      <c r="E83" s="841"/>
      <c r="F83" s="842"/>
      <c r="G83" s="841"/>
      <c r="H83" s="841"/>
      <c r="I83" s="841">
        <f>I75+I74+I72+I71+I70+I69+I68+I67</f>
        <v>33</v>
      </c>
      <c r="J83" s="841"/>
      <c r="K83" s="841">
        <f>K75+K73+K66</f>
        <v>12</v>
      </c>
      <c r="L83" s="841"/>
      <c r="M83" s="841">
        <f>SUM(I83:L83)</f>
        <v>45</v>
      </c>
      <c r="N83" s="843"/>
      <c r="O83" s="844"/>
      <c r="P83" s="843"/>
      <c r="Q83" s="845">
        <f>SUM(Q65:Q82)</f>
        <v>187657.97480999999</v>
      </c>
      <c r="R83" s="844">
        <f>SUM(R65:R81)</f>
        <v>1</v>
      </c>
      <c r="S83" s="1580">
        <f>SUM(S65:S82)</f>
        <v>187657.97480999999</v>
      </c>
      <c r="T83" s="1581">
        <f t="shared" ref="T83:Z83" si="15">SUM(T65:T81)</f>
        <v>62283.174809999997</v>
      </c>
      <c r="U83" s="570">
        <f t="shared" si="15"/>
        <v>54243.600000000006</v>
      </c>
      <c r="V83" s="570">
        <f t="shared" si="15"/>
        <v>53131.199999999997</v>
      </c>
      <c r="W83" s="570">
        <f t="shared" si="15"/>
        <v>0</v>
      </c>
      <c r="X83" s="570">
        <f t="shared" si="15"/>
        <v>18000</v>
      </c>
      <c r="Y83" s="1091">
        <f t="shared" si="15"/>
        <v>148201.55640999999</v>
      </c>
      <c r="Z83" s="1056">
        <f t="shared" si="15"/>
        <v>21456.418400000002</v>
      </c>
      <c r="AA83" s="1582">
        <f>SUM(AA66:AA82)</f>
        <v>39132.756410000002</v>
      </c>
      <c r="AB83" s="1583">
        <f>SUM(AB66:AB82)</f>
        <v>4554.4184000000005</v>
      </c>
      <c r="AC83" s="1583">
        <f t="shared" ref="AC83:AF83" si="16">SUM(AC66:AC82)</f>
        <v>18596</v>
      </c>
      <c r="AD83" s="1583">
        <f t="shared" si="16"/>
        <v>15843.600000000002</v>
      </c>
      <c r="AE83" s="1583">
        <f t="shared" si="16"/>
        <v>53131.199999999997</v>
      </c>
      <c r="AF83" s="1584">
        <f t="shared" si="16"/>
        <v>38400</v>
      </c>
    </row>
    <row r="84" spans="1:32" x14ac:dyDescent="0.3">
      <c r="A84" s="840" t="s">
        <v>532</v>
      </c>
      <c r="B84" s="841"/>
      <c r="C84" s="841"/>
      <c r="D84" s="841"/>
      <c r="E84" s="841"/>
      <c r="F84" s="842"/>
      <c r="G84" s="841"/>
      <c r="H84" s="841"/>
      <c r="I84" s="841">
        <f>I75+I74+I72+I71+I70+I69+I68+I67</f>
        <v>33</v>
      </c>
      <c r="J84" s="841">
        <f>I74+I72+I71+I70+I69+I68+I67</f>
        <v>30</v>
      </c>
      <c r="K84" s="841">
        <f>K75+I74+K73+I70+I69+I68+I67+K66</f>
        <v>28</v>
      </c>
      <c r="L84" s="841">
        <f>I74+K73+I70+I69+I68+I67+K66</f>
        <v>25</v>
      </c>
      <c r="M84" s="841">
        <f>SUM(I84:L84)</f>
        <v>116</v>
      </c>
      <c r="N84" s="843"/>
      <c r="O84" s="844"/>
      <c r="P84" s="843"/>
      <c r="Q84" s="843"/>
      <c r="R84" s="844"/>
      <c r="S84" s="1585"/>
      <c r="T84" s="1586">
        <f>T83/S83</f>
        <v>0.33189729811941371</v>
      </c>
      <c r="U84" s="1587">
        <f>U83/S83</f>
        <v>0.28905566126310689</v>
      </c>
      <c r="V84" s="1588">
        <f>V83/S83</f>
        <v>0.28312785563093867</v>
      </c>
      <c r="W84" s="1587">
        <f>W83/S83</f>
        <v>0</v>
      </c>
      <c r="X84" s="1587">
        <f>X83/S83</f>
        <v>9.5919184986540784E-2</v>
      </c>
      <c r="Y84" s="1589">
        <f>Y83/S83</f>
        <v>0.78974291692133602</v>
      </c>
      <c r="Z84" s="1590">
        <f>Z83/S83</f>
        <v>0.11433789809212321</v>
      </c>
      <c r="AA84" s="1591"/>
      <c r="AB84" s="1592"/>
      <c r="AC84" s="1592"/>
      <c r="AD84" s="1592"/>
      <c r="AE84" s="1592"/>
      <c r="AF84" s="1593"/>
    </row>
    <row r="85" spans="1:32" x14ac:dyDescent="0.3">
      <c r="A85" s="251" t="s">
        <v>533</v>
      </c>
      <c r="B85" s="252"/>
      <c r="C85" s="252"/>
      <c r="D85" s="252"/>
      <c r="E85" s="252"/>
      <c r="F85" s="253"/>
      <c r="G85" s="252"/>
      <c r="H85" s="252"/>
      <c r="I85" s="2188">
        <f>I84/$M$84</f>
        <v>0.28448275862068967</v>
      </c>
      <c r="J85" s="2188">
        <f t="shared" ref="J85:L85" si="17">J84/$M$84</f>
        <v>0.25862068965517243</v>
      </c>
      <c r="K85" s="2188">
        <f t="shared" si="17"/>
        <v>0.2413793103448276</v>
      </c>
      <c r="L85" s="2188">
        <f t="shared" si="17"/>
        <v>0.21551724137931033</v>
      </c>
      <c r="M85" s="252"/>
      <c r="N85" s="255"/>
      <c r="O85" s="256"/>
      <c r="P85" s="255"/>
      <c r="Q85" s="257">
        <f>T83/2</f>
        <v>31141.587404999998</v>
      </c>
      <c r="R85" s="262">
        <f>Q85/Q90</f>
        <v>0.33189729811941371</v>
      </c>
      <c r="X85" s="248">
        <f>SUM(T65:X82)</f>
        <v>187657.97480999999</v>
      </c>
      <c r="Y85" s="357">
        <f>K66+I68+I70+I71+I72+I74</f>
        <v>30</v>
      </c>
      <c r="Z85" s="358">
        <f>I67+I69+K73+I75+K75</f>
        <v>15</v>
      </c>
    </row>
    <row r="86" spans="1:32" x14ac:dyDescent="0.3">
      <c r="A86" s="251" t="s">
        <v>11</v>
      </c>
      <c r="B86" s="252"/>
      <c r="C86" s="252"/>
      <c r="D86" s="252"/>
      <c r="E86" s="252"/>
      <c r="F86" s="253"/>
      <c r="G86" s="252"/>
      <c r="H86" s="252"/>
      <c r="I86" s="254"/>
      <c r="J86" s="254"/>
      <c r="K86" s="254"/>
      <c r="L86" s="254"/>
      <c r="M86" s="252"/>
      <c r="N86" s="255"/>
      <c r="O86" s="256"/>
      <c r="P86" s="255"/>
      <c r="Q86" s="257">
        <f>U83/2</f>
        <v>27121.800000000003</v>
      </c>
      <c r="R86" s="262">
        <f>Q86/Q90</f>
        <v>0.28905566126310689</v>
      </c>
      <c r="S86" s="1050">
        <f>Q83/M83</f>
        <v>4170.1772179999998</v>
      </c>
      <c r="T86" s="1051" t="s">
        <v>535</v>
      </c>
      <c r="Y86" s="195">
        <f>Y85/M83</f>
        <v>0.66666666666666663</v>
      </c>
      <c r="Z86" s="247">
        <f>Z85/M83</f>
        <v>0.33333333333333331</v>
      </c>
    </row>
    <row r="87" spans="1:32" x14ac:dyDescent="0.3">
      <c r="A87" s="251" t="s">
        <v>536</v>
      </c>
      <c r="B87" s="252"/>
      <c r="C87" s="252"/>
      <c r="D87" s="252"/>
      <c r="E87" s="252"/>
      <c r="F87" s="253"/>
      <c r="G87" s="252"/>
      <c r="H87" s="252"/>
      <c r="I87" s="254"/>
      <c r="J87" s="254"/>
      <c r="K87" s="254"/>
      <c r="L87" s="254"/>
      <c r="M87" s="252"/>
      <c r="N87" s="255"/>
      <c r="O87" s="256"/>
      <c r="P87" s="255"/>
      <c r="Q87" s="257">
        <f>V83/2</f>
        <v>26565.599999999999</v>
      </c>
      <c r="R87" s="262">
        <f>Q87/Q90</f>
        <v>0.28312785563093867</v>
      </c>
      <c r="W87" s="99"/>
      <c r="Y87" s="2551" t="s">
        <v>537</v>
      </c>
      <c r="Z87" s="2551"/>
    </row>
    <row r="88" spans="1:32" x14ac:dyDescent="0.3">
      <c r="A88" s="251" t="s">
        <v>529</v>
      </c>
      <c r="B88" s="252"/>
      <c r="C88" s="252"/>
      <c r="D88" s="252"/>
      <c r="E88" s="252"/>
      <c r="F88" s="253"/>
      <c r="G88" s="252"/>
      <c r="H88" s="252"/>
      <c r="I88" s="254"/>
      <c r="J88" s="254"/>
      <c r="K88" s="254"/>
      <c r="L88" s="254"/>
      <c r="M88" s="252"/>
      <c r="N88" s="255"/>
      <c r="O88" s="256"/>
      <c r="P88" s="255"/>
      <c r="Q88" s="257">
        <f>X83/2</f>
        <v>9000</v>
      </c>
      <c r="R88" s="262">
        <f>Q88/Q90</f>
        <v>9.5919184986540784E-2</v>
      </c>
    </row>
    <row r="89" spans="1:32" x14ac:dyDescent="0.3">
      <c r="A89" s="251" t="s">
        <v>528</v>
      </c>
      <c r="B89" s="252"/>
      <c r="C89" s="252"/>
      <c r="D89" s="252"/>
      <c r="E89" s="252"/>
      <c r="F89" s="253"/>
      <c r="G89" s="252"/>
      <c r="H89" s="252"/>
      <c r="I89" s="254"/>
      <c r="J89" s="254"/>
      <c r="K89" s="254"/>
      <c r="L89" s="254"/>
      <c r="M89" s="252"/>
      <c r="N89" s="255"/>
      <c r="O89" s="256"/>
      <c r="P89" s="255"/>
      <c r="Q89" s="257">
        <f>W83/2</f>
        <v>0</v>
      </c>
      <c r="R89" s="262">
        <f>Q89/Q90</f>
        <v>0</v>
      </c>
    </row>
    <row r="90" spans="1:32" x14ac:dyDescent="0.3">
      <c r="A90" s="251"/>
      <c r="B90" s="252"/>
      <c r="C90" s="252"/>
      <c r="D90" s="252"/>
      <c r="E90" s="252"/>
      <c r="F90" s="253"/>
      <c r="G90" s="252"/>
      <c r="H90" s="252"/>
      <c r="I90" s="254"/>
      <c r="J90" s="254"/>
      <c r="K90" s="254"/>
      <c r="L90" s="254"/>
      <c r="M90" s="252"/>
      <c r="N90" s="255"/>
      <c r="O90" s="256"/>
      <c r="P90" s="255"/>
      <c r="Q90" s="264">
        <f>SUM(Q85:Q89)</f>
        <v>93828.987404999993</v>
      </c>
      <c r="R90" s="262">
        <f>SUM(R85:R89)</f>
        <v>1</v>
      </c>
    </row>
    <row r="91" spans="1:32" x14ac:dyDescent="0.3">
      <c r="B91" s="2"/>
    </row>
    <row r="94" spans="1:32" x14ac:dyDescent="0.3">
      <c r="E94" s="1" t="s">
        <v>543</v>
      </c>
      <c r="F94" s="2" t="s">
        <v>593</v>
      </c>
      <c r="G94" s="1" t="s">
        <v>545</v>
      </c>
      <c r="H94" s="1"/>
      <c r="I94" s="304">
        <v>0.34</v>
      </c>
      <c r="J94" s="304"/>
    </row>
    <row r="95" spans="1:32" x14ac:dyDescent="0.3">
      <c r="E95" s="1" t="s">
        <v>473</v>
      </c>
      <c r="F95" s="2" t="s">
        <v>52</v>
      </c>
      <c r="G95" s="1" t="s">
        <v>473</v>
      </c>
      <c r="H95" s="1"/>
      <c r="I95" s="1">
        <v>22</v>
      </c>
      <c r="J95" s="1"/>
    </row>
    <row r="96" spans="1:32" x14ac:dyDescent="0.3">
      <c r="E96" s="1" t="s">
        <v>475</v>
      </c>
      <c r="F96" s="2" t="s">
        <v>1102</v>
      </c>
      <c r="G96" s="1" t="s">
        <v>475</v>
      </c>
      <c r="H96" s="1"/>
      <c r="I96" s="95">
        <v>749</v>
      </c>
      <c r="J96" s="95"/>
    </row>
    <row r="97" spans="1:32" x14ac:dyDescent="0.3">
      <c r="E97" s="1" t="s">
        <v>477</v>
      </c>
      <c r="F97" s="2" t="s">
        <v>1103</v>
      </c>
      <c r="G97" s="1" t="s">
        <v>477</v>
      </c>
      <c r="H97" s="1"/>
      <c r="I97" s="95">
        <v>2986082</v>
      </c>
      <c r="J97" s="95"/>
    </row>
    <row r="99" spans="1:32" ht="18" x14ac:dyDescent="0.35">
      <c r="A99" s="1037" t="s">
        <v>479</v>
      </c>
    </row>
    <row r="101" spans="1:32" x14ac:dyDescent="0.3">
      <c r="A101" s="2587" t="s">
        <v>480</v>
      </c>
      <c r="B101" s="2588"/>
      <c r="C101" s="2588"/>
      <c r="D101" s="2588"/>
      <c r="E101" s="2588"/>
      <c r="F101" s="2588"/>
      <c r="G101" s="2588"/>
      <c r="H101" s="2588"/>
      <c r="I101" s="2588"/>
      <c r="J101" s="2588"/>
      <c r="K101" s="2588"/>
      <c r="L101" s="2588"/>
      <c r="M101" s="2588"/>
      <c r="N101" s="2588"/>
      <c r="O101" s="2588"/>
      <c r="P101" s="2588"/>
      <c r="Q101" s="2588"/>
      <c r="R101" s="2589"/>
      <c r="S101" s="2563" t="s">
        <v>584</v>
      </c>
      <c r="T101" s="2564"/>
      <c r="U101" s="2564"/>
      <c r="V101" s="2564"/>
      <c r="W101" s="2564"/>
      <c r="X101" s="2564"/>
      <c r="Y101" s="2564"/>
      <c r="Z101" s="2564"/>
      <c r="AA101" s="2564"/>
      <c r="AB101" s="2564"/>
      <c r="AC101" s="2564"/>
      <c r="AD101" s="2564"/>
      <c r="AE101" s="2564"/>
      <c r="AF101" s="2576"/>
    </row>
    <row r="102" spans="1:32" ht="18" x14ac:dyDescent="0.3">
      <c r="A102" s="2810" t="s">
        <v>482</v>
      </c>
      <c r="B102" s="2784" t="s">
        <v>483</v>
      </c>
      <c r="C102" s="2784" t="s">
        <v>484</v>
      </c>
      <c r="D102" s="2784" t="s">
        <v>485</v>
      </c>
      <c r="E102" s="2784" t="s">
        <v>486</v>
      </c>
      <c r="F102" s="2785" t="s">
        <v>487</v>
      </c>
      <c r="G102" s="2784" t="s">
        <v>488</v>
      </c>
      <c r="H102" s="2784" t="s">
        <v>489</v>
      </c>
      <c r="I102" s="786" t="s">
        <v>490</v>
      </c>
      <c r="J102" s="786"/>
      <c r="K102" s="786"/>
      <c r="L102" s="786"/>
      <c r="M102" s="1549" t="s">
        <v>491</v>
      </c>
      <c r="N102" s="1550" t="s">
        <v>492</v>
      </c>
      <c r="O102" s="1551" t="s">
        <v>493</v>
      </c>
      <c r="P102" s="1550" t="s">
        <v>492</v>
      </c>
      <c r="Q102" s="1550" t="s">
        <v>494</v>
      </c>
      <c r="R102" s="1672" t="s">
        <v>495</v>
      </c>
      <c r="S102" s="1394" t="s">
        <v>496</v>
      </c>
      <c r="T102" s="2572" t="s">
        <v>497</v>
      </c>
      <c r="U102" s="2574"/>
      <c r="V102" s="2574"/>
      <c r="W102" s="2574"/>
      <c r="X102" s="2574"/>
      <c r="Y102" s="2572" t="s">
        <v>498</v>
      </c>
      <c r="Z102" s="2574"/>
      <c r="AA102" s="2567" t="s">
        <v>499</v>
      </c>
      <c r="AB102" s="2568"/>
      <c r="AC102" s="2568"/>
      <c r="AD102" s="2568"/>
      <c r="AE102" s="2568"/>
      <c r="AF102" s="2571"/>
    </row>
    <row r="103" spans="1:32" ht="18" x14ac:dyDescent="0.3">
      <c r="A103" s="2810"/>
      <c r="B103" s="2784"/>
      <c r="C103" s="2784"/>
      <c r="D103" s="2784"/>
      <c r="E103" s="2784"/>
      <c r="F103" s="2785"/>
      <c r="G103" s="2784"/>
      <c r="H103" s="2784"/>
      <c r="I103" s="783" t="s">
        <v>500</v>
      </c>
      <c r="J103" s="783" t="s">
        <v>501</v>
      </c>
      <c r="K103" s="783" t="s">
        <v>502</v>
      </c>
      <c r="L103" s="783" t="s">
        <v>503</v>
      </c>
      <c r="M103" s="1549" t="s">
        <v>504</v>
      </c>
      <c r="N103" s="1550" t="s">
        <v>505</v>
      </c>
      <c r="O103" s="1551" t="s">
        <v>506</v>
      </c>
      <c r="P103" s="1550" t="s">
        <v>507</v>
      </c>
      <c r="Q103" s="1550" t="s">
        <v>507</v>
      </c>
      <c r="R103" s="1672"/>
      <c r="S103" s="1394" t="s">
        <v>508</v>
      </c>
      <c r="T103" s="2782"/>
      <c r="U103" s="2781"/>
      <c r="V103" s="2781"/>
      <c r="W103" s="2781"/>
      <c r="X103" s="2781"/>
      <c r="Y103" s="2782"/>
      <c r="Z103" s="2781"/>
      <c r="AA103" s="2782"/>
      <c r="AB103" s="2781"/>
      <c r="AC103" s="2781"/>
      <c r="AD103" s="2781"/>
      <c r="AE103" s="2781"/>
      <c r="AF103" s="2783"/>
    </row>
    <row r="104" spans="1:32" ht="18" x14ac:dyDescent="0.35">
      <c r="A104" s="2449" t="s">
        <v>639</v>
      </c>
      <c r="B104" s="2450"/>
      <c r="C104" s="2450"/>
      <c r="D104" s="2450"/>
      <c r="E104" s="2450"/>
      <c r="F104" s="2450"/>
      <c r="G104" s="2450"/>
      <c r="H104" s="2450"/>
      <c r="I104" s="2450"/>
      <c r="J104" s="2450"/>
      <c r="K104" s="2450"/>
      <c r="L104" s="2450"/>
      <c r="M104" s="2450"/>
      <c r="N104" s="2450"/>
      <c r="O104" s="2450"/>
      <c r="P104" s="2450"/>
      <c r="Q104" s="2450"/>
      <c r="R104" s="2450"/>
      <c r="S104" s="1552"/>
      <c r="T104" s="1553" t="s">
        <v>510</v>
      </c>
      <c r="U104" s="1554" t="s">
        <v>11</v>
      </c>
      <c r="V104" s="1554" t="s">
        <v>511</v>
      </c>
      <c r="W104" s="1554" t="s">
        <v>512</v>
      </c>
      <c r="X104" s="1578" t="s">
        <v>513</v>
      </c>
      <c r="Y104" s="1553" t="s">
        <v>514</v>
      </c>
      <c r="Z104" s="1578" t="s">
        <v>515</v>
      </c>
      <c r="AA104" s="1554" t="s">
        <v>248</v>
      </c>
      <c r="AB104" s="1554" t="s">
        <v>226</v>
      </c>
      <c r="AC104" s="1554" t="s">
        <v>249</v>
      </c>
      <c r="AD104" s="1554" t="s">
        <v>206</v>
      </c>
      <c r="AE104" s="1554" t="s">
        <v>254</v>
      </c>
      <c r="AF104" s="1668" t="s">
        <v>5</v>
      </c>
    </row>
    <row r="105" spans="1:32" x14ac:dyDescent="0.3">
      <c r="A105" s="154"/>
      <c r="B105" s="462"/>
      <c r="C105" s="462"/>
      <c r="D105" s="462"/>
      <c r="E105" s="462"/>
      <c r="F105" s="463"/>
      <c r="G105" s="462"/>
      <c r="H105" s="462"/>
      <c r="I105" s="465"/>
      <c r="J105" s="465"/>
      <c r="K105" s="465"/>
      <c r="L105" s="465"/>
      <c r="M105" s="462"/>
      <c r="N105" s="468"/>
      <c r="O105" s="469"/>
      <c r="P105" s="468"/>
      <c r="Q105" s="468"/>
      <c r="R105" s="532"/>
      <c r="S105" s="166"/>
      <c r="T105" s="188"/>
      <c r="X105" s="286"/>
      <c r="Y105" s="188"/>
      <c r="Z105" s="286"/>
      <c r="AA105" s="465"/>
      <c r="AB105" s="465"/>
      <c r="AC105" s="465"/>
      <c r="AD105" s="465"/>
      <c r="AE105" s="465"/>
      <c r="AF105" s="466"/>
    </row>
    <row r="106" spans="1:32" x14ac:dyDescent="0.3">
      <c r="A106" s="157" t="s">
        <v>1098</v>
      </c>
      <c r="B106" s="157" t="s">
        <v>227</v>
      </c>
      <c r="C106" s="157" t="s">
        <v>1099</v>
      </c>
      <c r="D106" s="157" t="s">
        <v>102</v>
      </c>
      <c r="E106" s="157" t="s">
        <v>518</v>
      </c>
      <c r="F106" s="158" t="s">
        <v>591</v>
      </c>
      <c r="G106" s="157">
        <v>2</v>
      </c>
      <c r="H106" s="157" t="s">
        <v>24</v>
      </c>
      <c r="I106" s="159">
        <v>2</v>
      </c>
      <c r="J106" s="161"/>
      <c r="K106" s="161"/>
      <c r="L106" s="2209"/>
      <c r="M106" s="163">
        <v>1</v>
      </c>
      <c r="N106" s="166">
        <v>8132.89</v>
      </c>
      <c r="O106" s="173">
        <v>0.72</v>
      </c>
      <c r="P106" s="166">
        <f>N106*(1-O106)</f>
        <v>2277.2092000000002</v>
      </c>
      <c r="Q106" s="166">
        <f t="shared" ref="Q106:Q114" si="18">P106*M106*G106</f>
        <v>4554.4184000000005</v>
      </c>
      <c r="R106" s="167">
        <f t="shared" ref="R106:R114" si="19">Q106/$Q$120</f>
        <v>4.0165091794259311E-2</v>
      </c>
      <c r="S106" s="503">
        <f>Q106*4</f>
        <v>18217.673600000002</v>
      </c>
      <c r="T106" s="394">
        <f t="shared" ref="T106:T107" si="20">S106</f>
        <v>18217.673600000002</v>
      </c>
      <c r="X106" s="286"/>
      <c r="Y106" s="394"/>
      <c r="Z106" s="395">
        <f>S106</f>
        <v>18217.673600000002</v>
      </c>
      <c r="AA106" s="169"/>
      <c r="AB106" s="169">
        <f>S106</f>
        <v>18217.673600000002</v>
      </c>
      <c r="AF106" s="286"/>
    </row>
    <row r="107" spans="1:32" x14ac:dyDescent="0.3">
      <c r="A107" s="157" t="s">
        <v>1098</v>
      </c>
      <c r="B107" s="157" t="s">
        <v>250</v>
      </c>
      <c r="C107" s="157" t="s">
        <v>1099</v>
      </c>
      <c r="D107" s="157" t="s">
        <v>26</v>
      </c>
      <c r="E107" s="157" t="s">
        <v>520</v>
      </c>
      <c r="F107" s="158" t="s">
        <v>640</v>
      </c>
      <c r="G107" s="157">
        <v>2</v>
      </c>
      <c r="H107" s="157" t="s">
        <v>24</v>
      </c>
      <c r="I107" s="182">
        <v>2</v>
      </c>
      <c r="J107" s="183"/>
      <c r="K107" s="183"/>
      <c r="L107" s="2239"/>
      <c r="M107" s="163">
        <v>1</v>
      </c>
      <c r="N107" s="166">
        <v>11343.75</v>
      </c>
      <c r="O107" s="173">
        <v>0.21740000000000001</v>
      </c>
      <c r="P107" s="166">
        <f t="shared" ref="P107:P114" si="21">N107*(1-O107)</f>
        <v>8877.6187499999996</v>
      </c>
      <c r="Q107" s="166">
        <f t="shared" si="18"/>
        <v>17755.237499999999</v>
      </c>
      <c r="R107" s="184">
        <f t="shared" si="19"/>
        <v>0.15658217611635661</v>
      </c>
      <c r="S107" s="503">
        <f t="shared" ref="S107:S114" si="22">Q107*4</f>
        <v>71020.95</v>
      </c>
      <c r="T107" s="394">
        <f t="shared" si="20"/>
        <v>71020.95</v>
      </c>
      <c r="X107" s="286"/>
      <c r="Y107" s="394">
        <f>S107</f>
        <v>71020.95</v>
      </c>
      <c r="Z107" s="395"/>
      <c r="AA107" s="169">
        <f>S107</f>
        <v>71020.95</v>
      </c>
      <c r="AF107" s="286"/>
    </row>
    <row r="108" spans="1:32" x14ac:dyDescent="0.3">
      <c r="A108" s="157" t="s">
        <v>1098</v>
      </c>
      <c r="B108" s="157" t="s">
        <v>251</v>
      </c>
      <c r="C108" s="157" t="s">
        <v>1099</v>
      </c>
      <c r="D108" s="157" t="s">
        <v>102</v>
      </c>
      <c r="E108" s="157" t="s">
        <v>518</v>
      </c>
      <c r="F108" s="158" t="s">
        <v>591</v>
      </c>
      <c r="G108" s="157">
        <v>1</v>
      </c>
      <c r="H108" s="157" t="s">
        <v>24</v>
      </c>
      <c r="I108" s="182">
        <v>1</v>
      </c>
      <c r="J108" s="183"/>
      <c r="K108" s="183"/>
      <c r="L108" s="2239"/>
      <c r="M108" s="163">
        <v>1</v>
      </c>
      <c r="N108" s="166">
        <v>3600</v>
      </c>
      <c r="O108" s="173">
        <v>0.17</v>
      </c>
      <c r="P108" s="166">
        <f t="shared" si="21"/>
        <v>2988</v>
      </c>
      <c r="Q108" s="166">
        <f t="shared" si="18"/>
        <v>2988</v>
      </c>
      <c r="R108" s="167">
        <f t="shared" si="19"/>
        <v>2.6350959385120786E-2</v>
      </c>
      <c r="S108" s="503">
        <f t="shared" si="22"/>
        <v>11952</v>
      </c>
      <c r="T108" s="394">
        <f>S108</f>
        <v>11952</v>
      </c>
      <c r="X108" s="286"/>
      <c r="Y108" s="394"/>
      <c r="Z108" s="395">
        <f>S108</f>
        <v>11952</v>
      </c>
      <c r="AC108" s="169">
        <f>S108</f>
        <v>11952</v>
      </c>
      <c r="AF108" s="286"/>
    </row>
    <row r="109" spans="1:32" x14ac:dyDescent="0.3">
      <c r="A109" s="157" t="s">
        <v>1098</v>
      </c>
      <c r="B109" s="157" t="s">
        <v>251</v>
      </c>
      <c r="C109" s="157" t="s">
        <v>1038</v>
      </c>
      <c r="D109" s="157" t="s">
        <v>252</v>
      </c>
      <c r="E109" s="157" t="s">
        <v>520</v>
      </c>
      <c r="F109" s="158" t="s">
        <v>589</v>
      </c>
      <c r="G109" s="157">
        <v>1</v>
      </c>
      <c r="H109" s="157" t="s">
        <v>24</v>
      </c>
      <c r="I109" s="182">
        <v>1</v>
      </c>
      <c r="J109" s="183"/>
      <c r="K109" s="183"/>
      <c r="L109" s="2239"/>
      <c r="M109" s="163">
        <v>1</v>
      </c>
      <c r="N109" s="166">
        <v>3600</v>
      </c>
      <c r="O109" s="173">
        <v>0.17</v>
      </c>
      <c r="P109" s="166">
        <f t="shared" si="21"/>
        <v>2988</v>
      </c>
      <c r="Q109" s="166">
        <f t="shared" si="18"/>
        <v>2988</v>
      </c>
      <c r="R109" s="1390">
        <f t="shared" si="19"/>
        <v>2.6350959385120786E-2</v>
      </c>
      <c r="S109" s="503">
        <f t="shared" si="22"/>
        <v>11952</v>
      </c>
      <c r="T109" s="394">
        <f>S109</f>
        <v>11952</v>
      </c>
      <c r="U109" s="169"/>
      <c r="V109" s="169"/>
      <c r="X109" s="286"/>
      <c r="Y109" s="394">
        <f>S109</f>
        <v>11952</v>
      </c>
      <c r="Z109" s="286"/>
      <c r="AC109" s="169">
        <f>S109</f>
        <v>11952</v>
      </c>
      <c r="AF109" s="286"/>
    </row>
    <row r="110" spans="1:32" x14ac:dyDescent="0.3">
      <c r="A110" s="157" t="s">
        <v>1098</v>
      </c>
      <c r="B110" s="157" t="s">
        <v>251</v>
      </c>
      <c r="C110" s="157" t="s">
        <v>1099</v>
      </c>
      <c r="D110" s="157" t="s">
        <v>208</v>
      </c>
      <c r="E110" s="157" t="s">
        <v>520</v>
      </c>
      <c r="F110" s="158" t="s">
        <v>591</v>
      </c>
      <c r="G110" s="157">
        <v>5</v>
      </c>
      <c r="H110" s="157" t="s">
        <v>24</v>
      </c>
      <c r="I110" s="175">
        <v>4</v>
      </c>
      <c r="J110" s="688"/>
      <c r="L110" s="286"/>
      <c r="M110" s="163">
        <v>1</v>
      </c>
      <c r="N110" s="166">
        <v>1400</v>
      </c>
      <c r="O110" s="173">
        <v>0.14000000000000001</v>
      </c>
      <c r="P110" s="166">
        <f t="shared" si="21"/>
        <v>1204</v>
      </c>
      <c r="Q110" s="166">
        <f t="shared" si="18"/>
        <v>6020</v>
      </c>
      <c r="R110" s="1390">
        <f t="shared" si="19"/>
        <v>5.3089951639366514E-2</v>
      </c>
      <c r="S110" s="503">
        <f t="shared" si="22"/>
        <v>24080</v>
      </c>
      <c r="T110" s="394">
        <f>S110</f>
        <v>24080</v>
      </c>
      <c r="V110" s="169"/>
      <c r="X110" s="286"/>
      <c r="Y110" s="394">
        <f>S110</f>
        <v>24080</v>
      </c>
      <c r="Z110" s="395"/>
      <c r="AC110" s="169">
        <f>S110</f>
        <v>24080</v>
      </c>
      <c r="AF110" s="286"/>
    </row>
    <row r="111" spans="1:32" x14ac:dyDescent="0.3">
      <c r="A111" s="157" t="s">
        <v>1098</v>
      </c>
      <c r="B111" s="157" t="s">
        <v>251</v>
      </c>
      <c r="C111" s="157" t="s">
        <v>1099</v>
      </c>
      <c r="D111" s="157" t="s">
        <v>29</v>
      </c>
      <c r="E111" s="157" t="s">
        <v>524</v>
      </c>
      <c r="F111" s="158" t="s">
        <v>589</v>
      </c>
      <c r="G111" s="157">
        <v>1</v>
      </c>
      <c r="H111" s="157" t="s">
        <v>24</v>
      </c>
      <c r="I111" s="182">
        <v>1</v>
      </c>
      <c r="J111" s="183"/>
      <c r="K111" s="183"/>
      <c r="L111" s="2239"/>
      <c r="M111" s="163">
        <v>1</v>
      </c>
      <c r="N111" s="166">
        <v>18800</v>
      </c>
      <c r="O111" s="173">
        <v>0.17</v>
      </c>
      <c r="P111" s="166">
        <f t="shared" si="21"/>
        <v>15604</v>
      </c>
      <c r="Q111" s="166">
        <f t="shared" si="18"/>
        <v>15604</v>
      </c>
      <c r="R111" s="1390">
        <f t="shared" si="19"/>
        <v>0.13761056567785299</v>
      </c>
      <c r="S111" s="503">
        <f t="shared" si="22"/>
        <v>62416</v>
      </c>
      <c r="T111" s="394">
        <f>S111</f>
        <v>62416</v>
      </c>
      <c r="V111" s="169"/>
      <c r="X111" s="286"/>
      <c r="Y111" s="394">
        <f>S111</f>
        <v>62416</v>
      </c>
      <c r="Z111" s="286"/>
      <c r="AC111" s="169">
        <f>S111</f>
        <v>62416</v>
      </c>
      <c r="AF111" s="286"/>
    </row>
    <row r="112" spans="1:32" x14ac:dyDescent="0.3">
      <c r="A112" s="157" t="s">
        <v>1098</v>
      </c>
      <c r="B112" s="157" t="s">
        <v>210</v>
      </c>
      <c r="C112" s="157" t="s">
        <v>1101</v>
      </c>
      <c r="D112" s="157" t="s">
        <v>211</v>
      </c>
      <c r="E112" s="157" t="s">
        <v>520</v>
      </c>
      <c r="F112" s="158" t="s">
        <v>1104</v>
      </c>
      <c r="G112" s="157">
        <v>8</v>
      </c>
      <c r="H112" s="157" t="s">
        <v>63</v>
      </c>
      <c r="I112" s="175">
        <v>8</v>
      </c>
      <c r="J112" s="688"/>
      <c r="K112" s="1"/>
      <c r="L112" s="163"/>
      <c r="M112" s="163">
        <v>1</v>
      </c>
      <c r="N112" s="473">
        <v>2049</v>
      </c>
      <c r="O112" s="165">
        <v>0.6</v>
      </c>
      <c r="P112" s="473">
        <f t="shared" si="21"/>
        <v>819.6</v>
      </c>
      <c r="Q112" s="473">
        <f t="shared" si="18"/>
        <v>6556.8</v>
      </c>
      <c r="R112" s="1669">
        <f t="shared" si="19"/>
        <v>5.782395264269076E-2</v>
      </c>
      <c r="S112" s="503">
        <f t="shared" si="22"/>
        <v>26227.200000000001</v>
      </c>
      <c r="T112" s="394"/>
      <c r="U112" s="169">
        <f>S112</f>
        <v>26227.200000000001</v>
      </c>
      <c r="V112" s="169"/>
      <c r="X112" s="286"/>
      <c r="Y112" s="394">
        <f>S112</f>
        <v>26227.200000000001</v>
      </c>
      <c r="Z112" s="286"/>
      <c r="AD112" s="169">
        <f>S112</f>
        <v>26227.200000000001</v>
      </c>
      <c r="AF112" s="286"/>
    </row>
    <row r="113" spans="1:32" x14ac:dyDescent="0.3">
      <c r="A113" s="157" t="s">
        <v>1098</v>
      </c>
      <c r="B113" s="157" t="s">
        <v>210</v>
      </c>
      <c r="C113" s="157" t="s">
        <v>1101</v>
      </c>
      <c r="D113" s="157" t="s">
        <v>211</v>
      </c>
      <c r="E113" s="157" t="s">
        <v>518</v>
      </c>
      <c r="F113" s="158" t="s">
        <v>1104</v>
      </c>
      <c r="G113" s="157">
        <v>5</v>
      </c>
      <c r="H113" s="157" t="s">
        <v>63</v>
      </c>
      <c r="I113" s="1"/>
      <c r="J113" s="1"/>
      <c r="K113" s="161">
        <v>3</v>
      </c>
      <c r="L113" s="2209"/>
      <c r="M113" s="163">
        <v>1</v>
      </c>
      <c r="N113" s="473">
        <v>5463</v>
      </c>
      <c r="O113" s="165">
        <v>0.6</v>
      </c>
      <c r="P113" s="473">
        <f t="shared" si="21"/>
        <v>2185.2000000000003</v>
      </c>
      <c r="Q113" s="473">
        <f t="shared" si="18"/>
        <v>10926.000000000002</v>
      </c>
      <c r="R113" s="608">
        <f t="shared" si="19"/>
        <v>9.6355616546797113E-2</v>
      </c>
      <c r="S113" s="503">
        <f t="shared" si="22"/>
        <v>43704.000000000007</v>
      </c>
      <c r="T113" s="394"/>
      <c r="U113" s="169">
        <f>S113</f>
        <v>43704.000000000007</v>
      </c>
      <c r="V113" s="169"/>
      <c r="X113" s="286"/>
      <c r="Y113" s="394"/>
      <c r="Z113" s="395">
        <f>S113</f>
        <v>43704.000000000007</v>
      </c>
      <c r="AD113" s="169">
        <f>S113</f>
        <v>43704.000000000007</v>
      </c>
      <c r="AF113" s="286"/>
    </row>
    <row r="114" spans="1:32" x14ac:dyDescent="0.3">
      <c r="A114" s="157" t="s">
        <v>1098</v>
      </c>
      <c r="B114" s="157" t="s">
        <v>108</v>
      </c>
      <c r="C114" s="157" t="s">
        <v>1099</v>
      </c>
      <c r="D114" s="157" t="s">
        <v>253</v>
      </c>
      <c r="E114" s="157" t="s">
        <v>520</v>
      </c>
      <c r="F114" s="158" t="s">
        <v>38</v>
      </c>
      <c r="G114" s="157">
        <v>1</v>
      </c>
      <c r="H114" s="157" t="s">
        <v>24</v>
      </c>
      <c r="I114" s="182">
        <v>1</v>
      </c>
      <c r="J114" s="183"/>
      <c r="K114" s="183"/>
      <c r="L114" s="2239"/>
      <c r="M114" s="163">
        <v>1</v>
      </c>
      <c r="N114" s="473">
        <v>45000</v>
      </c>
      <c r="O114" s="165">
        <v>0.2</v>
      </c>
      <c r="P114" s="473">
        <f t="shared" si="21"/>
        <v>36000</v>
      </c>
      <c r="Q114" s="473">
        <f t="shared" si="18"/>
        <v>36000</v>
      </c>
      <c r="R114" s="1664">
        <f t="shared" si="19"/>
        <v>0.31748143837494924</v>
      </c>
      <c r="S114" s="503">
        <f t="shared" si="22"/>
        <v>144000</v>
      </c>
      <c r="T114" s="394"/>
      <c r="V114" s="169">
        <f>S114</f>
        <v>144000</v>
      </c>
      <c r="X114" s="286"/>
      <c r="Y114" s="394">
        <f>S114</f>
        <v>144000</v>
      </c>
      <c r="Z114" s="286"/>
      <c r="AF114" s="395">
        <f>S114</f>
        <v>144000</v>
      </c>
    </row>
    <row r="115" spans="1:32" x14ac:dyDescent="0.3">
      <c r="A115" s="157"/>
      <c r="B115" s="157"/>
      <c r="C115" s="157"/>
      <c r="D115" s="157"/>
      <c r="E115" s="157"/>
      <c r="F115" s="158"/>
      <c r="G115" s="157"/>
      <c r="H115" s="157"/>
      <c r="I115" s="1"/>
      <c r="J115" s="1"/>
      <c r="K115" s="1"/>
      <c r="L115" s="163"/>
      <c r="M115" s="163"/>
      <c r="N115" s="473"/>
      <c r="O115" s="165"/>
      <c r="P115" s="473"/>
      <c r="Q115" s="473"/>
      <c r="R115" s="1664"/>
      <c r="S115" s="164"/>
      <c r="T115" s="394"/>
      <c r="V115" s="169"/>
      <c r="X115" s="286"/>
      <c r="Y115" s="394"/>
      <c r="Z115" s="286"/>
      <c r="AF115" s="286"/>
    </row>
    <row r="116" spans="1:32" x14ac:dyDescent="0.3">
      <c r="A116" s="172"/>
      <c r="B116" s="157"/>
      <c r="C116" s="190"/>
      <c r="D116" s="190"/>
      <c r="E116" s="190"/>
      <c r="F116" s="191"/>
      <c r="G116" s="190"/>
      <c r="H116" s="190"/>
      <c r="I116" s="245"/>
      <c r="J116" s="245"/>
      <c r="K116" s="245"/>
      <c r="L116" s="287"/>
      <c r="M116" s="190"/>
      <c r="N116" s="194"/>
      <c r="O116" s="195"/>
      <c r="P116" s="194"/>
      <c r="Q116" s="166"/>
      <c r="R116" s="393"/>
      <c r="S116" s="503"/>
      <c r="T116" s="188"/>
      <c r="X116" s="286"/>
      <c r="Y116" s="188"/>
      <c r="Z116" s="286"/>
      <c r="AF116" s="286"/>
    </row>
    <row r="117" spans="1:32" x14ac:dyDescent="0.3">
      <c r="A117" s="108" t="s">
        <v>1098</v>
      </c>
      <c r="B117" s="108" t="s">
        <v>528</v>
      </c>
      <c r="C117" s="289"/>
      <c r="D117" s="252"/>
      <c r="E117" s="252"/>
      <c r="F117" s="253"/>
      <c r="G117" s="252"/>
      <c r="H117" s="252"/>
      <c r="I117" s="254"/>
      <c r="J117" s="254"/>
      <c r="K117" s="254"/>
      <c r="L117" s="254"/>
      <c r="M117" s="252"/>
      <c r="N117" s="255"/>
      <c r="O117" s="256"/>
      <c r="P117" s="290"/>
      <c r="Q117" s="257"/>
      <c r="R117" s="291">
        <f>Q117/Q120</f>
        <v>0</v>
      </c>
      <c r="S117" s="503"/>
      <c r="T117" s="188"/>
      <c r="W117" s="169"/>
      <c r="X117" s="286"/>
      <c r="Y117" s="188"/>
      <c r="Z117" s="286"/>
      <c r="AF117" s="286"/>
    </row>
    <row r="118" spans="1:32" x14ac:dyDescent="0.3">
      <c r="A118" s="108" t="s">
        <v>1098</v>
      </c>
      <c r="B118" s="108" t="s">
        <v>529</v>
      </c>
      <c r="C118" s="289"/>
      <c r="D118" s="252"/>
      <c r="E118" s="252"/>
      <c r="F118" s="253"/>
      <c r="G118" s="252"/>
      <c r="H118" s="252"/>
      <c r="I118" s="254"/>
      <c r="J118" s="254"/>
      <c r="K118" s="254"/>
      <c r="L118" s="254"/>
      <c r="M118" s="252"/>
      <c r="N118" s="255"/>
      <c r="O118" s="256"/>
      <c r="P118" s="290"/>
      <c r="Q118" s="257">
        <v>10000</v>
      </c>
      <c r="R118" s="291">
        <f>Q118/Q120</f>
        <v>8.8189288437485899E-2</v>
      </c>
      <c r="S118" s="503">
        <f>Q118*4</f>
        <v>40000</v>
      </c>
      <c r="T118" s="188"/>
      <c r="X118" s="395">
        <f>S118</f>
        <v>40000</v>
      </c>
      <c r="Y118" s="188"/>
      <c r="Z118" s="286"/>
      <c r="AF118" s="286"/>
    </row>
    <row r="119" spans="1:32" x14ac:dyDescent="0.3">
      <c r="I119" s="115">
        <f>I120/M120</f>
        <v>0.86956521739130432</v>
      </c>
      <c r="J119" s="115"/>
      <c r="K119" s="115">
        <f>K120/M120</f>
        <v>0.13043478260869565</v>
      </c>
      <c r="S119" s="166"/>
      <c r="T119" s="188"/>
      <c r="X119" s="286"/>
      <c r="Y119" s="188"/>
      <c r="Z119" s="286"/>
      <c r="AA119" s="245"/>
      <c r="AB119" s="245"/>
      <c r="AC119" s="245"/>
      <c r="AD119" s="245"/>
      <c r="AE119" s="245"/>
      <c r="AF119" s="287"/>
    </row>
    <row r="120" spans="1:32" x14ac:dyDescent="0.3">
      <c r="A120" s="789" t="s">
        <v>531</v>
      </c>
      <c r="B120" s="790"/>
      <c r="C120" s="790"/>
      <c r="D120" s="790"/>
      <c r="E120" s="790"/>
      <c r="F120" s="791"/>
      <c r="G120" s="790"/>
      <c r="H120" s="790"/>
      <c r="I120" s="790">
        <f>I114+I112+I111+I110+I109+I108+I107+I106</f>
        <v>20</v>
      </c>
      <c r="J120" s="790"/>
      <c r="K120" s="790">
        <f>K113</f>
        <v>3</v>
      </c>
      <c r="L120" s="790"/>
      <c r="M120" s="790">
        <f>SUM(I120:L120)</f>
        <v>23</v>
      </c>
      <c r="N120" s="793"/>
      <c r="O120" s="794"/>
      <c r="P120" s="793"/>
      <c r="Q120" s="795">
        <f>SUM(Q105:Q119)</f>
        <v>113392.4559</v>
      </c>
      <c r="R120" s="794">
        <f>SUM(R105:R118)</f>
        <v>0.99999999999999989</v>
      </c>
      <c r="S120" s="1599">
        <f>SUM(S105:S119)</f>
        <v>453569.8236</v>
      </c>
      <c r="T120" s="1600">
        <f t="shared" ref="T120:Z120" si="23">SUM(T105:T118)</f>
        <v>199638.62359999999</v>
      </c>
      <c r="U120" s="585">
        <f t="shared" si="23"/>
        <v>69931.200000000012</v>
      </c>
      <c r="V120" s="585">
        <f t="shared" si="23"/>
        <v>144000</v>
      </c>
      <c r="W120" s="585">
        <f t="shared" si="23"/>
        <v>0</v>
      </c>
      <c r="X120" s="585">
        <f t="shared" si="23"/>
        <v>40000</v>
      </c>
      <c r="Y120" s="1601">
        <f t="shared" si="23"/>
        <v>339696.15</v>
      </c>
      <c r="Z120" s="1602">
        <f t="shared" si="23"/>
        <v>73873.673600000009</v>
      </c>
      <c r="AA120" s="589">
        <f>SUM(AA106:AA118)</f>
        <v>71020.95</v>
      </c>
      <c r="AB120" s="589">
        <f>SUM(AB105:AB118)</f>
        <v>18217.673600000002</v>
      </c>
      <c r="AC120" s="589">
        <f>SUM(AC106:AC118)</f>
        <v>110400</v>
      </c>
      <c r="AD120" s="589">
        <f>SUM(AD106:AD118)</f>
        <v>69931.200000000012</v>
      </c>
      <c r="AE120" s="589"/>
      <c r="AF120" s="1673">
        <f>SUM(AF106:AF118)</f>
        <v>144000</v>
      </c>
    </row>
    <row r="121" spans="1:32" x14ac:dyDescent="0.3">
      <c r="A121" s="789" t="s">
        <v>532</v>
      </c>
      <c r="B121" s="790"/>
      <c r="C121" s="790"/>
      <c r="D121" s="790"/>
      <c r="E121" s="790"/>
      <c r="F121" s="791"/>
      <c r="G121" s="790"/>
      <c r="H121" s="790"/>
      <c r="I121" s="790">
        <f>I114+I112+I111+I110+I109+I108+I107+I106</f>
        <v>20</v>
      </c>
      <c r="J121" s="790">
        <f>I121</f>
        <v>20</v>
      </c>
      <c r="K121" s="790">
        <f>I114+K113+I111+I109+I108+I107+I106</f>
        <v>11</v>
      </c>
      <c r="L121" s="790"/>
      <c r="M121" s="790">
        <f>SUM(I121:L121)</f>
        <v>51</v>
      </c>
      <c r="N121" s="793"/>
      <c r="O121" s="794"/>
      <c r="P121" s="793"/>
      <c r="Q121" s="793"/>
      <c r="R121" s="794"/>
      <c r="S121" s="1606"/>
      <c r="T121" s="1607">
        <f>T120/S120</f>
        <v>0.44014970399807696</v>
      </c>
      <c r="U121" s="1608">
        <f>U120/S120</f>
        <v>0.15417956918948789</v>
      </c>
      <c r="V121" s="1609">
        <f>V120/S120</f>
        <v>0.31748143837494924</v>
      </c>
      <c r="W121" s="1608">
        <f>W120/S120</f>
        <v>0</v>
      </c>
      <c r="X121" s="1608">
        <f>X120/S120</f>
        <v>8.8189288437485899E-2</v>
      </c>
      <c r="Y121" s="788">
        <f>Y120/S120</f>
        <v>0.74893904383633692</v>
      </c>
      <c r="Z121" s="1610">
        <f>Z120/S120</f>
        <v>0.1628716677261772</v>
      </c>
      <c r="AA121" s="1674"/>
      <c r="AB121" s="1612"/>
      <c r="AC121" s="1612"/>
      <c r="AD121" s="1612"/>
      <c r="AE121" s="1612"/>
      <c r="AF121" s="1613"/>
    </row>
    <row r="122" spans="1:32" x14ac:dyDescent="0.3">
      <c r="A122" s="251" t="s">
        <v>533</v>
      </c>
      <c r="B122" s="252"/>
      <c r="C122" s="252"/>
      <c r="D122" s="252"/>
      <c r="E122" s="252"/>
      <c r="F122" s="253"/>
      <c r="G122" s="252"/>
      <c r="H122" s="252"/>
      <c r="I122" s="2188">
        <f>I121/$M$121</f>
        <v>0.39215686274509803</v>
      </c>
      <c r="J122" s="2188">
        <f t="shared" ref="J122:L122" si="24">J121/$M$121</f>
        <v>0.39215686274509803</v>
      </c>
      <c r="K122" s="2188">
        <f t="shared" si="24"/>
        <v>0.21568627450980393</v>
      </c>
      <c r="L122" s="254">
        <f t="shared" si="24"/>
        <v>0</v>
      </c>
      <c r="M122" s="252"/>
      <c r="N122" s="255"/>
      <c r="O122" s="256"/>
      <c r="P122" s="255"/>
      <c r="Q122" s="257">
        <f>T120/4</f>
        <v>49909.655899999998</v>
      </c>
      <c r="R122" s="262">
        <f>Q122/Q127</f>
        <v>0.44014970399807696</v>
      </c>
      <c r="X122" s="248"/>
      <c r="Y122" s="357">
        <f>I107+I109+I110+I111+I112+I114</f>
        <v>17</v>
      </c>
      <c r="Z122" s="358">
        <f>I106+I108+K113</f>
        <v>6</v>
      </c>
    </row>
    <row r="123" spans="1:32" x14ac:dyDescent="0.3">
      <c r="A123" s="251" t="s">
        <v>11</v>
      </c>
      <c r="B123" s="252"/>
      <c r="C123" s="252"/>
      <c r="D123" s="252"/>
      <c r="E123" s="252"/>
      <c r="F123" s="253"/>
      <c r="G123" s="252"/>
      <c r="H123" s="252"/>
      <c r="I123" s="254"/>
      <c r="J123" s="254"/>
      <c r="K123" s="254"/>
      <c r="L123" s="254"/>
      <c r="M123" s="252"/>
      <c r="N123" s="255"/>
      <c r="O123" s="256"/>
      <c r="P123" s="255"/>
      <c r="Q123" s="257">
        <f>U120/4</f>
        <v>17482.800000000003</v>
      </c>
      <c r="R123" s="262">
        <f>Q123/Q127</f>
        <v>0.15417956918948789</v>
      </c>
      <c r="S123" s="1068">
        <f>Q120/M120</f>
        <v>4930.1067782608698</v>
      </c>
      <c r="T123" s="1069" t="s">
        <v>535</v>
      </c>
      <c r="Y123" s="195">
        <f>Y122/M120</f>
        <v>0.73913043478260865</v>
      </c>
      <c r="Z123" s="247">
        <f>Z122/M120</f>
        <v>0.2608695652173913</v>
      </c>
    </row>
    <row r="124" spans="1:32" x14ac:dyDescent="0.3">
      <c r="A124" s="251" t="s">
        <v>536</v>
      </c>
      <c r="B124" s="252"/>
      <c r="C124" s="252"/>
      <c r="D124" s="252"/>
      <c r="E124" s="252"/>
      <c r="F124" s="253"/>
      <c r="G124" s="252"/>
      <c r="H124" s="252"/>
      <c r="I124" s="254"/>
      <c r="J124" s="254"/>
      <c r="K124" s="254"/>
      <c r="L124" s="254"/>
      <c r="M124" s="252"/>
      <c r="N124" s="255"/>
      <c r="O124" s="256"/>
      <c r="P124" s="255"/>
      <c r="Q124" s="257">
        <f>V120/4</f>
        <v>36000</v>
      </c>
      <c r="R124" s="262">
        <f>Q124/Q127</f>
        <v>0.31748143837494924</v>
      </c>
      <c r="W124" s="99"/>
      <c r="Y124" s="2551" t="s">
        <v>537</v>
      </c>
      <c r="Z124" s="2551"/>
    </row>
    <row r="125" spans="1:32" x14ac:dyDescent="0.3">
      <c r="A125" s="251" t="s">
        <v>529</v>
      </c>
      <c r="B125" s="252"/>
      <c r="C125" s="252"/>
      <c r="D125" s="252"/>
      <c r="E125" s="252"/>
      <c r="F125" s="253"/>
      <c r="G125" s="252"/>
      <c r="H125" s="252"/>
      <c r="I125" s="254"/>
      <c r="J125" s="254"/>
      <c r="K125" s="254"/>
      <c r="L125" s="254"/>
      <c r="M125" s="252"/>
      <c r="N125" s="255"/>
      <c r="O125" s="256"/>
      <c r="P125" s="255"/>
      <c r="Q125" s="257">
        <f>X120/4</f>
        <v>10000</v>
      </c>
      <c r="R125" s="262">
        <f>Q125/Q127</f>
        <v>8.8189288437485899E-2</v>
      </c>
    </row>
    <row r="126" spans="1:32" x14ac:dyDescent="0.3">
      <c r="A126" s="251" t="s">
        <v>528</v>
      </c>
      <c r="B126" s="252"/>
      <c r="C126" s="252"/>
      <c r="D126" s="252"/>
      <c r="E126" s="252"/>
      <c r="F126" s="253"/>
      <c r="G126" s="252"/>
      <c r="H126" s="252"/>
      <c r="I126" s="254"/>
      <c r="J126" s="254"/>
      <c r="K126" s="254"/>
      <c r="L126" s="254"/>
      <c r="M126" s="252"/>
      <c r="N126" s="255"/>
      <c r="O126" s="256"/>
      <c r="P126" s="255"/>
      <c r="Q126" s="257">
        <f>W120/4</f>
        <v>0</v>
      </c>
      <c r="R126" s="262">
        <f>Q126/Q127</f>
        <v>0</v>
      </c>
    </row>
    <row r="127" spans="1:32" x14ac:dyDescent="0.3">
      <c r="A127" s="251"/>
      <c r="B127" s="252"/>
      <c r="C127" s="252"/>
      <c r="D127" s="252"/>
      <c r="E127" s="252"/>
      <c r="F127" s="253"/>
      <c r="G127" s="252"/>
      <c r="H127" s="252"/>
      <c r="I127" s="254"/>
      <c r="J127" s="254"/>
      <c r="K127" s="254"/>
      <c r="L127" s="254"/>
      <c r="M127" s="252"/>
      <c r="N127" s="255"/>
      <c r="O127" s="256"/>
      <c r="P127" s="255"/>
      <c r="Q127" s="264">
        <f>SUM(Q122:Q126)</f>
        <v>113392.4559</v>
      </c>
      <c r="R127" s="262">
        <f>SUM(R122:R126)</f>
        <v>1</v>
      </c>
    </row>
    <row r="128" spans="1:32" x14ac:dyDescent="0.3">
      <c r="A128" s="188"/>
      <c r="N128" s="5"/>
      <c r="O128" s="6"/>
      <c r="P128" s="5"/>
      <c r="Q128" s="5"/>
      <c r="R128" s="6"/>
      <c r="S128" s="701"/>
    </row>
    <row r="129" spans="1:32" ht="18" x14ac:dyDescent="0.35">
      <c r="A129" s="1037" t="s">
        <v>538</v>
      </c>
      <c r="N129" s="5"/>
      <c r="O129" s="6"/>
      <c r="P129" s="5"/>
      <c r="Q129" s="5"/>
      <c r="R129" s="6"/>
      <c r="S129" s="701"/>
    </row>
    <row r="130" spans="1:32" x14ac:dyDescent="0.3">
      <c r="A130" s="188"/>
      <c r="I130" s="245"/>
      <c r="J130" s="245"/>
      <c r="K130" s="245"/>
      <c r="L130" s="245"/>
      <c r="N130" s="5"/>
      <c r="O130" s="6"/>
      <c r="P130" s="5"/>
      <c r="Q130" s="5"/>
      <c r="R130" s="6"/>
      <c r="S130" s="701"/>
    </row>
    <row r="131" spans="1:32" x14ac:dyDescent="0.3">
      <c r="A131" s="2587" t="s">
        <v>480</v>
      </c>
      <c r="B131" s="2588"/>
      <c r="C131" s="2588"/>
      <c r="D131" s="2588"/>
      <c r="E131" s="2588"/>
      <c r="F131" s="2588"/>
      <c r="G131" s="2588"/>
      <c r="H131" s="2588"/>
      <c r="I131" s="2588"/>
      <c r="J131" s="2588"/>
      <c r="K131" s="2588"/>
      <c r="L131" s="2588"/>
      <c r="M131" s="2588"/>
      <c r="N131" s="2588"/>
      <c r="O131" s="2588"/>
      <c r="P131" s="2588"/>
      <c r="Q131" s="2588"/>
      <c r="R131" s="2589"/>
      <c r="S131" s="2563" t="s">
        <v>584</v>
      </c>
      <c r="T131" s="2564"/>
      <c r="U131" s="2564"/>
      <c r="V131" s="2564"/>
      <c r="W131" s="2564"/>
      <c r="X131" s="2564"/>
      <c r="Y131" s="2564"/>
      <c r="Z131" s="2564"/>
      <c r="AA131" s="2564"/>
      <c r="AB131" s="2564"/>
      <c r="AC131" s="2564"/>
      <c r="AD131" s="2564"/>
      <c r="AE131" s="2564"/>
      <c r="AF131" s="2576"/>
    </row>
    <row r="132" spans="1:32" ht="18" x14ac:dyDescent="0.3">
      <c r="A132" s="2810" t="s">
        <v>482</v>
      </c>
      <c r="B132" s="2784" t="s">
        <v>483</v>
      </c>
      <c r="C132" s="2784" t="s">
        <v>484</v>
      </c>
      <c r="D132" s="2784" t="s">
        <v>485</v>
      </c>
      <c r="E132" s="2784" t="s">
        <v>486</v>
      </c>
      <c r="F132" s="2785" t="s">
        <v>487</v>
      </c>
      <c r="G132" s="2784" t="s">
        <v>488</v>
      </c>
      <c r="H132" s="2784" t="s">
        <v>489</v>
      </c>
      <c r="I132" s="786" t="s">
        <v>490</v>
      </c>
      <c r="J132" s="786"/>
      <c r="K132" s="786"/>
      <c r="L132" s="786"/>
      <c r="M132" s="1549" t="s">
        <v>491</v>
      </c>
      <c r="N132" s="1550" t="s">
        <v>492</v>
      </c>
      <c r="O132" s="1551" t="s">
        <v>493</v>
      </c>
      <c r="P132" s="1550" t="s">
        <v>492</v>
      </c>
      <c r="Q132" s="1550" t="s">
        <v>494</v>
      </c>
      <c r="R132" s="1672" t="s">
        <v>495</v>
      </c>
      <c r="S132" s="1394" t="s">
        <v>496</v>
      </c>
      <c r="T132" s="2572" t="s">
        <v>497</v>
      </c>
      <c r="U132" s="2574"/>
      <c r="V132" s="2574"/>
      <c r="W132" s="2574"/>
      <c r="X132" s="2574"/>
      <c r="Y132" s="2572" t="s">
        <v>498</v>
      </c>
      <c r="Z132" s="2574"/>
      <c r="AA132" s="2567" t="s">
        <v>499</v>
      </c>
      <c r="AB132" s="2568"/>
      <c r="AC132" s="2568"/>
      <c r="AD132" s="2568"/>
      <c r="AE132" s="2568"/>
      <c r="AF132" s="2571"/>
    </row>
    <row r="133" spans="1:32" ht="18" x14ac:dyDescent="0.3">
      <c r="A133" s="2810"/>
      <c r="B133" s="2784"/>
      <c r="C133" s="2784"/>
      <c r="D133" s="2784"/>
      <c r="E133" s="2784"/>
      <c r="F133" s="2785"/>
      <c r="G133" s="2784"/>
      <c r="H133" s="2784"/>
      <c r="I133" s="783" t="s">
        <v>500</v>
      </c>
      <c r="J133" s="783" t="s">
        <v>501</v>
      </c>
      <c r="K133" s="783" t="s">
        <v>502</v>
      </c>
      <c r="L133" s="783" t="s">
        <v>503</v>
      </c>
      <c r="M133" s="1549" t="s">
        <v>504</v>
      </c>
      <c r="N133" s="1550" t="s">
        <v>505</v>
      </c>
      <c r="O133" s="1551" t="s">
        <v>506</v>
      </c>
      <c r="P133" s="1550" t="s">
        <v>507</v>
      </c>
      <c r="Q133" s="1550" t="s">
        <v>507</v>
      </c>
      <c r="R133" s="1672"/>
      <c r="S133" s="1394" t="s">
        <v>508</v>
      </c>
      <c r="T133" s="2782"/>
      <c r="U133" s="2781"/>
      <c r="V133" s="2781"/>
      <c r="W133" s="2781"/>
      <c r="X133" s="2781"/>
      <c r="Y133" s="2782"/>
      <c r="Z133" s="2781"/>
      <c r="AA133" s="2782"/>
      <c r="AB133" s="2781"/>
      <c r="AC133" s="2781"/>
      <c r="AD133" s="2781"/>
      <c r="AE133" s="2781"/>
      <c r="AF133" s="2783"/>
    </row>
    <row r="134" spans="1:32" ht="18" x14ac:dyDescent="0.35">
      <c r="A134" s="2449" t="s">
        <v>561</v>
      </c>
      <c r="B134" s="2450"/>
      <c r="C134" s="2450"/>
      <c r="D134" s="2450"/>
      <c r="E134" s="2450"/>
      <c r="F134" s="2450"/>
      <c r="G134" s="2450"/>
      <c r="H134" s="2450"/>
      <c r="I134" s="2450"/>
      <c r="J134" s="2450"/>
      <c r="K134" s="2450"/>
      <c r="L134" s="2450"/>
      <c r="M134" s="2450"/>
      <c r="N134" s="2450"/>
      <c r="O134" s="2450"/>
      <c r="P134" s="2450"/>
      <c r="Q134" s="2450"/>
      <c r="R134" s="2450"/>
      <c r="S134" s="1552"/>
      <c r="T134" s="1553" t="s">
        <v>510</v>
      </c>
      <c r="U134" s="1554" t="s">
        <v>11</v>
      </c>
      <c r="V134" s="1554" t="s">
        <v>511</v>
      </c>
      <c r="W134" s="1554" t="s">
        <v>512</v>
      </c>
      <c r="X134" s="1578" t="s">
        <v>513</v>
      </c>
      <c r="Y134" s="1553" t="s">
        <v>514</v>
      </c>
      <c r="Z134" s="1578" t="s">
        <v>515</v>
      </c>
      <c r="AA134" s="1554" t="s">
        <v>248</v>
      </c>
      <c r="AB134" s="1554" t="s">
        <v>226</v>
      </c>
      <c r="AC134" s="1554" t="s">
        <v>249</v>
      </c>
      <c r="AD134" s="1554" t="s">
        <v>206</v>
      </c>
      <c r="AE134" s="1554" t="s">
        <v>254</v>
      </c>
      <c r="AF134" s="1668" t="s">
        <v>5</v>
      </c>
    </row>
    <row r="135" spans="1:32" x14ac:dyDescent="0.3">
      <c r="A135" s="154"/>
      <c r="B135" s="462"/>
      <c r="C135" s="462"/>
      <c r="D135" s="462"/>
      <c r="E135" s="462"/>
      <c r="F135" s="463"/>
      <c r="G135" s="462"/>
      <c r="H135" s="462"/>
      <c r="I135" s="465"/>
      <c r="J135" s="465"/>
      <c r="K135" s="465"/>
      <c r="L135" s="465"/>
      <c r="M135" s="462"/>
      <c r="N135" s="468"/>
      <c r="O135" s="469"/>
      <c r="P135" s="468"/>
      <c r="Q135" s="468"/>
      <c r="R135" s="532"/>
      <c r="S135" s="166"/>
      <c r="T135" s="188"/>
      <c r="X135" s="286"/>
      <c r="Y135" s="188"/>
      <c r="Z135" s="286"/>
      <c r="AA135" s="188"/>
      <c r="AF135" s="286"/>
    </row>
    <row r="136" spans="1:32" x14ac:dyDescent="0.3">
      <c r="A136" s="157" t="s">
        <v>1098</v>
      </c>
      <c r="B136" s="157" t="s">
        <v>250</v>
      </c>
      <c r="C136" s="157" t="s">
        <v>1099</v>
      </c>
      <c r="D136" s="157" t="s">
        <v>208</v>
      </c>
      <c r="E136" s="157" t="s">
        <v>520</v>
      </c>
      <c r="F136" s="158" t="s">
        <v>591</v>
      </c>
      <c r="G136" s="157">
        <v>3</v>
      </c>
      <c r="H136" s="157" t="s">
        <v>63</v>
      </c>
      <c r="I136" s="185"/>
      <c r="J136" s="160"/>
      <c r="K136" s="161">
        <v>3</v>
      </c>
      <c r="L136" s="2209"/>
      <c r="M136" s="163">
        <v>1</v>
      </c>
      <c r="N136" s="166">
        <v>4685.12</v>
      </c>
      <c r="O136" s="173">
        <v>0.33300000000000002</v>
      </c>
      <c r="P136" s="166">
        <f t="shared" ref="P136" si="25">N136*(1-O136)</f>
        <v>3124.9750400000003</v>
      </c>
      <c r="Q136" s="166">
        <f t="shared" ref="Q136:Q144" si="26">P136*M136*G136</f>
        <v>9374.9251199999999</v>
      </c>
      <c r="R136" s="184">
        <f t="shared" ref="R136:R144" si="27">Q136/$Q$152</f>
        <v>8.2277488692393305E-2</v>
      </c>
      <c r="S136" s="503">
        <f t="shared" ref="S136:S144" si="28">Q136</f>
        <v>9374.9251199999999</v>
      </c>
      <c r="T136" s="394">
        <f t="shared" ref="T136:T138" si="29">S136</f>
        <v>9374.9251199999999</v>
      </c>
      <c r="X136" s="286"/>
      <c r="Y136" s="394">
        <f>S136</f>
        <v>9374.9251199999999</v>
      </c>
      <c r="Z136" s="395"/>
      <c r="AA136" s="394">
        <f>S136</f>
        <v>9374.9251199999999</v>
      </c>
      <c r="AF136" s="286"/>
    </row>
    <row r="137" spans="1:32" x14ac:dyDescent="0.3">
      <c r="A137" s="157" t="s">
        <v>1098</v>
      </c>
      <c r="B137" s="157" t="s">
        <v>227</v>
      </c>
      <c r="C137" s="157" t="s">
        <v>1099</v>
      </c>
      <c r="D137" s="157" t="s">
        <v>102</v>
      </c>
      <c r="E137" s="157" t="s">
        <v>518</v>
      </c>
      <c r="F137" s="158" t="s">
        <v>591</v>
      </c>
      <c r="G137" s="157">
        <v>1</v>
      </c>
      <c r="H137" s="157" t="s">
        <v>24</v>
      </c>
      <c r="I137" s="159">
        <v>1</v>
      </c>
      <c r="J137" s="161"/>
      <c r="K137" s="161"/>
      <c r="L137" s="2209"/>
      <c r="M137" s="163">
        <v>1</v>
      </c>
      <c r="N137" s="166">
        <v>8132.89</v>
      </c>
      <c r="O137" s="173">
        <v>0.72</v>
      </c>
      <c r="P137" s="166">
        <f>N137*(1-O137)</f>
        <v>2277.2092000000002</v>
      </c>
      <c r="Q137" s="166">
        <f t="shared" si="26"/>
        <v>2277.2092000000002</v>
      </c>
      <c r="R137" s="167">
        <f t="shared" si="27"/>
        <v>1.9985552076944378E-2</v>
      </c>
      <c r="S137" s="503">
        <f t="shared" si="28"/>
        <v>2277.2092000000002</v>
      </c>
      <c r="T137" s="394">
        <f t="shared" si="29"/>
        <v>2277.2092000000002</v>
      </c>
      <c r="X137" s="286"/>
      <c r="Y137" s="394"/>
      <c r="Z137" s="395">
        <f>S137</f>
        <v>2277.2092000000002</v>
      </c>
      <c r="AA137" s="188"/>
      <c r="AB137" s="169">
        <f>S137</f>
        <v>2277.2092000000002</v>
      </c>
      <c r="AF137" s="286"/>
    </row>
    <row r="138" spans="1:32" x14ac:dyDescent="0.3">
      <c r="A138" s="157" t="s">
        <v>1098</v>
      </c>
      <c r="B138" s="157" t="s">
        <v>250</v>
      </c>
      <c r="C138" s="157" t="s">
        <v>1099</v>
      </c>
      <c r="D138" s="157" t="s">
        <v>26</v>
      </c>
      <c r="E138" s="157" t="s">
        <v>520</v>
      </c>
      <c r="F138" s="158" t="s">
        <v>640</v>
      </c>
      <c r="G138" s="157">
        <v>2</v>
      </c>
      <c r="H138" s="157" t="s">
        <v>24</v>
      </c>
      <c r="I138" s="182">
        <v>2</v>
      </c>
      <c r="J138" s="183"/>
      <c r="K138" s="183"/>
      <c r="L138" s="2239"/>
      <c r="M138" s="163">
        <v>1</v>
      </c>
      <c r="N138" s="166">
        <v>11343.75</v>
      </c>
      <c r="O138" s="173">
        <v>0.21740000000000001</v>
      </c>
      <c r="P138" s="166">
        <f t="shared" ref="P138:P144" si="30">N138*(1-O138)</f>
        <v>8877.6187499999996</v>
      </c>
      <c r="Q138" s="166">
        <f t="shared" si="26"/>
        <v>17755.237499999999</v>
      </c>
      <c r="R138" s="184">
        <f t="shared" si="27"/>
        <v>0.15582592222742014</v>
      </c>
      <c r="S138" s="503">
        <f t="shared" si="28"/>
        <v>17755.237499999999</v>
      </c>
      <c r="T138" s="394">
        <f t="shared" si="29"/>
        <v>17755.237499999999</v>
      </c>
      <c r="X138" s="286"/>
      <c r="Y138" s="394">
        <f>S138</f>
        <v>17755.237499999999</v>
      </c>
      <c r="Z138" s="395"/>
      <c r="AA138" s="394">
        <f>S138</f>
        <v>17755.237499999999</v>
      </c>
      <c r="AF138" s="286"/>
    </row>
    <row r="139" spans="1:32" x14ac:dyDescent="0.3">
      <c r="A139" s="157" t="s">
        <v>1098</v>
      </c>
      <c r="B139" s="157" t="s">
        <v>251</v>
      </c>
      <c r="C139" s="157" t="s">
        <v>1099</v>
      </c>
      <c r="D139" s="157" t="s">
        <v>102</v>
      </c>
      <c r="E139" s="157" t="s">
        <v>518</v>
      </c>
      <c r="F139" s="158" t="s">
        <v>591</v>
      </c>
      <c r="G139" s="157">
        <v>2</v>
      </c>
      <c r="H139" s="157" t="s">
        <v>24</v>
      </c>
      <c r="I139" s="182">
        <v>2</v>
      </c>
      <c r="J139" s="183"/>
      <c r="K139" s="183"/>
      <c r="L139" s="2239"/>
      <c r="M139" s="163">
        <v>1</v>
      </c>
      <c r="N139" s="166">
        <v>3600</v>
      </c>
      <c r="O139" s="173">
        <v>0.17</v>
      </c>
      <c r="P139" s="166">
        <f t="shared" si="30"/>
        <v>2988</v>
      </c>
      <c r="Q139" s="166">
        <f t="shared" si="26"/>
        <v>5976</v>
      </c>
      <c r="R139" s="167">
        <f t="shared" si="27"/>
        <v>5.2447381299803107E-2</v>
      </c>
      <c r="S139" s="503">
        <f t="shared" si="28"/>
        <v>5976</v>
      </c>
      <c r="T139" s="394">
        <f>S139</f>
        <v>5976</v>
      </c>
      <c r="X139" s="286"/>
      <c r="Y139" s="394"/>
      <c r="Z139" s="395">
        <f>S139</f>
        <v>5976</v>
      </c>
      <c r="AA139" s="188"/>
      <c r="AC139" s="169">
        <f>S139</f>
        <v>5976</v>
      </c>
      <c r="AF139" s="286"/>
    </row>
    <row r="140" spans="1:32" x14ac:dyDescent="0.3">
      <c r="A140" s="157" t="s">
        <v>1098</v>
      </c>
      <c r="B140" s="157" t="s">
        <v>251</v>
      </c>
      <c r="C140" s="157" t="s">
        <v>1038</v>
      </c>
      <c r="D140" s="157" t="s">
        <v>252</v>
      </c>
      <c r="E140" s="157" t="s">
        <v>520</v>
      </c>
      <c r="F140" s="158" t="s">
        <v>589</v>
      </c>
      <c r="G140" s="157">
        <v>1</v>
      </c>
      <c r="H140" s="157" t="s">
        <v>24</v>
      </c>
      <c r="I140" s="182">
        <v>1</v>
      </c>
      <c r="J140" s="183"/>
      <c r="K140" s="183"/>
      <c r="L140" s="2239"/>
      <c r="M140" s="163">
        <v>1</v>
      </c>
      <c r="N140" s="166">
        <v>3600</v>
      </c>
      <c r="O140" s="173">
        <v>0.17</v>
      </c>
      <c r="P140" s="166">
        <f t="shared" si="30"/>
        <v>2988</v>
      </c>
      <c r="Q140" s="166">
        <f t="shared" si="26"/>
        <v>2988</v>
      </c>
      <c r="R140" s="1390">
        <f t="shared" si="27"/>
        <v>2.6223690649901554E-2</v>
      </c>
      <c r="S140" s="503">
        <f t="shared" si="28"/>
        <v>2988</v>
      </c>
      <c r="T140" s="394">
        <f>S140</f>
        <v>2988</v>
      </c>
      <c r="U140" s="169"/>
      <c r="V140" s="169"/>
      <c r="X140" s="286"/>
      <c r="Y140" s="394">
        <f>S140</f>
        <v>2988</v>
      </c>
      <c r="Z140" s="286"/>
      <c r="AA140" s="188"/>
      <c r="AC140" s="169">
        <f>S140</f>
        <v>2988</v>
      </c>
      <c r="AF140" s="286"/>
    </row>
    <row r="141" spans="1:32" x14ac:dyDescent="0.3">
      <c r="A141" s="157" t="s">
        <v>1098</v>
      </c>
      <c r="B141" s="157" t="s">
        <v>251</v>
      </c>
      <c r="C141" s="157" t="s">
        <v>1099</v>
      </c>
      <c r="D141" s="157" t="s">
        <v>208</v>
      </c>
      <c r="E141" s="157" t="s">
        <v>520</v>
      </c>
      <c r="F141" s="158" t="s">
        <v>591</v>
      </c>
      <c r="G141" s="157">
        <v>7</v>
      </c>
      <c r="H141" s="157" t="s">
        <v>24</v>
      </c>
      <c r="I141" s="175">
        <v>7</v>
      </c>
      <c r="J141" s="688"/>
      <c r="L141" s="286"/>
      <c r="M141" s="163">
        <v>1</v>
      </c>
      <c r="N141" s="166">
        <v>1400</v>
      </c>
      <c r="O141" s="173">
        <v>0.14000000000000001</v>
      </c>
      <c r="P141" s="166">
        <f t="shared" si="30"/>
        <v>1204</v>
      </c>
      <c r="Q141" s="166">
        <f t="shared" si="26"/>
        <v>8428</v>
      </c>
      <c r="R141" s="1390">
        <f t="shared" si="27"/>
        <v>7.3966956090150693E-2</v>
      </c>
      <c r="S141" s="503">
        <f t="shared" si="28"/>
        <v>8428</v>
      </c>
      <c r="T141" s="394">
        <f>S141</f>
        <v>8428</v>
      </c>
      <c r="V141" s="169"/>
      <c r="X141" s="286"/>
      <c r="Y141" s="394">
        <f>S141</f>
        <v>8428</v>
      </c>
      <c r="Z141" s="395"/>
      <c r="AA141" s="188"/>
      <c r="AC141" s="169">
        <f>S141</f>
        <v>8428</v>
      </c>
      <c r="AF141" s="286"/>
    </row>
    <row r="142" spans="1:32" x14ac:dyDescent="0.3">
      <c r="A142" s="157" t="s">
        <v>1098</v>
      </c>
      <c r="B142" s="157" t="s">
        <v>210</v>
      </c>
      <c r="C142" s="157" t="s">
        <v>1101</v>
      </c>
      <c r="D142" s="157" t="s">
        <v>211</v>
      </c>
      <c r="E142" s="157" t="s">
        <v>520</v>
      </c>
      <c r="F142" s="158" t="s">
        <v>1104</v>
      </c>
      <c r="G142" s="157">
        <v>5</v>
      </c>
      <c r="H142" s="157" t="s">
        <v>63</v>
      </c>
      <c r="I142" s="175">
        <v>5</v>
      </c>
      <c r="J142" s="688"/>
      <c r="K142" s="1"/>
      <c r="L142" s="163"/>
      <c r="M142" s="163">
        <v>1</v>
      </c>
      <c r="N142" s="473">
        <v>2049</v>
      </c>
      <c r="O142" s="165">
        <v>0.6</v>
      </c>
      <c r="P142" s="473">
        <f t="shared" si="30"/>
        <v>819.6</v>
      </c>
      <c r="Q142" s="473">
        <f t="shared" si="26"/>
        <v>4098</v>
      </c>
      <c r="R142" s="1669">
        <f t="shared" si="27"/>
        <v>3.5965423120246511E-2</v>
      </c>
      <c r="S142" s="164">
        <f t="shared" si="28"/>
        <v>4098</v>
      </c>
      <c r="T142" s="394"/>
      <c r="U142" s="169">
        <f>S142</f>
        <v>4098</v>
      </c>
      <c r="V142" s="169"/>
      <c r="X142" s="286"/>
      <c r="Y142" s="394">
        <f>S142</f>
        <v>4098</v>
      </c>
      <c r="Z142" s="286"/>
      <c r="AA142" s="188"/>
      <c r="AD142" s="169">
        <f>S142</f>
        <v>4098</v>
      </c>
      <c r="AF142" s="286"/>
    </row>
    <row r="143" spans="1:32" x14ac:dyDescent="0.3">
      <c r="A143" s="157" t="s">
        <v>1098</v>
      </c>
      <c r="B143" s="157" t="s">
        <v>210</v>
      </c>
      <c r="C143" s="157" t="s">
        <v>1101</v>
      </c>
      <c r="D143" s="157" t="s">
        <v>211</v>
      </c>
      <c r="E143" s="157" t="s">
        <v>518</v>
      </c>
      <c r="F143" s="158" t="s">
        <v>1104</v>
      </c>
      <c r="G143" s="157">
        <v>3</v>
      </c>
      <c r="H143" s="157" t="s">
        <v>63</v>
      </c>
      <c r="I143" s="1"/>
      <c r="J143" s="1"/>
      <c r="K143" s="161">
        <v>3</v>
      </c>
      <c r="L143" s="2209"/>
      <c r="M143" s="163">
        <v>1</v>
      </c>
      <c r="N143" s="473">
        <v>5463</v>
      </c>
      <c r="O143" s="165">
        <v>0.6</v>
      </c>
      <c r="P143" s="473">
        <f t="shared" si="30"/>
        <v>2185.2000000000003</v>
      </c>
      <c r="Q143" s="473">
        <f t="shared" si="26"/>
        <v>6555.6</v>
      </c>
      <c r="R143" s="608">
        <f t="shared" si="27"/>
        <v>5.7534145389723769E-2</v>
      </c>
      <c r="S143" s="164">
        <f t="shared" si="28"/>
        <v>6555.6</v>
      </c>
      <c r="T143" s="394"/>
      <c r="U143" s="169">
        <f>S143</f>
        <v>6555.6</v>
      </c>
      <c r="V143" s="169"/>
      <c r="X143" s="286"/>
      <c r="Y143" s="394"/>
      <c r="Z143" s="395">
        <f>S143</f>
        <v>6555.6</v>
      </c>
      <c r="AA143" s="188"/>
      <c r="AD143" s="169">
        <f>S143</f>
        <v>6555.6</v>
      </c>
      <c r="AF143" s="286"/>
    </row>
    <row r="144" spans="1:32" x14ac:dyDescent="0.3">
      <c r="A144" s="157" t="s">
        <v>1098</v>
      </c>
      <c r="B144" s="157" t="s">
        <v>179</v>
      </c>
      <c r="C144" s="157" t="s">
        <v>1041</v>
      </c>
      <c r="D144" s="157" t="s">
        <v>180</v>
      </c>
      <c r="E144" s="157" t="s">
        <v>520</v>
      </c>
      <c r="F144" s="158" t="s">
        <v>1105</v>
      </c>
      <c r="G144" s="157">
        <v>7</v>
      </c>
      <c r="H144" s="157" t="s">
        <v>24</v>
      </c>
      <c r="I144" s="182">
        <v>7</v>
      </c>
      <c r="J144" s="183"/>
      <c r="K144" s="183"/>
      <c r="L144" s="2239"/>
      <c r="M144" s="163">
        <v>1</v>
      </c>
      <c r="N144" s="473">
        <v>11069</v>
      </c>
      <c r="O144" s="165">
        <v>0.4</v>
      </c>
      <c r="P144" s="473">
        <f t="shared" si="30"/>
        <v>6641.4</v>
      </c>
      <c r="Q144" s="473">
        <f t="shared" si="26"/>
        <v>46489.799999999996</v>
      </c>
      <c r="R144" s="1664">
        <f t="shared" si="27"/>
        <v>0.40801008486472323</v>
      </c>
      <c r="S144" s="164">
        <f t="shared" si="28"/>
        <v>46489.799999999996</v>
      </c>
      <c r="T144" s="394"/>
      <c r="V144" s="169">
        <f>S144</f>
        <v>46489.799999999996</v>
      </c>
      <c r="X144" s="286"/>
      <c r="Y144" s="394">
        <f>S144</f>
        <v>46489.799999999996</v>
      </c>
      <c r="Z144" s="286"/>
      <c r="AA144" s="188"/>
      <c r="AE144" s="169">
        <f>S144</f>
        <v>46489.799999999996</v>
      </c>
      <c r="AF144" s="286"/>
    </row>
    <row r="145" spans="1:32" x14ac:dyDescent="0.3">
      <c r="A145" s="157"/>
      <c r="B145" s="157"/>
      <c r="C145" s="157"/>
      <c r="D145" s="157"/>
      <c r="E145" s="157"/>
      <c r="F145" s="158"/>
      <c r="G145" s="157"/>
      <c r="H145" s="157"/>
      <c r="I145" s="1"/>
      <c r="J145" s="1"/>
      <c r="K145" s="1"/>
      <c r="L145" s="163"/>
      <c r="M145" s="163"/>
      <c r="N145" s="473"/>
      <c r="O145" s="165"/>
      <c r="P145" s="473"/>
      <c r="Q145" s="473"/>
      <c r="R145" s="1664"/>
      <c r="S145" s="164"/>
      <c r="T145" s="394"/>
      <c r="V145" s="169"/>
      <c r="X145" s="286"/>
      <c r="Y145" s="394"/>
      <c r="Z145" s="286"/>
      <c r="AA145" s="188"/>
      <c r="AF145" s="286"/>
    </row>
    <row r="146" spans="1:32" x14ac:dyDescent="0.3">
      <c r="A146" s="157"/>
      <c r="B146" s="157"/>
      <c r="C146" s="157"/>
      <c r="D146" s="157"/>
      <c r="E146" s="157"/>
      <c r="F146" s="158"/>
      <c r="G146" s="157"/>
      <c r="H146" s="157"/>
      <c r="I146" s="1"/>
      <c r="J146" s="1"/>
      <c r="K146" s="1"/>
      <c r="L146" s="163"/>
      <c r="M146" s="163"/>
      <c r="N146" s="473"/>
      <c r="O146" s="165"/>
      <c r="P146" s="473"/>
      <c r="Q146" s="473"/>
      <c r="R146" s="1664"/>
      <c r="S146" s="164"/>
      <c r="T146" s="394"/>
      <c r="V146" s="169"/>
      <c r="X146" s="286"/>
      <c r="Y146" s="394"/>
      <c r="Z146" s="286"/>
      <c r="AA146" s="188"/>
      <c r="AF146" s="286"/>
    </row>
    <row r="147" spans="1:32" x14ac:dyDescent="0.3">
      <c r="A147" s="157"/>
      <c r="B147" s="157"/>
      <c r="C147" s="157"/>
      <c r="D147" s="157"/>
      <c r="E147" s="157"/>
      <c r="F147" s="158"/>
      <c r="G147" s="157"/>
      <c r="H147" s="157"/>
      <c r="I147" s="1"/>
      <c r="J147" s="1"/>
      <c r="K147" s="1"/>
      <c r="L147" s="163"/>
      <c r="M147" s="163"/>
      <c r="N147" s="473"/>
      <c r="O147" s="165"/>
      <c r="P147" s="473"/>
      <c r="Q147" s="473"/>
      <c r="R147" s="1664"/>
      <c r="S147" s="164"/>
      <c r="T147" s="394"/>
      <c r="V147" s="169"/>
      <c r="X147" s="286"/>
      <c r="Y147" s="394"/>
      <c r="Z147" s="286"/>
      <c r="AA147" s="188"/>
      <c r="AF147" s="286"/>
    </row>
    <row r="148" spans="1:32" x14ac:dyDescent="0.3">
      <c r="A148" s="172"/>
      <c r="B148" s="157"/>
      <c r="C148" s="190"/>
      <c r="D148" s="190"/>
      <c r="E148" s="190"/>
      <c r="F148" s="191"/>
      <c r="G148" s="190"/>
      <c r="H148" s="190"/>
      <c r="I148" s="245"/>
      <c r="J148" s="245"/>
      <c r="K148" s="245"/>
      <c r="L148" s="287"/>
      <c r="M148" s="190"/>
      <c r="N148" s="194"/>
      <c r="O148" s="195"/>
      <c r="P148" s="194"/>
      <c r="Q148" s="166"/>
      <c r="R148" s="393"/>
      <c r="S148" s="503"/>
      <c r="T148" s="188"/>
      <c r="X148" s="286"/>
      <c r="Y148" s="188"/>
      <c r="Z148" s="286"/>
      <c r="AA148" s="188"/>
      <c r="AF148" s="286"/>
    </row>
    <row r="149" spans="1:32" x14ac:dyDescent="0.3">
      <c r="A149" s="108" t="s">
        <v>1098</v>
      </c>
      <c r="B149" s="108" t="s">
        <v>528</v>
      </c>
      <c r="C149" s="289"/>
      <c r="D149" s="252"/>
      <c r="E149" s="252"/>
      <c r="F149" s="253"/>
      <c r="G149" s="252"/>
      <c r="H149" s="252"/>
      <c r="I149" s="254"/>
      <c r="J149" s="254"/>
      <c r="K149" s="254"/>
      <c r="L149" s="254"/>
      <c r="M149" s="252"/>
      <c r="N149" s="255"/>
      <c r="O149" s="256"/>
      <c r="P149" s="290"/>
      <c r="Q149" s="257"/>
      <c r="R149" s="291"/>
      <c r="S149" s="503"/>
      <c r="T149" s="188"/>
      <c r="W149" s="169">
        <f>S149</f>
        <v>0</v>
      </c>
      <c r="X149" s="286"/>
      <c r="Y149" s="188"/>
      <c r="Z149" s="286"/>
      <c r="AA149" s="188"/>
      <c r="AF149" s="286"/>
    </row>
    <row r="150" spans="1:32" x14ac:dyDescent="0.3">
      <c r="A150" s="108" t="s">
        <v>1098</v>
      </c>
      <c r="B150" s="108" t="s">
        <v>529</v>
      </c>
      <c r="C150" s="289"/>
      <c r="D150" s="252"/>
      <c r="E150" s="252"/>
      <c r="F150" s="253"/>
      <c r="G150" s="252"/>
      <c r="H150" s="252"/>
      <c r="I150" s="254"/>
      <c r="J150" s="254"/>
      <c r="K150" s="254"/>
      <c r="L150" s="254"/>
      <c r="M150" s="252"/>
      <c r="N150" s="255"/>
      <c r="O150" s="256"/>
      <c r="P150" s="290"/>
      <c r="Q150" s="257">
        <v>10000</v>
      </c>
      <c r="R150" s="291">
        <f>Q150/Q152</f>
        <v>8.7763355588693276E-2</v>
      </c>
      <c r="S150" s="503">
        <f>Q150</f>
        <v>10000</v>
      </c>
      <c r="T150" s="188"/>
      <c r="X150" s="395">
        <f>S150</f>
        <v>10000</v>
      </c>
      <c r="Y150" s="188"/>
      <c r="Z150" s="286"/>
      <c r="AA150" s="188"/>
      <c r="AF150" s="286"/>
    </row>
    <row r="151" spans="1:32" x14ac:dyDescent="0.3">
      <c r="I151" s="115">
        <f>I152/M152</f>
        <v>0.80645161290322576</v>
      </c>
      <c r="J151" s="115"/>
      <c r="K151" s="115">
        <f>K152/M152</f>
        <v>0.19354838709677419</v>
      </c>
      <c r="S151" s="166"/>
      <c r="T151" s="188"/>
      <c r="X151" s="286"/>
      <c r="Y151" s="188"/>
      <c r="Z151" s="286"/>
      <c r="AA151" s="243"/>
      <c r="AB151" s="245"/>
      <c r="AC151" s="245"/>
      <c r="AD151" s="245"/>
      <c r="AE151" s="245"/>
      <c r="AF151" s="287"/>
    </row>
    <row r="152" spans="1:32" x14ac:dyDescent="0.3">
      <c r="A152" s="789" t="s">
        <v>531</v>
      </c>
      <c r="B152" s="790"/>
      <c r="C152" s="790"/>
      <c r="D152" s="790"/>
      <c r="E152" s="790"/>
      <c r="F152" s="791"/>
      <c r="G152" s="790"/>
      <c r="H152" s="790"/>
      <c r="I152" s="790">
        <f>I144+I142+I141+I140+I139+I138+I137</f>
        <v>25</v>
      </c>
      <c r="J152" s="790"/>
      <c r="K152" s="790">
        <f>K143+K136</f>
        <v>6</v>
      </c>
      <c r="L152" s="790"/>
      <c r="M152" s="790">
        <f>SUM(I152:L152)</f>
        <v>31</v>
      </c>
      <c r="N152" s="793"/>
      <c r="O152" s="794"/>
      <c r="P152" s="793"/>
      <c r="Q152" s="795">
        <f>SUM(Q135:Q151)</f>
        <v>113942.77181999999</v>
      </c>
      <c r="R152" s="794">
        <f>SUM(R135:R150)</f>
        <v>1</v>
      </c>
      <c r="S152" s="1599">
        <f>SUM(S135:S151)</f>
        <v>113942.77181999999</v>
      </c>
      <c r="T152" s="1600">
        <f t="shared" ref="T152:Z152" si="31">SUM(T135:T150)</f>
        <v>46799.37182</v>
      </c>
      <c r="U152" s="585">
        <f t="shared" si="31"/>
        <v>10653.6</v>
      </c>
      <c r="V152" s="585">
        <f t="shared" si="31"/>
        <v>46489.799999999996</v>
      </c>
      <c r="W152" s="585">
        <f t="shared" si="31"/>
        <v>0</v>
      </c>
      <c r="X152" s="585">
        <f t="shared" si="31"/>
        <v>10000</v>
      </c>
      <c r="Y152" s="1601">
        <f t="shared" si="31"/>
        <v>89133.962620000006</v>
      </c>
      <c r="Z152" s="1602">
        <f t="shared" si="31"/>
        <v>14808.809200000002</v>
      </c>
      <c r="AA152" s="749">
        <f>SUM(AA136:AA151)</f>
        <v>27130.162619999999</v>
      </c>
      <c r="AB152" s="748">
        <f>SUM(AB136:AB151)</f>
        <v>2277.2092000000002</v>
      </c>
      <c r="AC152" s="748">
        <f t="shared" ref="AC152:AE152" si="32">SUM(AC136:AC151)</f>
        <v>17392</v>
      </c>
      <c r="AD152" s="748">
        <f t="shared" si="32"/>
        <v>10653.6</v>
      </c>
      <c r="AE152" s="748">
        <f t="shared" si="32"/>
        <v>46489.799999999996</v>
      </c>
      <c r="AF152" s="1675"/>
    </row>
    <row r="153" spans="1:32" x14ac:dyDescent="0.3">
      <c r="A153" s="789" t="s">
        <v>532</v>
      </c>
      <c r="B153" s="790"/>
      <c r="C153" s="790"/>
      <c r="D153" s="790"/>
      <c r="E153" s="790"/>
      <c r="F153" s="791"/>
      <c r="G153" s="790"/>
      <c r="H153" s="790"/>
      <c r="I153" s="790">
        <f>I144+I142+I141+I140+I139+I138+I137</f>
        <v>25</v>
      </c>
      <c r="J153" s="790">
        <f>I144+I142+I141+I140+I139+I138+I137</f>
        <v>25</v>
      </c>
      <c r="K153" s="790">
        <f>I144+K143+I140+I139+I138+I137+K136</f>
        <v>19</v>
      </c>
      <c r="L153" s="790"/>
      <c r="M153" s="790">
        <f>SUM(I153:L153)</f>
        <v>69</v>
      </c>
      <c r="N153" s="793"/>
      <c r="O153" s="794"/>
      <c r="P153" s="793"/>
      <c r="Q153" s="793"/>
      <c r="R153" s="794"/>
      <c r="S153" s="1606"/>
      <c r="T153" s="1607">
        <f>T152/S152</f>
        <v>0.4107269910366132</v>
      </c>
      <c r="U153" s="1608">
        <f>U152/S152</f>
        <v>9.3499568509970279E-2</v>
      </c>
      <c r="V153" s="1609">
        <f>V152/S152</f>
        <v>0.40801008486472323</v>
      </c>
      <c r="W153" s="1608">
        <f>W152/S152</f>
        <v>0</v>
      </c>
      <c r="X153" s="1608">
        <f>X152/S152</f>
        <v>8.7763355588693276E-2</v>
      </c>
      <c r="Y153" s="788">
        <f>Y152/S152</f>
        <v>0.78226956564483552</v>
      </c>
      <c r="Z153" s="1610">
        <f>Z152/S152</f>
        <v>0.12996707876647126</v>
      </c>
      <c r="AA153" s="1611"/>
      <c r="AB153" s="1612"/>
      <c r="AC153" s="1612"/>
      <c r="AD153" s="1612"/>
      <c r="AE153" s="1612"/>
      <c r="AF153" s="1613"/>
    </row>
    <row r="154" spans="1:32" x14ac:dyDescent="0.3">
      <c r="A154" s="251" t="s">
        <v>533</v>
      </c>
      <c r="B154" s="252"/>
      <c r="C154" s="252"/>
      <c r="D154" s="252"/>
      <c r="E154" s="252"/>
      <c r="F154" s="253"/>
      <c r="G154" s="252"/>
      <c r="H154" s="252"/>
      <c r="I154" s="2188">
        <f>I153/$M$153</f>
        <v>0.36231884057971014</v>
      </c>
      <c r="J154" s="2188">
        <f t="shared" ref="J154:L154" si="33">J153/$M$153</f>
        <v>0.36231884057971014</v>
      </c>
      <c r="K154" s="2188">
        <f t="shared" si="33"/>
        <v>0.27536231884057971</v>
      </c>
      <c r="L154" s="254">
        <f t="shared" si="33"/>
        <v>0</v>
      </c>
      <c r="M154" s="252"/>
      <c r="N154" s="255"/>
      <c r="O154" s="256"/>
      <c r="P154" s="255"/>
      <c r="Q154" s="257">
        <f>T152</f>
        <v>46799.37182</v>
      </c>
      <c r="R154" s="262">
        <f>Q154/Q159</f>
        <v>0.4107269910366132</v>
      </c>
      <c r="X154" s="248"/>
      <c r="Y154" s="357">
        <f>K136+I138+I140+I141+I142+I144</f>
        <v>25</v>
      </c>
      <c r="Z154" s="358">
        <f>I137+I139+K143</f>
        <v>6</v>
      </c>
    </row>
    <row r="155" spans="1:32" x14ac:dyDescent="0.3">
      <c r="A155" s="251" t="s">
        <v>11</v>
      </c>
      <c r="B155" s="252"/>
      <c r="C155" s="252"/>
      <c r="D155" s="252"/>
      <c r="E155" s="252"/>
      <c r="F155" s="253"/>
      <c r="G155" s="252"/>
      <c r="H155" s="252"/>
      <c r="I155" s="254"/>
      <c r="J155" s="254"/>
      <c r="K155" s="254"/>
      <c r="L155" s="254"/>
      <c r="M155" s="252"/>
      <c r="N155" s="255"/>
      <c r="O155" s="256"/>
      <c r="P155" s="255"/>
      <c r="Q155" s="257">
        <f>U152</f>
        <v>10653.6</v>
      </c>
      <c r="R155" s="262">
        <f>Q155/Q159</f>
        <v>9.3499568509970279E-2</v>
      </c>
      <c r="S155" s="1068">
        <f>Q152/M152</f>
        <v>3675.5732845161288</v>
      </c>
      <c r="T155" s="1069" t="s">
        <v>535</v>
      </c>
      <c r="Y155" s="195">
        <f>Y154/M152</f>
        <v>0.80645161290322576</v>
      </c>
      <c r="Z155" s="247">
        <f>Z154/M152</f>
        <v>0.19354838709677419</v>
      </c>
    </row>
    <row r="156" spans="1:32" x14ac:dyDescent="0.3">
      <c r="A156" s="251" t="s">
        <v>536</v>
      </c>
      <c r="B156" s="252"/>
      <c r="C156" s="252"/>
      <c r="D156" s="252"/>
      <c r="E156" s="252"/>
      <c r="F156" s="253"/>
      <c r="G156" s="252"/>
      <c r="H156" s="252"/>
      <c r="I156" s="254"/>
      <c r="J156" s="254"/>
      <c r="K156" s="254"/>
      <c r="L156" s="254"/>
      <c r="M156" s="252"/>
      <c r="N156" s="255"/>
      <c r="O156" s="256"/>
      <c r="P156" s="255"/>
      <c r="Q156" s="257">
        <f>V152</f>
        <v>46489.799999999996</v>
      </c>
      <c r="R156" s="262">
        <f>Q156/Q159</f>
        <v>0.40801008486472323</v>
      </c>
      <c r="W156" s="99"/>
      <c r="Y156" s="2551" t="s">
        <v>537</v>
      </c>
      <c r="Z156" s="2551"/>
    </row>
    <row r="157" spans="1:32" x14ac:dyDescent="0.3">
      <c r="A157" s="251" t="s">
        <v>529</v>
      </c>
      <c r="B157" s="252"/>
      <c r="C157" s="252"/>
      <c r="D157" s="252"/>
      <c r="E157" s="252"/>
      <c r="F157" s="253"/>
      <c r="G157" s="252"/>
      <c r="H157" s="252"/>
      <c r="I157" s="254"/>
      <c r="J157" s="254"/>
      <c r="K157" s="254"/>
      <c r="L157" s="254"/>
      <c r="M157" s="252"/>
      <c r="N157" s="255"/>
      <c r="O157" s="256"/>
      <c r="P157" s="255"/>
      <c r="Q157" s="257">
        <f>X152</f>
        <v>10000</v>
      </c>
      <c r="R157" s="262">
        <f>Q157/Q159</f>
        <v>8.7763355588693276E-2</v>
      </c>
    </row>
    <row r="158" spans="1:32" x14ac:dyDescent="0.3">
      <c r="A158" s="251" t="s">
        <v>528</v>
      </c>
      <c r="B158" s="252"/>
      <c r="C158" s="252"/>
      <c r="D158" s="252"/>
      <c r="E158" s="252"/>
      <c r="F158" s="253"/>
      <c r="G158" s="252"/>
      <c r="H158" s="252"/>
      <c r="I158" s="254"/>
      <c r="J158" s="254"/>
      <c r="K158" s="254"/>
      <c r="L158" s="254"/>
      <c r="M158" s="252"/>
      <c r="N158" s="255"/>
      <c r="O158" s="256"/>
      <c r="P158" s="255"/>
      <c r="Q158" s="257">
        <f>W152</f>
        <v>0</v>
      </c>
      <c r="R158" s="262"/>
    </row>
    <row r="159" spans="1:32" x14ac:dyDescent="0.3">
      <c r="A159" s="251"/>
      <c r="B159" s="252"/>
      <c r="C159" s="252"/>
      <c r="D159" s="252"/>
      <c r="E159" s="252"/>
      <c r="F159" s="253"/>
      <c r="G159" s="252"/>
      <c r="H159" s="252"/>
      <c r="I159" s="254"/>
      <c r="J159" s="254"/>
      <c r="K159" s="254"/>
      <c r="L159" s="254"/>
      <c r="M159" s="252"/>
      <c r="N159" s="255"/>
      <c r="O159" s="256"/>
      <c r="P159" s="255"/>
      <c r="Q159" s="264">
        <f>SUM(Q154:Q158)</f>
        <v>113942.77181999999</v>
      </c>
      <c r="R159" s="262">
        <f>SUM(R154:R158)</f>
        <v>1</v>
      </c>
    </row>
    <row r="163" spans="1:32" x14ac:dyDescent="0.3">
      <c r="E163" s="1" t="s">
        <v>562</v>
      </c>
      <c r="F163" s="2" t="s">
        <v>702</v>
      </c>
    </row>
    <row r="164" spans="1:32" x14ac:dyDescent="0.3">
      <c r="E164" s="1" t="s">
        <v>473</v>
      </c>
      <c r="F164" s="2" t="s">
        <v>256</v>
      </c>
    </row>
    <row r="165" spans="1:32" x14ac:dyDescent="0.3">
      <c r="E165" s="1" t="s">
        <v>475</v>
      </c>
      <c r="F165" s="2" t="s">
        <v>1106</v>
      </c>
    </row>
    <row r="166" spans="1:32" x14ac:dyDescent="0.3">
      <c r="E166" s="1" t="s">
        <v>477</v>
      </c>
      <c r="F166" s="2" t="s">
        <v>1107</v>
      </c>
    </row>
    <row r="167" spans="1:32" ht="18" x14ac:dyDescent="0.35">
      <c r="A167" s="1037" t="s">
        <v>567</v>
      </c>
    </row>
    <row r="169" spans="1:32" x14ac:dyDescent="0.3">
      <c r="A169" s="2587" t="s">
        <v>480</v>
      </c>
      <c r="B169" s="2588"/>
      <c r="C169" s="2588"/>
      <c r="D169" s="2588"/>
      <c r="E169" s="2588"/>
      <c r="F169" s="2588"/>
      <c r="G169" s="2588"/>
      <c r="H169" s="2588"/>
      <c r="I169" s="2588"/>
      <c r="J169" s="2588"/>
      <c r="K169" s="2588"/>
      <c r="L169" s="2588"/>
      <c r="M169" s="2588"/>
      <c r="N169" s="2588"/>
      <c r="O169" s="2588"/>
      <c r="P169" s="2588"/>
      <c r="Q169" s="2588"/>
      <c r="R169" s="2589"/>
      <c r="S169" s="2563" t="s">
        <v>584</v>
      </c>
      <c r="T169" s="2564"/>
      <c r="U169" s="2564"/>
      <c r="V169" s="2564"/>
      <c r="W169" s="2564"/>
      <c r="X169" s="2564"/>
      <c r="Y169" s="2564"/>
      <c r="Z169" s="2564"/>
      <c r="AA169" s="2564"/>
      <c r="AB169" s="2564"/>
      <c r="AC169" s="2564"/>
      <c r="AD169" s="2564"/>
      <c r="AE169" s="2564"/>
      <c r="AF169" s="2576"/>
    </row>
    <row r="170" spans="1:32" ht="18" x14ac:dyDescent="0.3">
      <c r="A170" s="2809" t="s">
        <v>482</v>
      </c>
      <c r="B170" s="2775" t="s">
        <v>483</v>
      </c>
      <c r="C170" s="2775" t="s">
        <v>484</v>
      </c>
      <c r="D170" s="2775" t="s">
        <v>485</v>
      </c>
      <c r="E170" s="2775" t="s">
        <v>486</v>
      </c>
      <c r="F170" s="2776" t="s">
        <v>487</v>
      </c>
      <c r="G170" s="2775" t="s">
        <v>488</v>
      </c>
      <c r="H170" s="2775" t="s">
        <v>489</v>
      </c>
      <c r="I170" s="379" t="s">
        <v>490</v>
      </c>
      <c r="J170" s="379"/>
      <c r="K170" s="379"/>
      <c r="L170" s="379"/>
      <c r="M170" s="1558" t="s">
        <v>491</v>
      </c>
      <c r="N170" s="1559" t="s">
        <v>492</v>
      </c>
      <c r="O170" s="1560" t="s">
        <v>493</v>
      </c>
      <c r="P170" s="1559" t="s">
        <v>492</v>
      </c>
      <c r="Q170" s="1559" t="s">
        <v>494</v>
      </c>
      <c r="R170" s="1676" t="s">
        <v>495</v>
      </c>
      <c r="S170" s="1074" t="s">
        <v>496</v>
      </c>
      <c r="T170" s="2554" t="s">
        <v>497</v>
      </c>
      <c r="U170" s="2555"/>
      <c r="V170" s="2555"/>
      <c r="W170" s="2555"/>
      <c r="X170" s="2555"/>
      <c r="Y170" s="2554" t="s">
        <v>498</v>
      </c>
      <c r="Z170" s="2555"/>
      <c r="AA170" s="2552" t="s">
        <v>499</v>
      </c>
      <c r="AB170" s="2553"/>
      <c r="AC170" s="2553"/>
      <c r="AD170" s="2553"/>
      <c r="AE170" s="2553"/>
      <c r="AF170" s="2556"/>
    </row>
    <row r="171" spans="1:32" ht="18" x14ac:dyDescent="0.3">
      <c r="A171" s="2809"/>
      <c r="B171" s="2775"/>
      <c r="C171" s="2775"/>
      <c r="D171" s="2775"/>
      <c r="E171" s="2775"/>
      <c r="F171" s="2776"/>
      <c r="G171" s="2775"/>
      <c r="H171" s="2775"/>
      <c r="I171" s="1637" t="s">
        <v>500</v>
      </c>
      <c r="J171" s="1637" t="s">
        <v>501</v>
      </c>
      <c r="K171" s="1637" t="s">
        <v>502</v>
      </c>
      <c r="L171" s="1637" t="s">
        <v>503</v>
      </c>
      <c r="M171" s="1558" t="s">
        <v>504</v>
      </c>
      <c r="N171" s="1559" t="s">
        <v>505</v>
      </c>
      <c r="O171" s="1560" t="s">
        <v>506</v>
      </c>
      <c r="P171" s="1559" t="s">
        <v>507</v>
      </c>
      <c r="Q171" s="1559" t="s">
        <v>507</v>
      </c>
      <c r="R171" s="1676"/>
      <c r="S171" s="1074" t="s">
        <v>508</v>
      </c>
      <c r="T171" s="2773"/>
      <c r="U171" s="2772"/>
      <c r="V171" s="2772"/>
      <c r="W171" s="2772"/>
      <c r="X171" s="2772"/>
      <c r="Y171" s="2773"/>
      <c r="Z171" s="2772"/>
      <c r="AA171" s="2773"/>
      <c r="AB171" s="2772"/>
      <c r="AC171" s="2772"/>
      <c r="AD171" s="2772"/>
      <c r="AE171" s="2772"/>
      <c r="AF171" s="2774"/>
    </row>
    <row r="172" spans="1:32" ht="18" x14ac:dyDescent="0.35">
      <c r="A172" s="2763" t="s">
        <v>568</v>
      </c>
      <c r="B172" s="2764"/>
      <c r="C172" s="2764"/>
      <c r="D172" s="2764"/>
      <c r="E172" s="2764"/>
      <c r="F172" s="2764"/>
      <c r="G172" s="2764"/>
      <c r="H172" s="2764"/>
      <c r="I172" s="2764"/>
      <c r="J172" s="2764"/>
      <c r="K172" s="2764"/>
      <c r="L172" s="2764"/>
      <c r="M172" s="2764"/>
      <c r="N172" s="2764"/>
      <c r="O172" s="2764"/>
      <c r="P172" s="2764"/>
      <c r="Q172" s="2764"/>
      <c r="R172" s="2765"/>
      <c r="S172" s="1659"/>
      <c r="T172" s="1660" t="s">
        <v>510</v>
      </c>
      <c r="U172" s="1660" t="s">
        <v>11</v>
      </c>
      <c r="V172" s="1660" t="s">
        <v>511</v>
      </c>
      <c r="W172" s="1660" t="s">
        <v>512</v>
      </c>
      <c r="X172" s="1661" t="s">
        <v>513</v>
      </c>
      <c r="Y172" s="1554" t="s">
        <v>514</v>
      </c>
      <c r="Z172" s="1578" t="s">
        <v>515</v>
      </c>
      <c r="AA172" s="1554" t="s">
        <v>248</v>
      </c>
      <c r="AB172" s="1554" t="s">
        <v>226</v>
      </c>
      <c r="AC172" s="1554" t="s">
        <v>249</v>
      </c>
      <c r="AD172" s="1554" t="s">
        <v>206</v>
      </c>
      <c r="AE172" s="1554" t="s">
        <v>254</v>
      </c>
      <c r="AF172" s="1668" t="s">
        <v>5</v>
      </c>
    </row>
    <row r="173" spans="1:32" x14ac:dyDescent="0.3">
      <c r="A173" s="154"/>
      <c r="B173" s="462"/>
      <c r="C173" s="462"/>
      <c r="D173" s="462"/>
      <c r="E173" s="462"/>
      <c r="F173" s="463"/>
      <c r="G173" s="462"/>
      <c r="H173" s="462"/>
      <c r="I173" s="465"/>
      <c r="J173" s="465"/>
      <c r="K173" s="465"/>
      <c r="L173" s="465"/>
      <c r="M173" s="462"/>
      <c r="N173" s="468"/>
      <c r="O173" s="469"/>
      <c r="P173" s="468"/>
      <c r="Q173" s="468"/>
      <c r="R173" s="469"/>
      <c r="S173" s="166"/>
      <c r="X173" s="286"/>
      <c r="Z173" s="286"/>
      <c r="AA173" s="465"/>
      <c r="AB173" s="465"/>
      <c r="AC173" s="465"/>
      <c r="AD173" s="465"/>
      <c r="AE173" s="465"/>
      <c r="AF173" s="466"/>
    </row>
    <row r="174" spans="1:32" x14ac:dyDescent="0.3">
      <c r="A174" s="157" t="s">
        <v>1098</v>
      </c>
      <c r="B174" s="157" t="s">
        <v>250</v>
      </c>
      <c r="C174" s="157" t="s">
        <v>1099</v>
      </c>
      <c r="D174" s="157" t="s">
        <v>208</v>
      </c>
      <c r="E174" s="157" t="s">
        <v>520</v>
      </c>
      <c r="F174" s="158" t="s">
        <v>640</v>
      </c>
      <c r="G174" s="157">
        <v>2</v>
      </c>
      <c r="H174" s="157" t="s">
        <v>63</v>
      </c>
      <c r="I174" s="185"/>
      <c r="J174" s="160"/>
      <c r="K174" s="161">
        <v>2</v>
      </c>
      <c r="L174" s="2209"/>
      <c r="M174" s="163">
        <v>1</v>
      </c>
      <c r="N174" s="166">
        <v>4685.12</v>
      </c>
      <c r="O174" s="173">
        <v>0.33300000000000002</v>
      </c>
      <c r="P174" s="166">
        <f t="shared" ref="P174" si="34">N174*(1-O174)</f>
        <v>3124.9750400000003</v>
      </c>
      <c r="Q174" s="166">
        <f t="shared" ref="Q174:Q181" si="35">P174*M174*G174</f>
        <v>6249.9500800000005</v>
      </c>
      <c r="R174" s="184">
        <f t="shared" ref="R174:R181" si="36">Q174/$Q$189</f>
        <v>0.10941065691974507</v>
      </c>
      <c r="S174" s="503">
        <f t="shared" ref="S174:S181" si="37">Q174*3</f>
        <v>18749.85024</v>
      </c>
      <c r="T174" s="394">
        <f t="shared" ref="T174:T176" si="38">S174</f>
        <v>18749.85024</v>
      </c>
      <c r="X174" s="286"/>
      <c r="Y174" s="394">
        <f>S174</f>
        <v>18749.85024</v>
      </c>
      <c r="Z174" s="395"/>
      <c r="AA174" s="169">
        <f>S174</f>
        <v>18749.85024</v>
      </c>
      <c r="AF174" s="286"/>
    </row>
    <row r="175" spans="1:32" x14ac:dyDescent="0.3">
      <c r="A175" s="157" t="s">
        <v>1098</v>
      </c>
      <c r="B175" s="157" t="s">
        <v>227</v>
      </c>
      <c r="C175" s="157" t="s">
        <v>1099</v>
      </c>
      <c r="D175" s="157" t="s">
        <v>102</v>
      </c>
      <c r="E175" s="157" t="s">
        <v>518</v>
      </c>
      <c r="F175" s="158" t="s">
        <v>640</v>
      </c>
      <c r="G175" s="157">
        <v>1</v>
      </c>
      <c r="H175" s="157" t="s">
        <v>24</v>
      </c>
      <c r="I175" s="159">
        <v>1</v>
      </c>
      <c r="J175" s="161"/>
      <c r="K175" s="161"/>
      <c r="L175" s="2209"/>
      <c r="M175" s="163">
        <v>1</v>
      </c>
      <c r="N175" s="166">
        <v>8132.89</v>
      </c>
      <c r="O175" s="173">
        <v>0.72</v>
      </c>
      <c r="P175" s="166">
        <f>N175*(1-O175)</f>
        <v>2277.2092000000002</v>
      </c>
      <c r="Q175" s="166">
        <f t="shared" si="35"/>
        <v>2277.2092000000002</v>
      </c>
      <c r="R175" s="167">
        <f t="shared" si="36"/>
        <v>3.986447112801373E-2</v>
      </c>
      <c r="S175" s="503">
        <f t="shared" si="37"/>
        <v>6831.6276000000007</v>
      </c>
      <c r="T175" s="394">
        <f t="shared" si="38"/>
        <v>6831.6276000000007</v>
      </c>
      <c r="X175" s="286"/>
      <c r="Y175" s="394"/>
      <c r="Z175" s="395">
        <f>S175</f>
        <v>6831.6276000000007</v>
      </c>
      <c r="AB175" s="169">
        <f>S175</f>
        <v>6831.6276000000007</v>
      </c>
      <c r="AF175" s="286"/>
    </row>
    <row r="176" spans="1:32" x14ac:dyDescent="0.3">
      <c r="A176" s="157" t="s">
        <v>1098</v>
      </c>
      <c r="B176" s="157" t="s">
        <v>250</v>
      </c>
      <c r="C176" s="157" t="s">
        <v>1099</v>
      </c>
      <c r="D176" s="157" t="s">
        <v>26</v>
      </c>
      <c r="E176" s="157" t="s">
        <v>520</v>
      </c>
      <c r="F176" s="158" t="s">
        <v>645</v>
      </c>
      <c r="G176" s="157">
        <v>1</v>
      </c>
      <c r="H176" s="157" t="s">
        <v>24</v>
      </c>
      <c r="I176" s="182">
        <v>1</v>
      </c>
      <c r="J176" s="183"/>
      <c r="K176" s="183"/>
      <c r="L176" s="2239"/>
      <c r="M176" s="163">
        <v>1</v>
      </c>
      <c r="N176" s="166">
        <v>11343.75</v>
      </c>
      <c r="O176" s="173">
        <v>0.21740000000000001</v>
      </c>
      <c r="P176" s="166">
        <f t="shared" ref="P176:P181" si="39">N176*(1-O176)</f>
        <v>8877.6187499999996</v>
      </c>
      <c r="Q176" s="166">
        <f t="shared" si="35"/>
        <v>8877.6187499999996</v>
      </c>
      <c r="R176" s="184">
        <f t="shared" si="36"/>
        <v>0.15541021718377404</v>
      </c>
      <c r="S176" s="503">
        <f t="shared" si="37"/>
        <v>26632.856249999997</v>
      </c>
      <c r="T176" s="394">
        <f t="shared" si="38"/>
        <v>26632.856249999997</v>
      </c>
      <c r="X176" s="286"/>
      <c r="Y176" s="394">
        <f>S176</f>
        <v>26632.856249999997</v>
      </c>
      <c r="Z176" s="395"/>
      <c r="AA176" s="169">
        <f>S176</f>
        <v>26632.856249999997</v>
      </c>
      <c r="AF176" s="286"/>
    </row>
    <row r="177" spans="1:32" x14ac:dyDescent="0.3">
      <c r="A177" s="157" t="s">
        <v>1098</v>
      </c>
      <c r="B177" s="157" t="s">
        <v>251</v>
      </c>
      <c r="C177" s="157" t="s">
        <v>1099</v>
      </c>
      <c r="D177" s="157" t="s">
        <v>102</v>
      </c>
      <c r="E177" s="157" t="s">
        <v>518</v>
      </c>
      <c r="F177" s="158" t="s">
        <v>640</v>
      </c>
      <c r="G177" s="157">
        <v>1</v>
      </c>
      <c r="H177" s="157" t="s">
        <v>24</v>
      </c>
      <c r="I177" s="182">
        <v>1</v>
      </c>
      <c r="J177" s="183"/>
      <c r="K177" s="183"/>
      <c r="L177" s="2239"/>
      <c r="M177" s="163">
        <v>1</v>
      </c>
      <c r="N177" s="166">
        <v>3600</v>
      </c>
      <c r="O177" s="173">
        <v>0.17</v>
      </c>
      <c r="P177" s="166">
        <f t="shared" si="39"/>
        <v>2988</v>
      </c>
      <c r="Q177" s="166">
        <f t="shared" si="35"/>
        <v>2988</v>
      </c>
      <c r="R177" s="167">
        <f t="shared" si="36"/>
        <v>5.2307464650373371E-2</v>
      </c>
      <c r="S177" s="503">
        <f t="shared" si="37"/>
        <v>8964</v>
      </c>
      <c r="T177" s="394">
        <f>S177</f>
        <v>8964</v>
      </c>
      <c r="X177" s="286"/>
      <c r="Y177" s="394"/>
      <c r="Z177" s="395">
        <f>S177</f>
        <v>8964</v>
      </c>
      <c r="AC177" s="169">
        <f>S177</f>
        <v>8964</v>
      </c>
      <c r="AF177" s="286"/>
    </row>
    <row r="178" spans="1:32" x14ac:dyDescent="0.3">
      <c r="A178" s="157" t="s">
        <v>1098</v>
      </c>
      <c r="B178" s="157" t="s">
        <v>251</v>
      </c>
      <c r="C178" s="157" t="s">
        <v>1099</v>
      </c>
      <c r="D178" s="157" t="s">
        <v>208</v>
      </c>
      <c r="E178" s="157" t="s">
        <v>520</v>
      </c>
      <c r="F178" s="158" t="s">
        <v>640</v>
      </c>
      <c r="G178" s="157">
        <v>3</v>
      </c>
      <c r="H178" s="157" t="s">
        <v>24</v>
      </c>
      <c r="I178" s="175">
        <v>3</v>
      </c>
      <c r="J178" s="688"/>
      <c r="L178" s="286"/>
      <c r="M178" s="163">
        <v>1</v>
      </c>
      <c r="N178" s="166">
        <v>1400</v>
      </c>
      <c r="O178" s="173">
        <v>0.14000000000000001</v>
      </c>
      <c r="P178" s="166">
        <f t="shared" si="39"/>
        <v>1204</v>
      </c>
      <c r="Q178" s="166">
        <f t="shared" si="35"/>
        <v>3612</v>
      </c>
      <c r="R178" s="1390">
        <f t="shared" si="36"/>
        <v>6.3231111886595914E-2</v>
      </c>
      <c r="S178" s="503">
        <f t="shared" si="37"/>
        <v>10836</v>
      </c>
      <c r="T178" s="394">
        <f>S178</f>
        <v>10836</v>
      </c>
      <c r="V178" s="169"/>
      <c r="X178" s="286"/>
      <c r="Y178" s="394">
        <f>S178</f>
        <v>10836</v>
      </c>
      <c r="Z178" s="395"/>
      <c r="AC178" s="169">
        <f>S178</f>
        <v>10836</v>
      </c>
      <c r="AF178" s="286"/>
    </row>
    <row r="179" spans="1:32" x14ac:dyDescent="0.3">
      <c r="A179" s="157" t="s">
        <v>1098</v>
      </c>
      <c r="B179" s="157" t="s">
        <v>210</v>
      </c>
      <c r="C179" s="157" t="s">
        <v>1101</v>
      </c>
      <c r="D179" s="157" t="s">
        <v>211</v>
      </c>
      <c r="E179" s="157" t="s">
        <v>520</v>
      </c>
      <c r="F179" s="158" t="s">
        <v>588</v>
      </c>
      <c r="G179" s="157">
        <v>2</v>
      </c>
      <c r="H179" s="157" t="s">
        <v>63</v>
      </c>
      <c r="I179" s="175">
        <v>2</v>
      </c>
      <c r="J179" s="688"/>
      <c r="K179" s="1"/>
      <c r="L179" s="163"/>
      <c r="M179" s="163">
        <v>1</v>
      </c>
      <c r="N179" s="473">
        <v>2049</v>
      </c>
      <c r="O179" s="165">
        <v>0.6</v>
      </c>
      <c r="P179" s="473">
        <f t="shared" si="39"/>
        <v>819.6</v>
      </c>
      <c r="Q179" s="473">
        <f t="shared" si="35"/>
        <v>1639.2</v>
      </c>
      <c r="R179" s="1669">
        <f t="shared" si="36"/>
        <v>2.869558100900001E-2</v>
      </c>
      <c r="S179" s="164">
        <f t="shared" si="37"/>
        <v>4917.6000000000004</v>
      </c>
      <c r="T179" s="394"/>
      <c r="U179" s="169">
        <f>S179</f>
        <v>4917.6000000000004</v>
      </c>
      <c r="V179" s="169"/>
      <c r="X179" s="286"/>
      <c r="Y179" s="394">
        <f>S179</f>
        <v>4917.6000000000004</v>
      </c>
      <c r="Z179" s="286"/>
      <c r="AD179" s="169">
        <f>S179</f>
        <v>4917.6000000000004</v>
      </c>
      <c r="AF179" s="286"/>
    </row>
    <row r="180" spans="1:32" x14ac:dyDescent="0.3">
      <c r="A180" s="157" t="s">
        <v>1098</v>
      </c>
      <c r="B180" s="157" t="s">
        <v>210</v>
      </c>
      <c r="C180" s="157" t="s">
        <v>1101</v>
      </c>
      <c r="D180" s="157" t="s">
        <v>211</v>
      </c>
      <c r="E180" s="157" t="s">
        <v>518</v>
      </c>
      <c r="F180" s="158" t="s">
        <v>640</v>
      </c>
      <c r="G180" s="157">
        <v>3</v>
      </c>
      <c r="H180" s="157" t="s">
        <v>63</v>
      </c>
      <c r="I180" s="1"/>
      <c r="J180" s="1"/>
      <c r="K180" s="161">
        <v>3</v>
      </c>
      <c r="L180" s="2209"/>
      <c r="M180" s="163">
        <v>1</v>
      </c>
      <c r="N180" s="473">
        <v>5463</v>
      </c>
      <c r="O180" s="165">
        <v>0.6</v>
      </c>
      <c r="P180" s="473">
        <f t="shared" si="39"/>
        <v>2185.2000000000003</v>
      </c>
      <c r="Q180" s="473">
        <f t="shared" si="35"/>
        <v>6555.6</v>
      </c>
      <c r="R180" s="608">
        <f t="shared" si="36"/>
        <v>0.11476131702208422</v>
      </c>
      <c r="S180" s="164">
        <f t="shared" si="37"/>
        <v>19666.800000000003</v>
      </c>
      <c r="T180" s="394"/>
      <c r="U180" s="169">
        <f>S180</f>
        <v>19666.800000000003</v>
      </c>
      <c r="V180" s="169"/>
      <c r="X180" s="286"/>
      <c r="Y180" s="394"/>
      <c r="Z180" s="395">
        <f>S180</f>
        <v>19666.800000000003</v>
      </c>
      <c r="AD180" s="169">
        <f>S180</f>
        <v>19666.800000000003</v>
      </c>
      <c r="AF180" s="286"/>
    </row>
    <row r="181" spans="1:32" x14ac:dyDescent="0.3">
      <c r="A181" s="157" t="s">
        <v>1098</v>
      </c>
      <c r="B181" s="157" t="s">
        <v>179</v>
      </c>
      <c r="C181" s="157" t="s">
        <v>1041</v>
      </c>
      <c r="D181" s="157" t="s">
        <v>180</v>
      </c>
      <c r="E181" s="157" t="s">
        <v>520</v>
      </c>
      <c r="F181" s="158" t="s">
        <v>1108</v>
      </c>
      <c r="G181" s="157">
        <v>3</v>
      </c>
      <c r="H181" s="157" t="s">
        <v>24</v>
      </c>
      <c r="I181" s="182">
        <v>3</v>
      </c>
      <c r="J181" s="183"/>
      <c r="K181" s="183"/>
      <c r="L181" s="2239"/>
      <c r="M181" s="163">
        <v>1</v>
      </c>
      <c r="N181" s="473">
        <v>11069</v>
      </c>
      <c r="O181" s="165">
        <v>0.4</v>
      </c>
      <c r="P181" s="473">
        <f t="shared" si="39"/>
        <v>6641.4</v>
      </c>
      <c r="Q181" s="473">
        <f t="shared" si="35"/>
        <v>19924.199999999997</v>
      </c>
      <c r="R181" s="1664">
        <f t="shared" si="36"/>
        <v>0.34878995555119441</v>
      </c>
      <c r="S181" s="164">
        <f t="shared" si="37"/>
        <v>59772.599999999991</v>
      </c>
      <c r="T181" s="394"/>
      <c r="V181" s="169">
        <f>S181</f>
        <v>59772.599999999991</v>
      </c>
      <c r="X181" s="286"/>
      <c r="Y181" s="394">
        <f>S181</f>
        <v>59772.599999999991</v>
      </c>
      <c r="Z181" s="286"/>
      <c r="AE181" s="169">
        <f>S181</f>
        <v>59772.599999999991</v>
      </c>
      <c r="AF181" s="286"/>
    </row>
    <row r="182" spans="1:32" x14ac:dyDescent="0.3">
      <c r="A182" s="157"/>
      <c r="B182" s="157"/>
      <c r="C182" s="157"/>
      <c r="D182" s="157"/>
      <c r="E182" s="157"/>
      <c r="F182" s="158"/>
      <c r="G182" s="157"/>
      <c r="H182" s="157"/>
      <c r="I182" s="1"/>
      <c r="J182" s="1"/>
      <c r="K182" s="1"/>
      <c r="L182" s="163"/>
      <c r="M182" s="163"/>
      <c r="N182" s="473"/>
      <c r="O182" s="165"/>
      <c r="P182" s="473"/>
      <c r="Q182" s="473"/>
      <c r="R182" s="1664"/>
      <c r="S182" s="164"/>
      <c r="T182" s="394"/>
      <c r="V182" s="169"/>
      <c r="X182" s="286"/>
      <c r="Y182" s="394"/>
      <c r="Z182" s="286"/>
      <c r="AF182" s="286"/>
    </row>
    <row r="183" spans="1:32" x14ac:dyDescent="0.3">
      <c r="A183" s="157"/>
      <c r="B183" s="157"/>
      <c r="C183" s="157"/>
      <c r="D183" s="157"/>
      <c r="E183" s="157"/>
      <c r="F183" s="158"/>
      <c r="G183" s="157"/>
      <c r="H183" s="157"/>
      <c r="I183" s="1"/>
      <c r="J183" s="1"/>
      <c r="K183" s="1"/>
      <c r="L183" s="163"/>
      <c r="M183" s="163"/>
      <c r="N183" s="473"/>
      <c r="O183" s="165"/>
      <c r="P183" s="473"/>
      <c r="Q183" s="473"/>
      <c r="R183" s="1664"/>
      <c r="S183" s="164"/>
      <c r="T183" s="394"/>
      <c r="V183" s="169"/>
      <c r="X183" s="286"/>
      <c r="Y183" s="394"/>
      <c r="Z183" s="286"/>
      <c r="AF183" s="286"/>
    </row>
    <row r="184" spans="1:32" x14ac:dyDescent="0.3">
      <c r="A184" s="157"/>
      <c r="B184" s="157"/>
      <c r="C184" s="157"/>
      <c r="D184" s="157"/>
      <c r="E184" s="157"/>
      <c r="F184" s="158"/>
      <c r="G184" s="157"/>
      <c r="H184" s="157"/>
      <c r="I184" s="1"/>
      <c r="J184" s="1"/>
      <c r="K184" s="1"/>
      <c r="L184" s="163"/>
      <c r="M184" s="163"/>
      <c r="N184" s="473"/>
      <c r="O184" s="165"/>
      <c r="P184" s="473"/>
      <c r="Q184" s="473"/>
      <c r="R184" s="1664"/>
      <c r="S184" s="164"/>
      <c r="T184" s="394"/>
      <c r="V184" s="169"/>
      <c r="X184" s="286"/>
      <c r="Y184" s="394"/>
      <c r="Z184" s="286"/>
      <c r="AF184" s="286"/>
    </row>
    <row r="185" spans="1:32" x14ac:dyDescent="0.3">
      <c r="A185" s="172"/>
      <c r="B185" s="157"/>
      <c r="C185" s="190"/>
      <c r="D185" s="190"/>
      <c r="E185" s="190"/>
      <c r="F185" s="191"/>
      <c r="G185" s="190"/>
      <c r="H185" s="190"/>
      <c r="I185" s="245"/>
      <c r="J185" s="245"/>
      <c r="K185" s="245"/>
      <c r="L185" s="287"/>
      <c r="M185" s="190"/>
      <c r="N185" s="194"/>
      <c r="O185" s="195"/>
      <c r="P185" s="194"/>
      <c r="Q185" s="166"/>
      <c r="R185" s="393"/>
      <c r="S185" s="503"/>
      <c r="T185" s="188"/>
      <c r="X185" s="286"/>
      <c r="Y185" s="188"/>
      <c r="Z185" s="286"/>
      <c r="AF185" s="286"/>
    </row>
    <row r="186" spans="1:32" x14ac:dyDescent="0.3">
      <c r="A186" s="108" t="s">
        <v>1098</v>
      </c>
      <c r="B186" s="108" t="s">
        <v>528</v>
      </c>
      <c r="C186" s="289"/>
      <c r="D186" s="252"/>
      <c r="E186" s="252"/>
      <c r="F186" s="253"/>
      <c r="G186" s="252"/>
      <c r="H186" s="252"/>
      <c r="I186" s="254"/>
      <c r="J186" s="254"/>
      <c r="K186" s="254"/>
      <c r="L186" s="254"/>
      <c r="M186" s="252"/>
      <c r="N186" s="255"/>
      <c r="O186" s="256"/>
      <c r="P186" s="290"/>
      <c r="Q186" s="257"/>
      <c r="R186" s="291"/>
      <c r="S186" s="503"/>
      <c r="T186" s="188"/>
      <c r="W186" s="169">
        <f>S186</f>
        <v>0</v>
      </c>
      <c r="X186" s="286"/>
      <c r="Y186" s="188"/>
      <c r="Z186" s="286"/>
      <c r="AF186" s="286"/>
    </row>
    <row r="187" spans="1:32" x14ac:dyDescent="0.3">
      <c r="A187" s="108" t="s">
        <v>1098</v>
      </c>
      <c r="B187" s="108" t="s">
        <v>529</v>
      </c>
      <c r="C187" s="289"/>
      <c r="D187" s="252"/>
      <c r="E187" s="252"/>
      <c r="F187" s="253"/>
      <c r="G187" s="252"/>
      <c r="H187" s="252"/>
      <c r="I187" s="254"/>
      <c r="J187" s="254"/>
      <c r="K187" s="254"/>
      <c r="L187" s="254"/>
      <c r="M187" s="252"/>
      <c r="N187" s="255"/>
      <c r="O187" s="256"/>
      <c r="P187" s="290"/>
      <c r="Q187" s="257">
        <v>5000</v>
      </c>
      <c r="R187" s="291">
        <f>Q187/Q189</f>
        <v>8.7529224649219153E-2</v>
      </c>
      <c r="S187" s="503">
        <f>Q187*3</f>
        <v>15000</v>
      </c>
      <c r="T187" s="188"/>
      <c r="X187" s="395">
        <f>S187</f>
        <v>15000</v>
      </c>
      <c r="Y187" s="188"/>
      <c r="Z187" s="286"/>
      <c r="AF187" s="286"/>
    </row>
    <row r="188" spans="1:32" x14ac:dyDescent="0.3">
      <c r="I188" s="115">
        <f>I189/M189</f>
        <v>0.6875</v>
      </c>
      <c r="J188" s="115"/>
      <c r="K188" s="115">
        <f>K189/M189</f>
        <v>0.3125</v>
      </c>
      <c r="S188" s="166"/>
      <c r="T188" s="188"/>
      <c r="X188" s="286"/>
      <c r="Y188" s="188"/>
      <c r="Z188" s="286"/>
      <c r="AA188" s="245"/>
      <c r="AB188" s="245"/>
      <c r="AC188" s="245"/>
      <c r="AD188" s="245"/>
      <c r="AE188" s="245"/>
      <c r="AF188" s="287"/>
    </row>
    <row r="189" spans="1:32" x14ac:dyDescent="0.3">
      <c r="A189" s="1404" t="s">
        <v>531</v>
      </c>
      <c r="B189" s="1405"/>
      <c r="C189" s="1405"/>
      <c r="D189" s="1405"/>
      <c r="E189" s="1405"/>
      <c r="F189" s="1614"/>
      <c r="G189" s="1405"/>
      <c r="H189" s="1405"/>
      <c r="I189" s="1405">
        <f>I181+I179+I178+I177+I176+I175</f>
        <v>11</v>
      </c>
      <c r="J189" s="1405"/>
      <c r="K189" s="1405">
        <f>K180+K174</f>
        <v>5</v>
      </c>
      <c r="L189" s="1405"/>
      <c r="M189" s="1405">
        <f>SUM(I189:L189)</f>
        <v>16</v>
      </c>
      <c r="N189" s="1616"/>
      <c r="O189" s="1617"/>
      <c r="P189" s="1616"/>
      <c r="Q189" s="1618">
        <f>SUM(Q173:Q188)</f>
        <v>57123.778030000001</v>
      </c>
      <c r="R189" s="1617">
        <f>SUM(R173:R187)</f>
        <v>1</v>
      </c>
      <c r="S189" s="1619">
        <f>SUM(S173:S188)</f>
        <v>171371.33408999999</v>
      </c>
      <c r="T189" s="1620">
        <f t="shared" ref="T189:Z189" si="40">SUM(T173:T187)</f>
        <v>72014.334089999989</v>
      </c>
      <c r="U189" s="798">
        <f t="shared" si="40"/>
        <v>24584.400000000001</v>
      </c>
      <c r="V189" s="798">
        <f t="shared" si="40"/>
        <v>59772.599999999991</v>
      </c>
      <c r="W189" s="798">
        <f t="shared" si="40"/>
        <v>0</v>
      </c>
      <c r="X189" s="798">
        <f t="shared" si="40"/>
        <v>15000</v>
      </c>
      <c r="Y189" s="1621">
        <f t="shared" si="40"/>
        <v>120908.90648999999</v>
      </c>
      <c r="Z189" s="1622">
        <f t="shared" si="40"/>
        <v>35462.427600000003</v>
      </c>
      <c r="AA189" s="755">
        <f>SUM(AA174:AA187)</f>
        <v>45382.706489999997</v>
      </c>
      <c r="AB189" s="755">
        <f>SUM(AB174:AB187)</f>
        <v>6831.6276000000007</v>
      </c>
      <c r="AC189" s="755">
        <f>SUM(AC174:AC187)</f>
        <v>19800</v>
      </c>
      <c r="AD189" s="755">
        <f>SUM(AD173:AD187)</f>
        <v>24584.400000000001</v>
      </c>
      <c r="AE189" s="755">
        <f>SUM(AE174:AE187)</f>
        <v>59772.599999999991</v>
      </c>
      <c r="AF189" s="1677"/>
    </row>
    <row r="190" spans="1:32" x14ac:dyDescent="0.3">
      <c r="A190" s="1404" t="s">
        <v>532</v>
      </c>
      <c r="B190" s="1405"/>
      <c r="C190" s="1405"/>
      <c r="D190" s="1405"/>
      <c r="E190" s="1405"/>
      <c r="F190" s="1614"/>
      <c r="G190" s="1405"/>
      <c r="H190" s="1405"/>
      <c r="I190" s="1405">
        <f>I181+I179+I178+I177+I176+I175</f>
        <v>11</v>
      </c>
      <c r="J190" s="1405">
        <f>I181+I179+I178+I177+I176+I175</f>
        <v>11</v>
      </c>
      <c r="K190" s="1405">
        <f>I181+K180+I177+I176+I175+K174</f>
        <v>11</v>
      </c>
      <c r="L190" s="1405"/>
      <c r="M190" s="1405">
        <f>SUM(I190:L190)</f>
        <v>33</v>
      </c>
      <c r="N190" s="1616"/>
      <c r="O190" s="1617"/>
      <c r="P190" s="1616"/>
      <c r="Q190" s="1616"/>
      <c r="R190" s="1617"/>
      <c r="S190" s="1626"/>
      <c r="T190" s="1627">
        <f>T189/S189</f>
        <v>0.4202239217685021</v>
      </c>
      <c r="U190" s="1628">
        <f>U189/S189</f>
        <v>0.14345689803108425</v>
      </c>
      <c r="V190" s="1629">
        <f>V189/S189</f>
        <v>0.34878995555119446</v>
      </c>
      <c r="W190" s="1628">
        <f>W189/S189</f>
        <v>0</v>
      </c>
      <c r="X190" s="1628">
        <f>X189/S189</f>
        <v>8.7529224649219167E-2</v>
      </c>
      <c r="Y190" s="381">
        <f>Y189/S189</f>
        <v>0.70553752255030955</v>
      </c>
      <c r="Z190" s="1630">
        <f>Z189/S189</f>
        <v>0.20693325280047137</v>
      </c>
      <c r="AA190" s="1678"/>
      <c r="AB190" s="1632"/>
      <c r="AC190" s="1632"/>
      <c r="AD190" s="1632"/>
      <c r="AE190" s="1632"/>
      <c r="AF190" s="1633"/>
    </row>
    <row r="191" spans="1:32" x14ac:dyDescent="0.3">
      <c r="A191" s="251" t="s">
        <v>533</v>
      </c>
      <c r="B191" s="252"/>
      <c r="C191" s="252"/>
      <c r="D191" s="252"/>
      <c r="E191" s="252"/>
      <c r="F191" s="253"/>
      <c r="G191" s="252"/>
      <c r="H191" s="252"/>
      <c r="I191" s="2188">
        <f>I190/$M$190</f>
        <v>0.33333333333333331</v>
      </c>
      <c r="J191" s="2188">
        <f t="shared" ref="J191:K191" si="41">J190/$M$190</f>
        <v>0.33333333333333331</v>
      </c>
      <c r="K191" s="2188">
        <f t="shared" si="41"/>
        <v>0.33333333333333331</v>
      </c>
      <c r="L191" s="254"/>
      <c r="M191" s="252"/>
      <c r="N191" s="255"/>
      <c r="O191" s="256"/>
      <c r="P191" s="255"/>
      <c r="Q191" s="257">
        <f>T189/3</f>
        <v>24004.778029999998</v>
      </c>
      <c r="R191" s="262">
        <f>Q191/Q196</f>
        <v>0.4202239217685021</v>
      </c>
      <c r="X191" s="248"/>
      <c r="Y191" s="357">
        <f>K174+I176+I178+I179+I181</f>
        <v>11</v>
      </c>
      <c r="Z191" s="358">
        <f>I175+I177+K180</f>
        <v>5</v>
      </c>
    </row>
    <row r="192" spans="1:32" x14ac:dyDescent="0.3">
      <c r="A192" s="251" t="s">
        <v>11</v>
      </c>
      <c r="B192" s="252"/>
      <c r="C192" s="252"/>
      <c r="D192" s="252"/>
      <c r="E192" s="252"/>
      <c r="F192" s="253"/>
      <c r="G192" s="252"/>
      <c r="H192" s="252"/>
      <c r="I192" s="254"/>
      <c r="J192" s="254"/>
      <c r="K192" s="254"/>
      <c r="L192" s="254"/>
      <c r="M192" s="252"/>
      <c r="N192" s="255"/>
      <c r="O192" s="256"/>
      <c r="P192" s="255"/>
      <c r="Q192" s="257">
        <f>U189/3</f>
        <v>8194.8000000000011</v>
      </c>
      <c r="R192" s="262">
        <f>Q192/Q196</f>
        <v>0.14345689803108427</v>
      </c>
      <c r="S192" s="1077">
        <f>Q189/M189</f>
        <v>3570.2361268750001</v>
      </c>
      <c r="T192" s="1078" t="s">
        <v>535</v>
      </c>
      <c r="Y192" s="195">
        <f>Y191/M189</f>
        <v>0.6875</v>
      </c>
      <c r="Z192" s="247">
        <f>Z191/M189</f>
        <v>0.3125</v>
      </c>
    </row>
    <row r="193" spans="1:32" x14ac:dyDescent="0.3">
      <c r="A193" s="251" t="s">
        <v>536</v>
      </c>
      <c r="B193" s="252"/>
      <c r="C193" s="252"/>
      <c r="D193" s="252"/>
      <c r="E193" s="252"/>
      <c r="F193" s="253"/>
      <c r="G193" s="252"/>
      <c r="H193" s="252"/>
      <c r="I193" s="254"/>
      <c r="J193" s="254"/>
      <c r="K193" s="254"/>
      <c r="L193" s="254"/>
      <c r="M193" s="252"/>
      <c r="N193" s="255"/>
      <c r="O193" s="256"/>
      <c r="P193" s="255"/>
      <c r="Q193" s="257">
        <f>V189/3</f>
        <v>19924.199999999997</v>
      </c>
      <c r="R193" s="262">
        <f>Q193/Q196</f>
        <v>0.34878995555119446</v>
      </c>
      <c r="W193" s="99"/>
      <c r="Y193" s="2551" t="s">
        <v>537</v>
      </c>
      <c r="Z193" s="2551"/>
    </row>
    <row r="194" spans="1:32" x14ac:dyDescent="0.3">
      <c r="A194" s="251" t="s">
        <v>529</v>
      </c>
      <c r="B194" s="252"/>
      <c r="C194" s="252"/>
      <c r="D194" s="252"/>
      <c r="E194" s="252"/>
      <c r="F194" s="253"/>
      <c r="G194" s="252"/>
      <c r="H194" s="252"/>
      <c r="I194" s="254"/>
      <c r="J194" s="254"/>
      <c r="K194" s="254"/>
      <c r="L194" s="254"/>
      <c r="M194" s="252"/>
      <c r="N194" s="255"/>
      <c r="O194" s="256"/>
      <c r="P194" s="255"/>
      <c r="Q194" s="257">
        <f>X189/3</f>
        <v>5000</v>
      </c>
      <c r="R194" s="262">
        <f>Q194/Q196</f>
        <v>8.7529224649219167E-2</v>
      </c>
    </row>
    <row r="195" spans="1:32" x14ac:dyDescent="0.3">
      <c r="A195" s="251" t="s">
        <v>528</v>
      </c>
      <c r="B195" s="252"/>
      <c r="C195" s="252"/>
      <c r="D195" s="252"/>
      <c r="E195" s="252"/>
      <c r="F195" s="253"/>
      <c r="G195" s="252"/>
      <c r="H195" s="252"/>
      <c r="I195" s="254"/>
      <c r="J195" s="254"/>
      <c r="K195" s="254"/>
      <c r="L195" s="254"/>
      <c r="M195" s="252"/>
      <c r="N195" s="255"/>
      <c r="O195" s="256"/>
      <c r="P195" s="255"/>
      <c r="Q195" s="257">
        <f>W189/3</f>
        <v>0</v>
      </c>
      <c r="R195" s="262"/>
    </row>
    <row r="196" spans="1:32" x14ac:dyDescent="0.3">
      <c r="A196" s="251"/>
      <c r="B196" s="252"/>
      <c r="C196" s="252"/>
      <c r="D196" s="252"/>
      <c r="E196" s="252"/>
      <c r="F196" s="253"/>
      <c r="G196" s="252"/>
      <c r="H196" s="252"/>
      <c r="I196" s="254"/>
      <c r="J196" s="254"/>
      <c r="K196" s="254"/>
      <c r="L196" s="254"/>
      <c r="M196" s="252"/>
      <c r="N196" s="255"/>
      <c r="O196" s="256"/>
      <c r="P196" s="255"/>
      <c r="Q196" s="264">
        <f>SUM(Q191:Q195)</f>
        <v>57123.778029999994</v>
      </c>
      <c r="R196" s="262">
        <f>SUM(R191:R195)</f>
        <v>1</v>
      </c>
    </row>
    <row r="197" spans="1:32" ht="15.6" x14ac:dyDescent="0.3">
      <c r="A197" s="188"/>
      <c r="N197" s="5"/>
      <c r="O197" s="6"/>
      <c r="P197" s="5"/>
      <c r="Q197" s="5"/>
      <c r="R197" s="6"/>
      <c r="S197" s="600"/>
      <c r="Z197" s="303">
        <f>SUM(AA198:AF198)</f>
        <v>1182465.8723399998</v>
      </c>
      <c r="AA197" s="1553" t="s">
        <v>248</v>
      </c>
      <c r="AB197" s="1554" t="s">
        <v>226</v>
      </c>
      <c r="AC197" s="1554" t="s">
        <v>249</v>
      </c>
      <c r="AD197" s="1554" t="s">
        <v>206</v>
      </c>
      <c r="AE197" s="1554" t="s">
        <v>254</v>
      </c>
      <c r="AF197" s="1668" t="s">
        <v>5</v>
      </c>
    </row>
    <row r="198" spans="1:32" x14ac:dyDescent="0.3">
      <c r="A198" s="1568" t="s">
        <v>878</v>
      </c>
      <c r="B198" s="1641"/>
      <c r="C198" s="1641"/>
      <c r="D198" s="1641"/>
      <c r="E198" s="1641"/>
      <c r="F198" s="1642"/>
      <c r="G198" s="1641"/>
      <c r="H198" s="1641"/>
      <c r="I198" s="1643"/>
      <c r="J198" s="1643"/>
      <c r="K198" s="1643"/>
      <c r="L198" s="1643"/>
      <c r="M198" s="1641"/>
      <c r="N198" s="1035"/>
      <c r="O198" s="1644"/>
      <c r="P198" s="1035"/>
      <c r="Q198" s="1645"/>
      <c r="R198" s="1646"/>
      <c r="S198" s="1647">
        <f>S189+S152+S120+S83+S50</f>
        <v>1301465.87234</v>
      </c>
      <c r="Z198" t="s">
        <v>601</v>
      </c>
      <c r="AA198" s="1679">
        <f>AA189+AA152+AA120+AA83+AA50</f>
        <v>260932.08833999999</v>
      </c>
      <c r="AB198" s="1645">
        <f t="shared" ref="AB198:AF198" si="42">AB189+AB152+AB120+AB83+AB50</f>
        <v>45544.184000000001</v>
      </c>
      <c r="AC198" s="1645">
        <f t="shared" si="42"/>
        <v>265796</v>
      </c>
      <c r="AD198" s="1645">
        <f t="shared" si="42"/>
        <v>196400.00000000003</v>
      </c>
      <c r="AE198" s="1645">
        <f t="shared" si="42"/>
        <v>231393.59999999998</v>
      </c>
      <c r="AF198" s="1645">
        <f t="shared" si="42"/>
        <v>182400</v>
      </c>
    </row>
    <row r="199" spans="1:32" x14ac:dyDescent="0.3">
      <c r="R199" s="3" t="s">
        <v>571</v>
      </c>
      <c r="S199" s="120">
        <f>D18-S198</f>
        <v>-7989.8223399999551</v>
      </c>
    </row>
    <row r="200" spans="1:32" x14ac:dyDescent="0.3">
      <c r="Q200" s="116"/>
      <c r="R200" s="626"/>
    </row>
    <row r="201" spans="1:32" x14ac:dyDescent="0.3">
      <c r="A201" s="4"/>
      <c r="R201" s="98"/>
    </row>
    <row r="202" spans="1:32" x14ac:dyDescent="0.3">
      <c r="Q202" s="116"/>
      <c r="R202" s="626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F79"/>
  <sheetViews>
    <sheetView topLeftCell="A36" workbookViewId="0">
      <selection activeCell="H45" sqref="H45:H52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360</v>
      </c>
      <c r="C2" t="s">
        <v>372</v>
      </c>
      <c r="D2" t="s">
        <v>371</v>
      </c>
      <c r="E2" s="1" t="s">
        <v>250</v>
      </c>
      <c r="F2" s="1" t="s">
        <v>208</v>
      </c>
      <c r="G2" s="2186">
        <v>1</v>
      </c>
      <c r="H2" s="2186">
        <f>VLOOKUP(G2,Pesos!A:B,2,0)</f>
        <v>0.9</v>
      </c>
      <c r="I2" s="1" t="s">
        <v>305</v>
      </c>
      <c r="J2" s="1"/>
      <c r="K2" s="1">
        <v>7</v>
      </c>
      <c r="L2" s="1">
        <v>10</v>
      </c>
      <c r="M2" s="1">
        <v>4</v>
      </c>
      <c r="N2" s="1" t="s">
        <v>63</v>
      </c>
      <c r="O2" s="1"/>
      <c r="P2" s="1"/>
      <c r="Q2" s="1">
        <v>4</v>
      </c>
      <c r="R2" s="1"/>
      <c r="S2" s="1">
        <v>1</v>
      </c>
      <c r="T2" s="5">
        <v>4685.12</v>
      </c>
      <c r="U2" s="30">
        <v>0.33300000000000002</v>
      </c>
      <c r="V2" s="25">
        <f>T2*(1-U2)</f>
        <v>3124.9750400000003</v>
      </c>
      <c r="W2" s="25">
        <f>V2*S2*M2</f>
        <v>12499.900160000001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360</v>
      </c>
      <c r="C3" t="s">
        <v>372</v>
      </c>
      <c r="D3" t="s">
        <v>371</v>
      </c>
      <c r="E3" s="1" t="s">
        <v>227</v>
      </c>
      <c r="F3" s="1" t="s">
        <v>102</v>
      </c>
      <c r="G3" s="2186">
        <v>2</v>
      </c>
      <c r="H3" s="2186">
        <f>VLOOKUP(G3,Pesos!A:B,2,0)</f>
        <v>0.8</v>
      </c>
      <c r="J3" s="1" t="s">
        <v>305</v>
      </c>
      <c r="K3" s="1">
        <v>4</v>
      </c>
      <c r="L3" s="1">
        <v>8</v>
      </c>
      <c r="M3" s="1">
        <v>3</v>
      </c>
      <c r="N3" s="1" t="s">
        <v>24</v>
      </c>
      <c r="O3" s="1">
        <v>3</v>
      </c>
      <c r="S3" s="1">
        <v>1</v>
      </c>
      <c r="T3" s="5">
        <v>8132.89</v>
      </c>
      <c r="U3" s="30">
        <v>0.72</v>
      </c>
      <c r="V3" s="25">
        <f t="shared" ref="V3:V8" si="0">T3*(1-U3)</f>
        <v>2277.2092000000002</v>
      </c>
      <c r="W3" s="25">
        <f t="shared" ref="W3:W17" si="1">V3*S3*M3</f>
        <v>6831.6276000000007</v>
      </c>
      <c r="X3" s="6"/>
      <c r="Y3" s="22"/>
      <c r="Z3" s="1"/>
    </row>
    <row r="4" spans="1:32" x14ac:dyDescent="0.3">
      <c r="A4" t="s">
        <v>327</v>
      </c>
      <c r="B4" t="s">
        <v>360</v>
      </c>
      <c r="C4" t="s">
        <v>372</v>
      </c>
      <c r="D4" t="s">
        <v>371</v>
      </c>
      <c r="E4" s="1" t="s">
        <v>250</v>
      </c>
      <c r="F4" s="1" t="s">
        <v>26</v>
      </c>
      <c r="G4" s="2186">
        <v>6</v>
      </c>
      <c r="H4" s="2186">
        <f>VLOOKUP(G4,Pesos!A:B,2,0)</f>
        <v>0.4</v>
      </c>
      <c r="I4" s="1" t="s">
        <v>305</v>
      </c>
      <c r="K4" s="1">
        <v>3</v>
      </c>
      <c r="L4" s="1">
        <v>6</v>
      </c>
      <c r="M4" s="1">
        <v>3</v>
      </c>
      <c r="N4" s="1" t="s">
        <v>24</v>
      </c>
      <c r="O4" s="1">
        <v>3</v>
      </c>
      <c r="S4" s="1">
        <v>1</v>
      </c>
      <c r="T4" s="5">
        <v>11343.75</v>
      </c>
      <c r="U4" s="30">
        <v>0.21740000000000001</v>
      </c>
      <c r="V4" s="25">
        <f t="shared" si="0"/>
        <v>8877.6187499999996</v>
      </c>
      <c r="W4" s="25">
        <f t="shared" si="1"/>
        <v>26632.856249999997</v>
      </c>
      <c r="X4" s="6"/>
      <c r="Y4" s="22"/>
      <c r="Z4" s="1"/>
    </row>
    <row r="5" spans="1:32" x14ac:dyDescent="0.3">
      <c r="A5" t="s">
        <v>327</v>
      </c>
      <c r="B5" t="s">
        <v>360</v>
      </c>
      <c r="C5" t="s">
        <v>372</v>
      </c>
      <c r="D5" t="s">
        <v>371</v>
      </c>
      <c r="E5" s="1" t="s">
        <v>251</v>
      </c>
      <c r="F5" s="1" t="s">
        <v>102</v>
      </c>
      <c r="G5" s="2186">
        <v>2</v>
      </c>
      <c r="H5" s="2186">
        <f>VLOOKUP(G5,Pesos!A:B,2,0)</f>
        <v>0.8</v>
      </c>
      <c r="J5" s="1" t="s">
        <v>305</v>
      </c>
      <c r="K5" s="1">
        <v>4</v>
      </c>
      <c r="L5" s="2" t="s">
        <v>330</v>
      </c>
      <c r="M5" s="1">
        <v>2</v>
      </c>
      <c r="N5" s="1" t="s">
        <v>24</v>
      </c>
      <c r="O5" s="1">
        <v>2</v>
      </c>
      <c r="S5" s="1">
        <v>1</v>
      </c>
      <c r="T5" s="5">
        <v>3600</v>
      </c>
      <c r="U5" s="30">
        <v>0.17</v>
      </c>
      <c r="V5" s="25">
        <f t="shared" si="0"/>
        <v>2988</v>
      </c>
      <c r="W5" s="25">
        <f t="shared" si="1"/>
        <v>5976</v>
      </c>
      <c r="X5" s="18"/>
      <c r="Y5" s="22"/>
      <c r="Z5" s="1"/>
    </row>
    <row r="6" spans="1:32" x14ac:dyDescent="0.3">
      <c r="A6" t="s">
        <v>327</v>
      </c>
      <c r="B6" t="s">
        <v>360</v>
      </c>
      <c r="C6" t="s">
        <v>372</v>
      </c>
      <c r="D6" t="s">
        <v>371</v>
      </c>
      <c r="E6" s="1" t="s">
        <v>251</v>
      </c>
      <c r="F6" s="1" t="s">
        <v>252</v>
      </c>
      <c r="G6" s="2186">
        <v>7</v>
      </c>
      <c r="H6" s="2186">
        <f>VLOOKUP(G6,Pesos!A:B,2,0)</f>
        <v>0.3</v>
      </c>
      <c r="I6" s="1" t="s">
        <v>305</v>
      </c>
      <c r="K6" s="1">
        <v>1</v>
      </c>
      <c r="L6" s="2" t="s">
        <v>333</v>
      </c>
      <c r="M6" s="1">
        <v>1</v>
      </c>
      <c r="N6" s="1" t="s">
        <v>24</v>
      </c>
      <c r="O6" s="1">
        <v>1</v>
      </c>
      <c r="S6" s="1">
        <v>1</v>
      </c>
      <c r="T6" s="5">
        <v>3600</v>
      </c>
      <c r="U6" s="30">
        <v>0.17</v>
      </c>
      <c r="V6" s="25">
        <f t="shared" si="0"/>
        <v>2988</v>
      </c>
      <c r="W6" s="25">
        <f t="shared" si="1"/>
        <v>2988</v>
      </c>
      <c r="X6" s="6"/>
      <c r="Y6" s="22"/>
      <c r="Z6" s="1"/>
    </row>
    <row r="7" spans="1:32" x14ac:dyDescent="0.3">
      <c r="A7" t="s">
        <v>327</v>
      </c>
      <c r="B7" t="s">
        <v>360</v>
      </c>
      <c r="C7" t="s">
        <v>372</v>
      </c>
      <c r="D7" t="s">
        <v>371</v>
      </c>
      <c r="E7" s="1" t="s">
        <v>251</v>
      </c>
      <c r="F7" s="1" t="s">
        <v>208</v>
      </c>
      <c r="G7" s="2186">
        <v>1</v>
      </c>
      <c r="H7" s="2186">
        <f>VLOOKUP(G7,Pesos!A:B,2,0)</f>
        <v>0.9</v>
      </c>
      <c r="I7" s="1" t="s">
        <v>305</v>
      </c>
      <c r="K7" s="1">
        <v>7</v>
      </c>
      <c r="L7" s="2" t="s">
        <v>203</v>
      </c>
      <c r="M7" s="1">
        <v>8</v>
      </c>
      <c r="N7" s="1" t="s">
        <v>24</v>
      </c>
      <c r="O7" s="1">
        <v>8</v>
      </c>
      <c r="S7" s="1">
        <v>1</v>
      </c>
      <c r="T7" s="5">
        <v>1400</v>
      </c>
      <c r="U7" s="30">
        <v>0.14000000000000001</v>
      </c>
      <c r="V7" s="25">
        <f t="shared" si="0"/>
        <v>1204</v>
      </c>
      <c r="W7" s="25">
        <f t="shared" si="1"/>
        <v>9632</v>
      </c>
      <c r="X7" s="6"/>
      <c r="Y7" s="22"/>
      <c r="Z7" s="1"/>
    </row>
    <row r="8" spans="1:32" x14ac:dyDescent="0.3">
      <c r="A8" t="s">
        <v>327</v>
      </c>
      <c r="B8" t="s">
        <v>360</v>
      </c>
      <c r="C8" t="s">
        <v>372</v>
      </c>
      <c r="D8" t="s">
        <v>371</v>
      </c>
      <c r="E8" s="1" t="s">
        <v>251</v>
      </c>
      <c r="F8" s="1" t="s">
        <v>29</v>
      </c>
      <c r="G8" s="2186">
        <v>3</v>
      </c>
      <c r="H8" s="2186">
        <f>VLOOKUP(G8,Pesos!A:B,2,0)</f>
        <v>0.7</v>
      </c>
      <c r="I8" s="1" t="s">
        <v>305</v>
      </c>
      <c r="K8" s="1">
        <v>1</v>
      </c>
      <c r="L8" s="2" t="s">
        <v>333</v>
      </c>
      <c r="M8" s="1">
        <v>2</v>
      </c>
      <c r="N8" s="1" t="s">
        <v>24</v>
      </c>
      <c r="O8" s="1">
        <v>2</v>
      </c>
      <c r="S8" s="1">
        <v>1</v>
      </c>
      <c r="T8" s="5">
        <v>18800</v>
      </c>
      <c r="U8" s="30">
        <v>0.17</v>
      </c>
      <c r="V8" s="25">
        <f t="shared" si="0"/>
        <v>15604</v>
      </c>
      <c r="W8" s="25">
        <f t="shared" si="1"/>
        <v>31208</v>
      </c>
      <c r="X8" s="6"/>
      <c r="Y8" s="22"/>
      <c r="Z8" s="1"/>
    </row>
    <row r="9" spans="1:32" x14ac:dyDescent="0.3">
      <c r="A9" t="s">
        <v>327</v>
      </c>
      <c r="B9" t="s">
        <v>360</v>
      </c>
      <c r="C9" t="s">
        <v>372</v>
      </c>
      <c r="D9" t="s">
        <v>371</v>
      </c>
      <c r="E9" s="1" t="s">
        <v>210</v>
      </c>
      <c r="F9" s="1" t="s">
        <v>211</v>
      </c>
      <c r="G9" s="2186">
        <v>4</v>
      </c>
      <c r="H9" s="2186">
        <f>VLOOKUP(G9,Pesos!A:B,2,0)</f>
        <v>0.6</v>
      </c>
      <c r="I9" s="1" t="s">
        <v>305</v>
      </c>
      <c r="K9" s="1">
        <v>7</v>
      </c>
      <c r="L9" s="2" t="s">
        <v>256</v>
      </c>
      <c r="M9" s="1">
        <v>6</v>
      </c>
      <c r="N9" s="1" t="s">
        <v>63</v>
      </c>
      <c r="O9" s="1">
        <v>6</v>
      </c>
      <c r="S9" s="1">
        <v>1</v>
      </c>
      <c r="T9" s="9">
        <v>2049</v>
      </c>
      <c r="U9" s="31">
        <v>0.6</v>
      </c>
      <c r="V9" s="26">
        <f>T9*(1-U9)</f>
        <v>819.6</v>
      </c>
      <c r="W9" s="25">
        <f t="shared" si="1"/>
        <v>4917.6000000000004</v>
      </c>
      <c r="X9" s="6"/>
      <c r="Y9" s="22"/>
      <c r="Z9" s="1"/>
    </row>
    <row r="10" spans="1:32" x14ac:dyDescent="0.3">
      <c r="A10" t="s">
        <v>327</v>
      </c>
      <c r="B10" t="s">
        <v>360</v>
      </c>
      <c r="C10" t="s">
        <v>372</v>
      </c>
      <c r="D10" t="s">
        <v>371</v>
      </c>
      <c r="E10" s="1" t="s">
        <v>210</v>
      </c>
      <c r="F10" s="1" t="s">
        <v>211</v>
      </c>
      <c r="G10" s="2186">
        <v>4</v>
      </c>
      <c r="H10" s="2186">
        <f>VLOOKUP(G10,Pesos!A:B,2,0)</f>
        <v>0.6</v>
      </c>
      <c r="I10" s="1" t="s">
        <v>305</v>
      </c>
      <c r="K10" s="1">
        <v>7</v>
      </c>
      <c r="L10" s="2" t="s">
        <v>256</v>
      </c>
      <c r="M10" s="1">
        <v>5</v>
      </c>
      <c r="N10" s="1" t="s">
        <v>63</v>
      </c>
      <c r="Q10" s="1">
        <v>5</v>
      </c>
      <c r="S10" s="1">
        <v>1</v>
      </c>
      <c r="T10" s="9">
        <v>5463</v>
      </c>
      <c r="U10" s="31">
        <v>0.6</v>
      </c>
      <c r="V10" s="25">
        <f t="shared" ref="V10" si="2">T10*(1-U10)</f>
        <v>2185.2000000000003</v>
      </c>
      <c r="W10" s="25">
        <f t="shared" ref="W10" si="3">V10*S10*M10</f>
        <v>10926.000000000002</v>
      </c>
      <c r="X10" s="6"/>
      <c r="Y10" s="22"/>
      <c r="Z10" s="1"/>
    </row>
    <row r="11" spans="1:32" x14ac:dyDescent="0.3">
      <c r="A11" t="s">
        <v>327</v>
      </c>
      <c r="B11" t="s">
        <v>360</v>
      </c>
      <c r="C11" t="s">
        <v>372</v>
      </c>
      <c r="D11" t="s">
        <v>371</v>
      </c>
      <c r="E11" s="1" t="s">
        <v>210</v>
      </c>
      <c r="F11" s="1" t="s">
        <v>29</v>
      </c>
      <c r="G11" s="2186">
        <v>3</v>
      </c>
      <c r="H11" s="2186">
        <f>VLOOKUP(G11,Pesos!A:B,2,0)</f>
        <v>0.7</v>
      </c>
      <c r="I11" s="1" t="s">
        <v>305</v>
      </c>
      <c r="K11" s="1">
        <v>1</v>
      </c>
      <c r="L11" s="2" t="s">
        <v>333</v>
      </c>
      <c r="M11" s="1">
        <v>1</v>
      </c>
      <c r="N11" s="1" t="s">
        <v>24</v>
      </c>
      <c r="O11" s="1">
        <v>1</v>
      </c>
      <c r="S11" s="1">
        <v>1</v>
      </c>
      <c r="T11" s="9">
        <v>54625</v>
      </c>
      <c r="U11" s="31">
        <v>0.6</v>
      </c>
      <c r="V11" s="26">
        <f t="shared" ref="V11:V15" si="4">T11*(1-U11)</f>
        <v>21850</v>
      </c>
      <c r="W11" s="25">
        <f t="shared" si="1"/>
        <v>21850</v>
      </c>
      <c r="X11" s="6"/>
      <c r="Y11" s="22"/>
      <c r="Z11" s="1"/>
    </row>
    <row r="12" spans="1:32" x14ac:dyDescent="0.3">
      <c r="A12" t="s">
        <v>327</v>
      </c>
      <c r="B12" t="s">
        <v>360</v>
      </c>
      <c r="C12" t="s">
        <v>372</v>
      </c>
      <c r="D12" t="s">
        <v>371</v>
      </c>
      <c r="E12" s="1" t="s">
        <v>108</v>
      </c>
      <c r="F12" s="1" t="s">
        <v>253</v>
      </c>
      <c r="G12" s="2186">
        <v>5</v>
      </c>
      <c r="H12" s="2186">
        <f>VLOOKUP(G12,Pesos!A:B,2,0)</f>
        <v>0.5</v>
      </c>
      <c r="I12" s="1" t="s">
        <v>305</v>
      </c>
      <c r="K12" s="1">
        <v>1</v>
      </c>
      <c r="L12" s="2" t="s">
        <v>333</v>
      </c>
      <c r="M12" s="1">
        <v>1</v>
      </c>
      <c r="N12" s="1" t="s">
        <v>24</v>
      </c>
      <c r="O12" s="1">
        <v>1</v>
      </c>
      <c r="S12" s="1">
        <v>1</v>
      </c>
      <c r="T12" s="9">
        <v>45000</v>
      </c>
      <c r="U12" s="31">
        <v>0.2</v>
      </c>
      <c r="V12" s="26">
        <f t="shared" si="4"/>
        <v>36000</v>
      </c>
      <c r="W12" s="25">
        <f t="shared" si="1"/>
        <v>36000</v>
      </c>
      <c r="X12" s="6"/>
      <c r="Y12" s="22"/>
      <c r="Z12" s="1"/>
    </row>
    <row r="13" spans="1:32" x14ac:dyDescent="0.3">
      <c r="G13" s="2186"/>
      <c r="H13" s="2186"/>
      <c r="L13" s="2"/>
      <c r="M13" s="2"/>
      <c r="T13" s="5"/>
      <c r="U13" s="30"/>
      <c r="V13" s="26"/>
      <c r="X13" s="6"/>
      <c r="Y13" s="22"/>
      <c r="Z13" s="1"/>
    </row>
    <row r="14" spans="1:32" x14ac:dyDescent="0.3">
      <c r="A14" t="s">
        <v>340</v>
      </c>
      <c r="B14" t="s">
        <v>360</v>
      </c>
      <c r="C14" t="s">
        <v>372</v>
      </c>
      <c r="D14" t="s">
        <v>371</v>
      </c>
      <c r="E14" s="1" t="s">
        <v>250</v>
      </c>
      <c r="F14" s="1" t="s">
        <v>208</v>
      </c>
      <c r="G14" s="2186">
        <v>2</v>
      </c>
      <c r="H14" s="2186">
        <f>VLOOKUP(G14,Pesos!A:B,2,0)</f>
        <v>0.8</v>
      </c>
      <c r="I14" s="1" t="s">
        <v>305</v>
      </c>
      <c r="K14" s="1">
        <v>7</v>
      </c>
      <c r="L14" s="2" t="s">
        <v>203</v>
      </c>
      <c r="M14" s="2" t="s">
        <v>346</v>
      </c>
      <c r="N14" s="1" t="s">
        <v>63</v>
      </c>
      <c r="Q14" s="1">
        <v>4</v>
      </c>
      <c r="S14" s="1">
        <v>1</v>
      </c>
      <c r="T14" s="5">
        <v>4685.12</v>
      </c>
      <c r="U14" s="30">
        <v>0.33300000000000002</v>
      </c>
      <c r="V14" s="26">
        <f t="shared" si="4"/>
        <v>3124.9750400000003</v>
      </c>
      <c r="W14" s="25">
        <f t="shared" si="1"/>
        <v>12499.900160000001</v>
      </c>
      <c r="X14" s="6"/>
      <c r="Y14" s="22"/>
      <c r="Z14" s="1"/>
    </row>
    <row r="15" spans="1:32" x14ac:dyDescent="0.3">
      <c r="A15" t="s">
        <v>340</v>
      </c>
      <c r="B15" t="s">
        <v>360</v>
      </c>
      <c r="C15" t="s">
        <v>372</v>
      </c>
      <c r="D15" t="s">
        <v>371</v>
      </c>
      <c r="E15" s="1" t="s">
        <v>227</v>
      </c>
      <c r="F15" s="1" t="s">
        <v>102</v>
      </c>
      <c r="G15" s="2186">
        <v>1</v>
      </c>
      <c r="H15" s="2186">
        <f>VLOOKUP(G15,Pesos!A:B,2,0)</f>
        <v>0.9</v>
      </c>
      <c r="J15" s="1" t="s">
        <v>305</v>
      </c>
      <c r="K15" s="1">
        <v>4</v>
      </c>
      <c r="L15" s="2" t="s">
        <v>330</v>
      </c>
      <c r="M15" s="2" t="s">
        <v>332</v>
      </c>
      <c r="N15" s="1" t="s">
        <v>24</v>
      </c>
      <c r="O15" s="1">
        <v>2</v>
      </c>
      <c r="S15" s="1">
        <v>1</v>
      </c>
      <c r="T15" s="5">
        <v>8132.89</v>
      </c>
      <c r="U15" s="30">
        <v>0.72</v>
      </c>
      <c r="V15" s="26">
        <f t="shared" si="4"/>
        <v>2277.2092000000002</v>
      </c>
      <c r="W15" s="25">
        <f t="shared" si="1"/>
        <v>4554.4184000000005</v>
      </c>
      <c r="X15" s="6"/>
    </row>
    <row r="16" spans="1:32" x14ac:dyDescent="0.3">
      <c r="A16" t="s">
        <v>340</v>
      </c>
      <c r="B16" t="s">
        <v>360</v>
      </c>
      <c r="C16" t="s">
        <v>372</v>
      </c>
      <c r="D16" t="s">
        <v>371</v>
      </c>
      <c r="E16" s="1" t="s">
        <v>250</v>
      </c>
      <c r="F16" s="1" t="s">
        <v>26</v>
      </c>
      <c r="G16" s="2186">
        <v>6</v>
      </c>
      <c r="H16" s="2186">
        <f>VLOOKUP(G16,Pesos!A:B,2,0)</f>
        <v>0.4</v>
      </c>
      <c r="I16" s="1" t="s">
        <v>305</v>
      </c>
      <c r="K16" s="1">
        <v>3</v>
      </c>
      <c r="L16" s="2" t="s">
        <v>354</v>
      </c>
      <c r="M16" s="2" t="s">
        <v>333</v>
      </c>
      <c r="N16" s="1" t="s">
        <v>24</v>
      </c>
      <c r="O16" s="1">
        <v>3</v>
      </c>
      <c r="S16" s="1">
        <v>1</v>
      </c>
      <c r="T16" s="5">
        <v>11343.75</v>
      </c>
      <c r="U16" s="30">
        <v>0.21740000000000001</v>
      </c>
      <c r="V16" s="26">
        <f>T16*(1-U16)</f>
        <v>8877.6187499999996</v>
      </c>
      <c r="W16" s="25">
        <f t="shared" si="1"/>
        <v>26632.856249999997</v>
      </c>
      <c r="X16" s="6"/>
    </row>
    <row r="17" spans="1:24" x14ac:dyDescent="0.3">
      <c r="A17" t="s">
        <v>340</v>
      </c>
      <c r="B17" t="s">
        <v>360</v>
      </c>
      <c r="C17" t="s">
        <v>372</v>
      </c>
      <c r="D17" t="s">
        <v>371</v>
      </c>
      <c r="E17" s="1" t="s">
        <v>251</v>
      </c>
      <c r="F17" s="1" t="s">
        <v>102</v>
      </c>
      <c r="G17" s="2186">
        <v>1</v>
      </c>
      <c r="H17" s="2186">
        <f>VLOOKUP(G17,Pesos!A:B,2,0)</f>
        <v>0.9</v>
      </c>
      <c r="J17" s="1" t="s">
        <v>305</v>
      </c>
      <c r="K17" s="1">
        <v>4</v>
      </c>
      <c r="L17" s="1">
        <v>8</v>
      </c>
      <c r="M17" s="2" t="s">
        <v>332</v>
      </c>
      <c r="N17" s="1" t="s">
        <v>24</v>
      </c>
      <c r="O17" s="1">
        <v>2</v>
      </c>
      <c r="S17" s="1">
        <v>1</v>
      </c>
      <c r="T17" s="5">
        <v>3600</v>
      </c>
      <c r="U17" s="30">
        <v>0.17</v>
      </c>
      <c r="V17" s="26">
        <f t="shared" ref="V17:V18" si="5">T17*(1-U17)</f>
        <v>2988</v>
      </c>
      <c r="W17" s="25">
        <f t="shared" si="1"/>
        <v>5976</v>
      </c>
      <c r="X17" s="6"/>
    </row>
    <row r="18" spans="1:24" x14ac:dyDescent="0.3">
      <c r="A18" t="s">
        <v>340</v>
      </c>
      <c r="B18" t="s">
        <v>360</v>
      </c>
      <c r="C18" t="s">
        <v>372</v>
      </c>
      <c r="D18" t="s">
        <v>371</v>
      </c>
      <c r="E18" s="1" t="s">
        <v>251</v>
      </c>
      <c r="F18" s="1" t="s">
        <v>252</v>
      </c>
      <c r="G18" s="2186">
        <v>7</v>
      </c>
      <c r="H18" s="2186">
        <f>VLOOKUP(G18,Pesos!A:B,2,0)</f>
        <v>0.3</v>
      </c>
      <c r="I18" s="1" t="s">
        <v>305</v>
      </c>
      <c r="K18" s="1">
        <v>1</v>
      </c>
      <c r="L18" s="1">
        <v>3</v>
      </c>
      <c r="M18" s="2" t="s">
        <v>38</v>
      </c>
      <c r="N18" s="1" t="s">
        <v>24</v>
      </c>
      <c r="O18" s="1">
        <v>1</v>
      </c>
      <c r="S18" s="1">
        <v>1</v>
      </c>
      <c r="T18" s="5">
        <v>3600</v>
      </c>
      <c r="U18" s="30">
        <v>0.17</v>
      </c>
      <c r="V18" s="26">
        <f t="shared" si="5"/>
        <v>2988</v>
      </c>
      <c r="W18" s="25">
        <f>V18*S18*M18</f>
        <v>2988</v>
      </c>
      <c r="X18" s="6"/>
    </row>
    <row r="19" spans="1:24" x14ac:dyDescent="0.3">
      <c r="A19" t="s">
        <v>340</v>
      </c>
      <c r="B19" t="s">
        <v>360</v>
      </c>
      <c r="C19" t="s">
        <v>372</v>
      </c>
      <c r="D19" t="s">
        <v>371</v>
      </c>
      <c r="E19" s="1" t="s">
        <v>251</v>
      </c>
      <c r="F19" s="1" t="s">
        <v>208</v>
      </c>
      <c r="G19" s="2186">
        <v>2</v>
      </c>
      <c r="H19" s="2186">
        <f>VLOOKUP(G19,Pesos!A:B,2,0)</f>
        <v>0.8</v>
      </c>
      <c r="I19" s="1" t="s">
        <v>305</v>
      </c>
      <c r="K19" s="1">
        <v>7</v>
      </c>
      <c r="L19" s="1">
        <v>10</v>
      </c>
      <c r="M19" s="2" t="s">
        <v>330</v>
      </c>
      <c r="N19" s="1" t="s">
        <v>24</v>
      </c>
      <c r="O19" s="1">
        <v>8</v>
      </c>
      <c r="R19" s="18"/>
      <c r="S19" s="1">
        <v>1</v>
      </c>
      <c r="T19" s="5">
        <v>1400</v>
      </c>
      <c r="U19" s="30">
        <v>0.14000000000000001</v>
      </c>
      <c r="V19" s="26">
        <f t="shared" ref="V19" si="6">T19*(1-U19)</f>
        <v>1204</v>
      </c>
      <c r="W19" s="25">
        <f>V19*S19*M19</f>
        <v>9632</v>
      </c>
      <c r="X19" s="6"/>
    </row>
    <row r="20" spans="1:24" x14ac:dyDescent="0.3">
      <c r="A20" t="s">
        <v>340</v>
      </c>
      <c r="B20" t="s">
        <v>360</v>
      </c>
      <c r="C20" t="s">
        <v>372</v>
      </c>
      <c r="D20" t="s">
        <v>371</v>
      </c>
      <c r="E20" s="1" t="s">
        <v>210</v>
      </c>
      <c r="F20" s="1" t="s">
        <v>211</v>
      </c>
      <c r="G20" s="2186">
        <v>4</v>
      </c>
      <c r="H20" s="2186">
        <f>VLOOKUP(G20,Pesos!A:B,2,0)</f>
        <v>0.6</v>
      </c>
      <c r="I20" s="1" t="s">
        <v>305</v>
      </c>
      <c r="K20" s="1">
        <v>7</v>
      </c>
      <c r="L20" s="1">
        <v>15</v>
      </c>
      <c r="M20" s="2" t="s">
        <v>354</v>
      </c>
      <c r="N20" s="1" t="s">
        <v>63</v>
      </c>
      <c r="O20" s="1">
        <v>6</v>
      </c>
      <c r="R20" s="6"/>
      <c r="S20" s="1">
        <v>1</v>
      </c>
      <c r="T20" s="9">
        <v>2049</v>
      </c>
      <c r="U20" s="31">
        <v>0.6</v>
      </c>
      <c r="V20" s="26">
        <f t="shared" ref="V20:V35" si="7">T20*(1-U20)</f>
        <v>819.6</v>
      </c>
      <c r="W20" s="26">
        <f t="shared" ref="W20:W35" si="8">V20*S20*M20</f>
        <v>4917.6000000000004</v>
      </c>
      <c r="X20" s="6"/>
    </row>
    <row r="21" spans="1:24" x14ac:dyDescent="0.3">
      <c r="A21" t="s">
        <v>340</v>
      </c>
      <c r="B21" t="s">
        <v>360</v>
      </c>
      <c r="C21" t="s">
        <v>372</v>
      </c>
      <c r="D21" t="s">
        <v>371</v>
      </c>
      <c r="E21" s="1" t="s">
        <v>210</v>
      </c>
      <c r="F21" s="1" t="s">
        <v>211</v>
      </c>
      <c r="G21" s="2186">
        <v>4</v>
      </c>
      <c r="H21" s="2186">
        <f>VLOOKUP(G21,Pesos!A:B,2,0)</f>
        <v>0.6</v>
      </c>
      <c r="I21" s="1" t="s">
        <v>305</v>
      </c>
      <c r="K21" s="1">
        <v>7</v>
      </c>
      <c r="L21" s="1">
        <v>15</v>
      </c>
      <c r="M21" s="2" t="s">
        <v>229</v>
      </c>
      <c r="N21" s="1" t="s">
        <v>63</v>
      </c>
      <c r="Q21" s="1">
        <v>5</v>
      </c>
      <c r="R21" s="6"/>
      <c r="S21" s="1">
        <v>1</v>
      </c>
      <c r="T21" s="9">
        <v>5463</v>
      </c>
      <c r="U21" s="31">
        <v>0.6</v>
      </c>
      <c r="V21" s="26">
        <f t="shared" si="7"/>
        <v>2185.2000000000003</v>
      </c>
      <c r="W21" s="26">
        <f t="shared" si="8"/>
        <v>10926.000000000002</v>
      </c>
      <c r="X21" s="6"/>
    </row>
    <row r="22" spans="1:24" x14ac:dyDescent="0.3">
      <c r="A22" t="s">
        <v>340</v>
      </c>
      <c r="B22" t="s">
        <v>360</v>
      </c>
      <c r="C22" t="s">
        <v>372</v>
      </c>
      <c r="D22" t="s">
        <v>371</v>
      </c>
      <c r="E22" s="1" t="s">
        <v>179</v>
      </c>
      <c r="F22" s="1" t="s">
        <v>180</v>
      </c>
      <c r="G22" s="2186">
        <v>3</v>
      </c>
      <c r="H22" s="2186">
        <f>VLOOKUP(G22,Pesos!A:B,2,0)</f>
        <v>0.7</v>
      </c>
      <c r="I22" s="1" t="s">
        <v>305</v>
      </c>
      <c r="K22" s="1">
        <v>5</v>
      </c>
      <c r="L22" s="1">
        <v>20</v>
      </c>
      <c r="M22" s="2" t="s">
        <v>330</v>
      </c>
      <c r="N22" s="1" t="s">
        <v>24</v>
      </c>
      <c r="O22" s="1">
        <v>8</v>
      </c>
      <c r="R22" s="18"/>
      <c r="S22" s="1">
        <v>1</v>
      </c>
      <c r="T22" s="9">
        <v>11069</v>
      </c>
      <c r="U22" s="31">
        <v>0.4</v>
      </c>
      <c r="V22" s="26">
        <f t="shared" si="7"/>
        <v>6641.4</v>
      </c>
      <c r="W22" s="26">
        <f t="shared" si="8"/>
        <v>53131.199999999997</v>
      </c>
      <c r="X22" s="6"/>
    </row>
    <row r="23" spans="1:24" x14ac:dyDescent="0.3">
      <c r="A23" t="s">
        <v>340</v>
      </c>
      <c r="B23" t="s">
        <v>360</v>
      </c>
      <c r="C23" t="s">
        <v>372</v>
      </c>
      <c r="D23" t="s">
        <v>371</v>
      </c>
      <c r="E23" s="1" t="s">
        <v>108</v>
      </c>
      <c r="F23" s="1" t="s">
        <v>255</v>
      </c>
      <c r="G23" s="2186">
        <v>5</v>
      </c>
      <c r="H23" s="2186">
        <f>VLOOKUP(G23,Pesos!A:B,2,0)</f>
        <v>0.5</v>
      </c>
      <c r="J23" s="1" t="s">
        <v>305</v>
      </c>
      <c r="K23" s="1">
        <v>5</v>
      </c>
      <c r="L23" s="1">
        <v>20</v>
      </c>
      <c r="M23" s="2" t="s">
        <v>333</v>
      </c>
      <c r="N23" s="1" t="s">
        <v>22</v>
      </c>
      <c r="O23" s="1">
        <v>3</v>
      </c>
      <c r="Q23" s="1">
        <v>3</v>
      </c>
      <c r="R23" s="18"/>
      <c r="S23" s="1">
        <v>2</v>
      </c>
      <c r="T23" s="9">
        <v>8000</v>
      </c>
      <c r="U23" s="31">
        <v>0.2</v>
      </c>
      <c r="V23" s="26">
        <f t="shared" si="7"/>
        <v>6400</v>
      </c>
      <c r="W23" s="26">
        <f t="shared" si="8"/>
        <v>38400</v>
      </c>
      <c r="X23" s="6"/>
    </row>
    <row r="24" spans="1:24" x14ac:dyDescent="0.3">
      <c r="G24" s="2186"/>
      <c r="H24" s="2186"/>
      <c r="K24" s="2"/>
      <c r="M24" s="1"/>
      <c r="T24" s="5"/>
      <c r="U24" s="24"/>
      <c r="V24" s="26"/>
      <c r="W24" s="26"/>
    </row>
    <row r="25" spans="1:24" x14ac:dyDescent="0.3">
      <c r="A25" t="s">
        <v>342</v>
      </c>
      <c r="B25" t="s">
        <v>360</v>
      </c>
      <c r="C25" t="s">
        <v>372</v>
      </c>
      <c r="D25" t="s">
        <v>371</v>
      </c>
      <c r="E25" s="1" t="s">
        <v>227</v>
      </c>
      <c r="F25" s="1" t="s">
        <v>102</v>
      </c>
      <c r="G25" s="2186">
        <v>3</v>
      </c>
      <c r="H25" s="2186">
        <f>VLOOKUP(G25,Pesos!A:B,2,0)</f>
        <v>0.7</v>
      </c>
      <c r="J25" s="1" t="s">
        <v>305</v>
      </c>
      <c r="K25" s="2" t="s">
        <v>333</v>
      </c>
      <c r="L25" s="1">
        <v>8</v>
      </c>
      <c r="M25" s="2" t="s">
        <v>332</v>
      </c>
      <c r="N25" s="1" t="s">
        <v>24</v>
      </c>
      <c r="O25" s="1">
        <v>2</v>
      </c>
      <c r="S25" s="1">
        <v>1</v>
      </c>
      <c r="T25" s="5">
        <v>8132.89</v>
      </c>
      <c r="U25" s="24">
        <v>0.72</v>
      </c>
      <c r="V25" s="26">
        <f t="shared" si="7"/>
        <v>2277.2092000000002</v>
      </c>
      <c r="W25" s="26">
        <f t="shared" si="8"/>
        <v>4554.4184000000005</v>
      </c>
    </row>
    <row r="26" spans="1:24" x14ac:dyDescent="0.3">
      <c r="A26" t="s">
        <v>342</v>
      </c>
      <c r="B26" t="s">
        <v>360</v>
      </c>
      <c r="C26" t="s">
        <v>372</v>
      </c>
      <c r="D26" t="s">
        <v>371</v>
      </c>
      <c r="E26" s="1" t="s">
        <v>250</v>
      </c>
      <c r="F26" s="1" t="s">
        <v>26</v>
      </c>
      <c r="G26" s="2186">
        <v>6</v>
      </c>
      <c r="H26" s="2186">
        <f>VLOOKUP(G26,Pesos!A:B,2,0)</f>
        <v>0.4</v>
      </c>
      <c r="I26" s="1" t="s">
        <v>305</v>
      </c>
      <c r="K26" s="2" t="s">
        <v>332</v>
      </c>
      <c r="L26" s="1">
        <v>6</v>
      </c>
      <c r="M26" s="2" t="s">
        <v>332</v>
      </c>
      <c r="N26" s="1" t="s">
        <v>24</v>
      </c>
      <c r="O26" s="1">
        <v>2</v>
      </c>
      <c r="S26" s="1">
        <v>1</v>
      </c>
      <c r="T26" s="5">
        <v>11343.75</v>
      </c>
      <c r="U26" s="30">
        <v>0.21740000000000001</v>
      </c>
      <c r="V26" s="26">
        <f t="shared" si="7"/>
        <v>8877.6187499999996</v>
      </c>
      <c r="W26" s="26">
        <f t="shared" si="8"/>
        <v>17755.237499999999</v>
      </c>
    </row>
    <row r="27" spans="1:24" x14ac:dyDescent="0.3">
      <c r="A27" t="s">
        <v>342</v>
      </c>
      <c r="B27" t="s">
        <v>360</v>
      </c>
      <c r="C27" t="s">
        <v>372</v>
      </c>
      <c r="D27" t="s">
        <v>371</v>
      </c>
      <c r="E27" s="1" t="s">
        <v>251</v>
      </c>
      <c r="F27" s="1" t="s">
        <v>102</v>
      </c>
      <c r="G27" s="2186">
        <v>3</v>
      </c>
      <c r="H27" s="2186">
        <f>VLOOKUP(G27,Pesos!A:B,2,0)</f>
        <v>0.7</v>
      </c>
      <c r="J27" s="1" t="s">
        <v>305</v>
      </c>
      <c r="K27" s="2" t="s">
        <v>333</v>
      </c>
      <c r="L27" s="1">
        <v>8</v>
      </c>
      <c r="M27" s="2" t="s">
        <v>38</v>
      </c>
      <c r="N27" s="1" t="s">
        <v>24</v>
      </c>
      <c r="O27" s="1">
        <v>1</v>
      </c>
      <c r="S27" s="1">
        <v>1</v>
      </c>
      <c r="T27" s="5">
        <v>3600</v>
      </c>
      <c r="U27" s="24">
        <v>0.17</v>
      </c>
      <c r="V27" s="26">
        <f t="shared" si="7"/>
        <v>2988</v>
      </c>
      <c r="W27" s="26">
        <f t="shared" si="8"/>
        <v>2988</v>
      </c>
    </row>
    <row r="28" spans="1:24" x14ac:dyDescent="0.3">
      <c r="A28" t="s">
        <v>342</v>
      </c>
      <c r="B28" t="s">
        <v>360</v>
      </c>
      <c r="C28" t="s">
        <v>372</v>
      </c>
      <c r="D28" t="s">
        <v>371</v>
      </c>
      <c r="E28" s="1" t="s">
        <v>251</v>
      </c>
      <c r="F28" s="1" t="s">
        <v>252</v>
      </c>
      <c r="G28" s="2186">
        <v>7</v>
      </c>
      <c r="H28" s="2186">
        <f>VLOOKUP(G28,Pesos!A:B,2,0)</f>
        <v>0.3</v>
      </c>
      <c r="I28" s="1" t="s">
        <v>305</v>
      </c>
      <c r="K28" s="1">
        <v>1</v>
      </c>
      <c r="L28" s="1">
        <v>2</v>
      </c>
      <c r="M28" s="2" t="s">
        <v>38</v>
      </c>
      <c r="N28" s="1" t="s">
        <v>24</v>
      </c>
      <c r="O28" s="1">
        <v>1</v>
      </c>
      <c r="S28" s="1">
        <v>1</v>
      </c>
      <c r="T28" s="5">
        <v>3600</v>
      </c>
      <c r="U28" s="24">
        <v>0.17</v>
      </c>
      <c r="V28" s="26">
        <f t="shared" ref="V28" si="9">T28*(1-U28)</f>
        <v>2988</v>
      </c>
      <c r="W28" s="26">
        <f t="shared" ref="W28" si="10">V28*S28*M28</f>
        <v>2988</v>
      </c>
    </row>
    <row r="29" spans="1:24" x14ac:dyDescent="0.3">
      <c r="A29" t="s">
        <v>342</v>
      </c>
      <c r="B29" t="s">
        <v>360</v>
      </c>
      <c r="C29" t="s">
        <v>372</v>
      </c>
      <c r="D29" t="s">
        <v>371</v>
      </c>
      <c r="E29" s="1" t="s">
        <v>251</v>
      </c>
      <c r="F29" s="1" t="s">
        <v>208</v>
      </c>
      <c r="G29" s="2186">
        <v>1</v>
      </c>
      <c r="H29" s="2186">
        <f>VLOOKUP(G29,Pesos!A:B,2,0)</f>
        <v>0.9</v>
      </c>
      <c r="I29" s="1" t="s">
        <v>305</v>
      </c>
      <c r="K29" s="1">
        <v>3</v>
      </c>
      <c r="L29" s="1">
        <v>8</v>
      </c>
      <c r="M29" s="2" t="s">
        <v>346</v>
      </c>
      <c r="N29" s="1" t="s">
        <v>24</v>
      </c>
      <c r="O29" s="1">
        <v>4</v>
      </c>
      <c r="S29" s="1">
        <v>1</v>
      </c>
      <c r="T29" s="5">
        <v>1400</v>
      </c>
      <c r="U29" s="24">
        <v>0.14000000000000001</v>
      </c>
      <c r="V29" s="26">
        <f t="shared" si="7"/>
        <v>1204</v>
      </c>
      <c r="W29" s="26">
        <f t="shared" si="8"/>
        <v>4816</v>
      </c>
    </row>
    <row r="30" spans="1:24" x14ac:dyDescent="0.3">
      <c r="A30" t="s">
        <v>342</v>
      </c>
      <c r="B30" t="s">
        <v>360</v>
      </c>
      <c r="C30" t="s">
        <v>372</v>
      </c>
      <c r="D30" t="s">
        <v>371</v>
      </c>
      <c r="E30" s="1" t="s">
        <v>251</v>
      </c>
      <c r="F30" s="1" t="s">
        <v>29</v>
      </c>
      <c r="G30" s="2186">
        <v>2</v>
      </c>
      <c r="H30" s="2186">
        <f>VLOOKUP(G30,Pesos!A:B,2,0)</f>
        <v>0.8</v>
      </c>
      <c r="I30" s="1" t="s">
        <v>305</v>
      </c>
      <c r="K30" s="1">
        <v>1</v>
      </c>
      <c r="L30" s="1">
        <v>2</v>
      </c>
      <c r="M30" s="2" t="s">
        <v>38</v>
      </c>
      <c r="N30" s="1" t="s">
        <v>24</v>
      </c>
      <c r="O30" s="1">
        <v>1</v>
      </c>
      <c r="S30" s="1">
        <v>1</v>
      </c>
      <c r="T30" s="5">
        <v>18800</v>
      </c>
      <c r="U30" s="24">
        <v>0.17</v>
      </c>
      <c r="V30" s="26">
        <f t="shared" si="7"/>
        <v>15604</v>
      </c>
      <c r="W30" s="26">
        <f t="shared" si="8"/>
        <v>15604</v>
      </c>
    </row>
    <row r="31" spans="1:24" x14ac:dyDescent="0.3">
      <c r="A31" t="s">
        <v>342</v>
      </c>
      <c r="B31" t="s">
        <v>360</v>
      </c>
      <c r="C31" t="s">
        <v>372</v>
      </c>
      <c r="D31" t="s">
        <v>371</v>
      </c>
      <c r="E31" s="1" t="s">
        <v>210</v>
      </c>
      <c r="F31" s="1" t="s">
        <v>211</v>
      </c>
      <c r="G31" s="2186">
        <v>4</v>
      </c>
      <c r="H31" s="2186">
        <f>VLOOKUP(G31,Pesos!A:B,2,0)</f>
        <v>0.6</v>
      </c>
      <c r="I31" s="1" t="s">
        <v>305</v>
      </c>
      <c r="K31" s="1">
        <v>4</v>
      </c>
      <c r="L31" s="1">
        <v>7</v>
      </c>
      <c r="M31" s="2" t="s">
        <v>330</v>
      </c>
      <c r="N31" s="1" t="s">
        <v>63</v>
      </c>
      <c r="O31" s="1">
        <v>8</v>
      </c>
      <c r="S31" s="1">
        <v>1</v>
      </c>
      <c r="T31" s="9">
        <v>2049</v>
      </c>
      <c r="U31" s="29">
        <v>0.6</v>
      </c>
      <c r="V31" s="26">
        <f t="shared" si="7"/>
        <v>819.6</v>
      </c>
      <c r="W31" s="26">
        <f t="shared" si="8"/>
        <v>6556.8</v>
      </c>
    </row>
    <row r="32" spans="1:24" x14ac:dyDescent="0.3">
      <c r="A32" t="s">
        <v>342</v>
      </c>
      <c r="B32" t="s">
        <v>360</v>
      </c>
      <c r="C32" t="s">
        <v>372</v>
      </c>
      <c r="D32" t="s">
        <v>371</v>
      </c>
      <c r="E32" s="1" t="s">
        <v>210</v>
      </c>
      <c r="F32" s="1" t="s">
        <v>211</v>
      </c>
      <c r="G32" s="2186">
        <v>4</v>
      </c>
      <c r="H32" s="2186">
        <f>VLOOKUP(G32,Pesos!A:B,2,0)</f>
        <v>0.6</v>
      </c>
      <c r="I32" s="1" t="s">
        <v>305</v>
      </c>
      <c r="K32" s="1">
        <v>4</v>
      </c>
      <c r="L32" s="1">
        <v>7</v>
      </c>
      <c r="M32" s="2" t="s">
        <v>333</v>
      </c>
      <c r="N32" s="1" t="s">
        <v>63</v>
      </c>
      <c r="Q32" s="1">
        <v>3</v>
      </c>
      <c r="S32" s="1">
        <v>1</v>
      </c>
      <c r="T32" s="9">
        <v>5463</v>
      </c>
      <c r="U32" s="29">
        <v>0.6</v>
      </c>
      <c r="V32" s="26">
        <f t="shared" si="7"/>
        <v>2185.2000000000003</v>
      </c>
      <c r="W32" s="26">
        <f t="shared" si="8"/>
        <v>6555.6</v>
      </c>
    </row>
    <row r="33" spans="1:23" x14ac:dyDescent="0.3">
      <c r="A33" t="s">
        <v>342</v>
      </c>
      <c r="B33" t="s">
        <v>360</v>
      </c>
      <c r="C33" t="s">
        <v>372</v>
      </c>
      <c r="D33" t="s">
        <v>371</v>
      </c>
      <c r="E33" s="1" t="s">
        <v>108</v>
      </c>
      <c r="F33" s="1" t="s">
        <v>253</v>
      </c>
      <c r="G33" s="2186">
        <v>5</v>
      </c>
      <c r="H33" s="2186">
        <f>VLOOKUP(G33,Pesos!A:B,2,0)</f>
        <v>0.5</v>
      </c>
      <c r="I33" s="1" t="s">
        <v>305</v>
      </c>
      <c r="K33" s="1">
        <v>1</v>
      </c>
      <c r="L33" s="1">
        <v>2</v>
      </c>
      <c r="M33" s="2" t="s">
        <v>38</v>
      </c>
      <c r="N33" s="1" t="s">
        <v>24</v>
      </c>
      <c r="O33" s="1">
        <v>1</v>
      </c>
      <c r="S33" s="1">
        <v>1</v>
      </c>
      <c r="T33" s="9">
        <v>45000</v>
      </c>
      <c r="U33" s="29">
        <v>0.2</v>
      </c>
      <c r="V33" s="26">
        <f t="shared" si="7"/>
        <v>36000</v>
      </c>
      <c r="W33" s="26">
        <f t="shared" si="8"/>
        <v>36000</v>
      </c>
    </row>
    <row r="34" spans="1:23" x14ac:dyDescent="0.3">
      <c r="G34" s="2186"/>
      <c r="H34" s="2186"/>
      <c r="M34" s="1"/>
      <c r="T34" s="5"/>
      <c r="U34" s="24"/>
      <c r="V34" s="26"/>
      <c r="W34" s="26"/>
    </row>
    <row r="35" spans="1:23" x14ac:dyDescent="0.3">
      <c r="A35" t="s">
        <v>343</v>
      </c>
      <c r="B35" t="s">
        <v>360</v>
      </c>
      <c r="C35" t="s">
        <v>372</v>
      </c>
      <c r="D35" t="s">
        <v>371</v>
      </c>
      <c r="E35" s="1" t="s">
        <v>250</v>
      </c>
      <c r="F35" s="1" t="s">
        <v>208</v>
      </c>
      <c r="G35" s="2186">
        <v>2</v>
      </c>
      <c r="H35" s="2186">
        <f>VLOOKUP(G35,Pesos!A:B,2,0)</f>
        <v>0.8</v>
      </c>
      <c r="I35" s="1" t="s">
        <v>305</v>
      </c>
      <c r="K35" s="1">
        <v>3</v>
      </c>
      <c r="L35" s="1">
        <v>8</v>
      </c>
      <c r="M35" s="2" t="s">
        <v>333</v>
      </c>
      <c r="N35" s="1" t="s">
        <v>63</v>
      </c>
      <c r="Q35" s="1">
        <v>3</v>
      </c>
      <c r="S35" s="1">
        <v>1</v>
      </c>
      <c r="T35" s="5">
        <v>4685.12</v>
      </c>
      <c r="U35" s="30">
        <v>0.33300000000000002</v>
      </c>
      <c r="V35" s="26">
        <f t="shared" si="7"/>
        <v>3124.9750400000003</v>
      </c>
      <c r="W35" s="26">
        <f t="shared" si="8"/>
        <v>9374.9251199999999</v>
      </c>
    </row>
    <row r="36" spans="1:23" x14ac:dyDescent="0.3">
      <c r="A36" t="s">
        <v>343</v>
      </c>
      <c r="B36" t="s">
        <v>360</v>
      </c>
      <c r="C36" t="s">
        <v>372</v>
      </c>
      <c r="D36" t="s">
        <v>371</v>
      </c>
      <c r="E36" s="1" t="s">
        <v>227</v>
      </c>
      <c r="F36" s="1" t="s">
        <v>102</v>
      </c>
      <c r="G36" s="2186">
        <v>1</v>
      </c>
      <c r="H36" s="2186">
        <f>VLOOKUP(G36,Pesos!A:B,2,0)</f>
        <v>0.9</v>
      </c>
      <c r="J36" s="1" t="s">
        <v>305</v>
      </c>
      <c r="K36" s="1">
        <v>3</v>
      </c>
      <c r="L36" s="1">
        <v>8</v>
      </c>
      <c r="M36" s="2" t="s">
        <v>38</v>
      </c>
      <c r="N36" s="1" t="s">
        <v>24</v>
      </c>
      <c r="O36" s="1">
        <v>1</v>
      </c>
      <c r="S36" s="1">
        <v>1</v>
      </c>
      <c r="T36" s="5">
        <v>8132.89</v>
      </c>
      <c r="U36" s="30">
        <v>0.72</v>
      </c>
      <c r="V36" s="26">
        <f t="shared" ref="V36:V43" si="11">T36*(1-U36)</f>
        <v>2277.2092000000002</v>
      </c>
      <c r="W36" s="26">
        <f t="shared" ref="W36:W43" si="12">V36*S36*M36</f>
        <v>2277.2092000000002</v>
      </c>
    </row>
    <row r="37" spans="1:23" x14ac:dyDescent="0.3">
      <c r="A37" t="s">
        <v>343</v>
      </c>
      <c r="B37" t="s">
        <v>360</v>
      </c>
      <c r="C37" t="s">
        <v>372</v>
      </c>
      <c r="D37" t="s">
        <v>371</v>
      </c>
      <c r="E37" s="1" t="s">
        <v>250</v>
      </c>
      <c r="F37" s="1" t="s">
        <v>26</v>
      </c>
      <c r="G37" s="2186">
        <v>5</v>
      </c>
      <c r="H37" s="2186">
        <f>VLOOKUP(G37,Pesos!A:B,2,0)</f>
        <v>0.5</v>
      </c>
      <c r="I37" s="1" t="s">
        <v>305</v>
      </c>
      <c r="K37" s="1">
        <v>2</v>
      </c>
      <c r="L37" s="1">
        <v>6</v>
      </c>
      <c r="M37" s="2" t="s">
        <v>332</v>
      </c>
      <c r="N37" s="1" t="s">
        <v>24</v>
      </c>
      <c r="O37" s="1">
        <v>2</v>
      </c>
      <c r="S37" s="1">
        <v>1</v>
      </c>
      <c r="T37" s="5">
        <v>11343.75</v>
      </c>
      <c r="U37" s="30">
        <v>0.21740000000000001</v>
      </c>
      <c r="V37" s="26">
        <f t="shared" si="11"/>
        <v>8877.6187499999996</v>
      </c>
      <c r="W37" s="26">
        <f t="shared" si="12"/>
        <v>17755.237499999999</v>
      </c>
    </row>
    <row r="38" spans="1:23" x14ac:dyDescent="0.3">
      <c r="A38" t="s">
        <v>343</v>
      </c>
      <c r="B38" t="s">
        <v>360</v>
      </c>
      <c r="C38" t="s">
        <v>372</v>
      </c>
      <c r="D38" t="s">
        <v>371</v>
      </c>
      <c r="E38" s="1" t="s">
        <v>251</v>
      </c>
      <c r="F38" s="1" t="s">
        <v>102</v>
      </c>
      <c r="G38" s="2186">
        <v>1</v>
      </c>
      <c r="H38" s="2186">
        <f>VLOOKUP(G38,Pesos!A:B,2,0)</f>
        <v>0.9</v>
      </c>
      <c r="J38" s="1" t="s">
        <v>305</v>
      </c>
      <c r="K38" s="1">
        <v>3</v>
      </c>
      <c r="L38" s="1">
        <v>8</v>
      </c>
      <c r="M38" s="2" t="s">
        <v>332</v>
      </c>
      <c r="N38" s="1" t="s">
        <v>24</v>
      </c>
      <c r="O38" s="1">
        <v>2</v>
      </c>
      <c r="S38" s="1">
        <v>1</v>
      </c>
      <c r="T38" s="5">
        <v>3600</v>
      </c>
      <c r="U38" s="30">
        <v>0.17</v>
      </c>
      <c r="V38" s="26">
        <f t="shared" si="11"/>
        <v>2988</v>
      </c>
      <c r="W38" s="26">
        <f t="shared" si="12"/>
        <v>5976</v>
      </c>
    </row>
    <row r="39" spans="1:23" x14ac:dyDescent="0.3">
      <c r="A39" t="s">
        <v>343</v>
      </c>
      <c r="B39" t="s">
        <v>360</v>
      </c>
      <c r="C39" t="s">
        <v>372</v>
      </c>
      <c r="D39" t="s">
        <v>371</v>
      </c>
      <c r="E39" s="1" t="s">
        <v>251</v>
      </c>
      <c r="F39" s="1" t="s">
        <v>252</v>
      </c>
      <c r="G39" s="2186">
        <v>6</v>
      </c>
      <c r="H39" s="2186">
        <f>VLOOKUP(G39,Pesos!A:B,2,0)</f>
        <v>0.4</v>
      </c>
      <c r="I39" s="1" t="s">
        <v>305</v>
      </c>
      <c r="K39" s="1">
        <v>1</v>
      </c>
      <c r="L39" s="1">
        <v>2</v>
      </c>
      <c r="M39" s="2" t="s">
        <v>38</v>
      </c>
      <c r="N39" s="1" t="s">
        <v>24</v>
      </c>
      <c r="O39" s="1">
        <v>1</v>
      </c>
      <c r="S39" s="1">
        <v>1</v>
      </c>
      <c r="T39" s="5">
        <v>3600</v>
      </c>
      <c r="U39" s="30">
        <v>0.17</v>
      </c>
      <c r="V39" s="26">
        <f t="shared" si="11"/>
        <v>2988</v>
      </c>
      <c r="W39" s="26">
        <f t="shared" si="12"/>
        <v>2988</v>
      </c>
    </row>
    <row r="40" spans="1:23" x14ac:dyDescent="0.3">
      <c r="A40" t="s">
        <v>343</v>
      </c>
      <c r="B40" t="s">
        <v>360</v>
      </c>
      <c r="C40" t="s">
        <v>372</v>
      </c>
      <c r="D40" t="s">
        <v>371</v>
      </c>
      <c r="E40" s="1" t="s">
        <v>251</v>
      </c>
      <c r="F40" s="1" t="s">
        <v>208</v>
      </c>
      <c r="G40" s="2186">
        <v>2</v>
      </c>
      <c r="H40" s="2186">
        <f>VLOOKUP(G40,Pesos!A:B,2,0)</f>
        <v>0.8</v>
      </c>
      <c r="I40" s="1" t="s">
        <v>305</v>
      </c>
      <c r="K40" s="1">
        <v>3</v>
      </c>
      <c r="L40" s="1">
        <v>8</v>
      </c>
      <c r="M40" s="2" t="s">
        <v>263</v>
      </c>
      <c r="N40" s="1" t="s">
        <v>24</v>
      </c>
      <c r="O40" s="1">
        <v>7</v>
      </c>
      <c r="S40" s="1">
        <v>1</v>
      </c>
      <c r="T40" s="5">
        <v>1400</v>
      </c>
      <c r="U40" s="30">
        <v>0.14000000000000001</v>
      </c>
      <c r="V40" s="26">
        <f t="shared" si="11"/>
        <v>1204</v>
      </c>
      <c r="W40" s="26">
        <f t="shared" si="12"/>
        <v>8428</v>
      </c>
    </row>
    <row r="41" spans="1:23" x14ac:dyDescent="0.3">
      <c r="A41" t="s">
        <v>343</v>
      </c>
      <c r="B41" t="s">
        <v>360</v>
      </c>
      <c r="C41" t="s">
        <v>372</v>
      </c>
      <c r="D41" t="s">
        <v>371</v>
      </c>
      <c r="E41" s="1" t="s">
        <v>210</v>
      </c>
      <c r="F41" s="1" t="s">
        <v>211</v>
      </c>
      <c r="G41" s="2186">
        <v>3</v>
      </c>
      <c r="H41" s="2186">
        <f>VLOOKUP(G41,Pesos!A:B,2,0)</f>
        <v>0.7</v>
      </c>
      <c r="I41" s="1" t="s">
        <v>305</v>
      </c>
      <c r="K41" s="1">
        <v>4</v>
      </c>
      <c r="L41" s="1">
        <v>7</v>
      </c>
      <c r="M41" s="2" t="s">
        <v>229</v>
      </c>
      <c r="N41" s="1" t="s">
        <v>63</v>
      </c>
      <c r="O41" s="1">
        <v>5</v>
      </c>
      <c r="S41" s="1">
        <v>1</v>
      </c>
      <c r="T41" s="9">
        <v>2049</v>
      </c>
      <c r="U41" s="31">
        <v>0.6</v>
      </c>
      <c r="V41" s="26">
        <f t="shared" si="11"/>
        <v>819.6</v>
      </c>
      <c r="W41" s="26">
        <f t="shared" si="12"/>
        <v>4098</v>
      </c>
    </row>
    <row r="42" spans="1:23" x14ac:dyDescent="0.3">
      <c r="A42" t="s">
        <v>343</v>
      </c>
      <c r="B42" t="s">
        <v>360</v>
      </c>
      <c r="C42" t="s">
        <v>372</v>
      </c>
      <c r="D42" t="s">
        <v>371</v>
      </c>
      <c r="E42" s="1" t="s">
        <v>210</v>
      </c>
      <c r="F42" s="1" t="s">
        <v>211</v>
      </c>
      <c r="G42" s="2186">
        <v>3</v>
      </c>
      <c r="H42" s="2186">
        <f>VLOOKUP(G42,Pesos!A:B,2,0)</f>
        <v>0.7</v>
      </c>
      <c r="I42" s="1" t="s">
        <v>305</v>
      </c>
      <c r="K42" s="1">
        <v>4</v>
      </c>
      <c r="L42" s="1">
        <v>7</v>
      </c>
      <c r="M42" s="2" t="s">
        <v>333</v>
      </c>
      <c r="N42" s="1" t="s">
        <v>63</v>
      </c>
      <c r="Q42" s="1">
        <v>3</v>
      </c>
      <c r="S42" s="1">
        <v>1</v>
      </c>
      <c r="T42" s="9">
        <v>5463</v>
      </c>
      <c r="U42" s="31">
        <v>0.6</v>
      </c>
      <c r="V42" s="26">
        <f t="shared" si="11"/>
        <v>2185.2000000000003</v>
      </c>
      <c r="W42" s="26">
        <f t="shared" si="12"/>
        <v>6555.6</v>
      </c>
    </row>
    <row r="43" spans="1:23" x14ac:dyDescent="0.3">
      <c r="A43" t="s">
        <v>343</v>
      </c>
      <c r="B43" t="s">
        <v>360</v>
      </c>
      <c r="C43" t="s">
        <v>372</v>
      </c>
      <c r="D43" t="s">
        <v>371</v>
      </c>
      <c r="E43" s="1" t="s">
        <v>179</v>
      </c>
      <c r="F43" s="1" t="s">
        <v>180</v>
      </c>
      <c r="G43" s="2186">
        <v>4</v>
      </c>
      <c r="H43" s="2186">
        <f>VLOOKUP(G43,Pesos!A:B,2,0)</f>
        <v>0.6</v>
      </c>
      <c r="I43" s="1" t="s">
        <v>305</v>
      </c>
      <c r="K43" s="1">
        <v>3</v>
      </c>
      <c r="L43" s="1">
        <v>15</v>
      </c>
      <c r="M43" s="2" t="s">
        <v>263</v>
      </c>
      <c r="N43" s="1" t="s">
        <v>24</v>
      </c>
      <c r="O43" s="1">
        <v>7</v>
      </c>
      <c r="S43" s="1">
        <v>1</v>
      </c>
      <c r="T43" s="9">
        <v>11069</v>
      </c>
      <c r="U43" s="31">
        <v>0.4</v>
      </c>
      <c r="V43" s="26">
        <f t="shared" si="11"/>
        <v>6641.4</v>
      </c>
      <c r="W43" s="26">
        <f t="shared" si="12"/>
        <v>46489.799999999996</v>
      </c>
    </row>
    <row r="44" spans="1:23" x14ac:dyDescent="0.3">
      <c r="G44" s="2186"/>
      <c r="H44" s="2186"/>
      <c r="M44" s="1"/>
      <c r="T44" s="28"/>
      <c r="U44" s="29"/>
      <c r="V44" s="26"/>
      <c r="W44" s="26"/>
    </row>
    <row r="45" spans="1:23" x14ac:dyDescent="0.3">
      <c r="A45" t="s">
        <v>326</v>
      </c>
      <c r="B45" t="s">
        <v>360</v>
      </c>
      <c r="C45" t="s">
        <v>372</v>
      </c>
      <c r="D45" t="s">
        <v>371</v>
      </c>
      <c r="E45" s="1" t="s">
        <v>250</v>
      </c>
      <c r="F45" s="1" t="s">
        <v>208</v>
      </c>
      <c r="G45" s="2186">
        <v>2</v>
      </c>
      <c r="H45" s="2186">
        <f>VLOOKUP(G45,Pesos!A:B,2,0)</f>
        <v>0.8</v>
      </c>
      <c r="I45" s="1" t="s">
        <v>305</v>
      </c>
      <c r="K45" s="1">
        <v>2</v>
      </c>
      <c r="L45" s="1">
        <v>6</v>
      </c>
      <c r="M45" s="2" t="s">
        <v>332</v>
      </c>
      <c r="N45" s="1" t="s">
        <v>63</v>
      </c>
      <c r="Q45" s="1">
        <v>2</v>
      </c>
      <c r="S45" s="1">
        <v>1</v>
      </c>
      <c r="T45" s="5">
        <v>4685.12</v>
      </c>
      <c r="U45" s="30">
        <v>0.33300000000000002</v>
      </c>
      <c r="V45" s="26">
        <f t="shared" ref="V45:V52" si="13">T45*(1-U45)</f>
        <v>3124.9750400000003</v>
      </c>
      <c r="W45" s="26">
        <f t="shared" ref="W45:W52" si="14">V45*S45*M45</f>
        <v>6249.9500800000005</v>
      </c>
    </row>
    <row r="46" spans="1:23" x14ac:dyDescent="0.3">
      <c r="A46" t="s">
        <v>326</v>
      </c>
      <c r="B46" t="s">
        <v>360</v>
      </c>
      <c r="C46" t="s">
        <v>372</v>
      </c>
      <c r="D46" t="s">
        <v>371</v>
      </c>
      <c r="E46" s="1" t="s">
        <v>227</v>
      </c>
      <c r="F46" s="1" t="s">
        <v>102</v>
      </c>
      <c r="G46" s="2186">
        <v>1</v>
      </c>
      <c r="H46" s="2186">
        <f>VLOOKUP(G46,Pesos!A:B,2,0)</f>
        <v>0.9</v>
      </c>
      <c r="J46" s="1" t="s">
        <v>305</v>
      </c>
      <c r="K46" s="1">
        <v>2</v>
      </c>
      <c r="L46" s="1">
        <v>6</v>
      </c>
      <c r="M46" s="2" t="s">
        <v>38</v>
      </c>
      <c r="N46" s="1" t="s">
        <v>24</v>
      </c>
      <c r="O46" s="1">
        <v>1</v>
      </c>
      <c r="S46" s="1">
        <v>1</v>
      </c>
      <c r="T46" s="5">
        <v>8132.89</v>
      </c>
      <c r="U46" s="24">
        <v>0.72</v>
      </c>
      <c r="V46" s="26">
        <f t="shared" si="13"/>
        <v>2277.2092000000002</v>
      </c>
      <c r="W46" s="26">
        <f t="shared" si="14"/>
        <v>2277.2092000000002</v>
      </c>
    </row>
    <row r="47" spans="1:23" x14ac:dyDescent="0.3">
      <c r="A47" t="s">
        <v>326</v>
      </c>
      <c r="B47" t="s">
        <v>360</v>
      </c>
      <c r="C47" t="s">
        <v>372</v>
      </c>
      <c r="D47" t="s">
        <v>371</v>
      </c>
      <c r="E47" s="1" t="s">
        <v>250</v>
      </c>
      <c r="F47" s="1" t="s">
        <v>26</v>
      </c>
      <c r="G47" s="2186">
        <v>5</v>
      </c>
      <c r="H47" s="2186">
        <f>VLOOKUP(G47,Pesos!A:B,2,0)</f>
        <v>0.5</v>
      </c>
      <c r="I47" s="1" t="s">
        <v>305</v>
      </c>
      <c r="K47" s="1">
        <v>1</v>
      </c>
      <c r="L47" s="1">
        <v>4</v>
      </c>
      <c r="M47" s="2" t="s">
        <v>38</v>
      </c>
      <c r="N47" s="1" t="s">
        <v>24</v>
      </c>
      <c r="O47" s="1">
        <v>1</v>
      </c>
      <c r="S47" s="1">
        <v>1</v>
      </c>
      <c r="T47" s="5">
        <v>11343.75</v>
      </c>
      <c r="U47" s="30">
        <v>0.21740000000000001</v>
      </c>
      <c r="V47" s="26">
        <f t="shared" si="13"/>
        <v>8877.6187499999996</v>
      </c>
      <c r="W47" s="26">
        <f t="shared" si="14"/>
        <v>8877.6187499999996</v>
      </c>
    </row>
    <row r="48" spans="1:23" x14ac:dyDescent="0.3">
      <c r="A48" t="s">
        <v>326</v>
      </c>
      <c r="B48" t="s">
        <v>360</v>
      </c>
      <c r="C48" t="s">
        <v>372</v>
      </c>
      <c r="D48" t="s">
        <v>371</v>
      </c>
      <c r="E48" s="1" t="s">
        <v>251</v>
      </c>
      <c r="F48" s="1" t="s">
        <v>102</v>
      </c>
      <c r="G48" s="2186">
        <v>1</v>
      </c>
      <c r="H48" s="2186">
        <f>VLOOKUP(G48,Pesos!A:B,2,0)</f>
        <v>0.9</v>
      </c>
      <c r="J48" s="1" t="s">
        <v>305</v>
      </c>
      <c r="K48" s="1">
        <v>2</v>
      </c>
      <c r="L48" s="1">
        <v>6</v>
      </c>
      <c r="M48" s="2" t="s">
        <v>38</v>
      </c>
      <c r="N48" s="1" t="s">
        <v>24</v>
      </c>
      <c r="O48" s="1">
        <v>1</v>
      </c>
      <c r="S48" s="1">
        <v>1</v>
      </c>
      <c r="T48" s="5">
        <v>3600</v>
      </c>
      <c r="U48" s="24">
        <v>0.17</v>
      </c>
      <c r="V48" s="26">
        <f t="shared" si="13"/>
        <v>2988</v>
      </c>
      <c r="W48" s="26">
        <f t="shared" si="14"/>
        <v>2988</v>
      </c>
    </row>
    <row r="49" spans="1:23" x14ac:dyDescent="0.3">
      <c r="A49" t="s">
        <v>326</v>
      </c>
      <c r="B49" t="s">
        <v>360</v>
      </c>
      <c r="C49" t="s">
        <v>372</v>
      </c>
      <c r="D49" t="s">
        <v>371</v>
      </c>
      <c r="E49" s="1" t="s">
        <v>251</v>
      </c>
      <c r="F49" s="1" t="s">
        <v>208</v>
      </c>
      <c r="G49" s="2186">
        <v>2</v>
      </c>
      <c r="H49" s="2186">
        <f>VLOOKUP(G49,Pesos!A:B,2,0)</f>
        <v>0.8</v>
      </c>
      <c r="I49" s="1" t="s">
        <v>305</v>
      </c>
      <c r="K49" s="1">
        <v>2</v>
      </c>
      <c r="L49" s="1">
        <v>6</v>
      </c>
      <c r="M49" s="2" t="s">
        <v>333</v>
      </c>
      <c r="N49" s="1" t="s">
        <v>24</v>
      </c>
      <c r="O49" s="1">
        <v>3</v>
      </c>
      <c r="S49" s="1">
        <v>1</v>
      </c>
      <c r="T49" s="5">
        <v>1400</v>
      </c>
      <c r="U49" s="24">
        <v>0.14000000000000001</v>
      </c>
      <c r="V49" s="26">
        <f t="shared" si="13"/>
        <v>1204</v>
      </c>
      <c r="W49" s="26">
        <f t="shared" si="14"/>
        <v>3612</v>
      </c>
    </row>
    <row r="50" spans="1:23" x14ac:dyDescent="0.3">
      <c r="A50" t="s">
        <v>326</v>
      </c>
      <c r="B50" t="s">
        <v>360</v>
      </c>
      <c r="C50" t="s">
        <v>372</v>
      </c>
      <c r="D50" t="s">
        <v>371</v>
      </c>
      <c r="E50" s="1" t="s">
        <v>210</v>
      </c>
      <c r="F50" s="1" t="s">
        <v>211</v>
      </c>
      <c r="G50" s="2186">
        <v>3</v>
      </c>
      <c r="H50" s="2186">
        <f>VLOOKUP(G50,Pesos!A:B,2,0)</f>
        <v>0.7</v>
      </c>
      <c r="I50" s="1" t="s">
        <v>305</v>
      </c>
      <c r="K50" s="1">
        <v>2</v>
      </c>
      <c r="L50" s="1">
        <v>4</v>
      </c>
      <c r="M50" s="2" t="s">
        <v>332</v>
      </c>
      <c r="N50" s="1" t="s">
        <v>63</v>
      </c>
      <c r="O50" s="1">
        <v>2</v>
      </c>
      <c r="S50" s="1">
        <v>1</v>
      </c>
      <c r="T50" s="9">
        <v>2049</v>
      </c>
      <c r="U50" s="29">
        <v>0.6</v>
      </c>
      <c r="V50" s="26">
        <f t="shared" si="13"/>
        <v>819.6</v>
      </c>
      <c r="W50" s="26">
        <f t="shared" si="14"/>
        <v>1639.2</v>
      </c>
    </row>
    <row r="51" spans="1:23" x14ac:dyDescent="0.3">
      <c r="A51" t="s">
        <v>326</v>
      </c>
      <c r="B51" t="s">
        <v>360</v>
      </c>
      <c r="C51" t="s">
        <v>372</v>
      </c>
      <c r="D51" t="s">
        <v>371</v>
      </c>
      <c r="E51" s="1" t="s">
        <v>210</v>
      </c>
      <c r="F51" s="1" t="s">
        <v>211</v>
      </c>
      <c r="G51" s="2186">
        <v>3</v>
      </c>
      <c r="H51" s="2186">
        <f>VLOOKUP(G51,Pesos!A:B,2,0)</f>
        <v>0.7</v>
      </c>
      <c r="I51" s="1" t="s">
        <v>305</v>
      </c>
      <c r="K51" s="1">
        <v>2</v>
      </c>
      <c r="L51" s="1">
        <v>6</v>
      </c>
      <c r="M51" s="2" t="s">
        <v>333</v>
      </c>
      <c r="N51" s="1" t="s">
        <v>63</v>
      </c>
      <c r="Q51" s="1">
        <v>3</v>
      </c>
      <c r="S51" s="1">
        <v>1</v>
      </c>
      <c r="T51" s="9">
        <v>5463</v>
      </c>
      <c r="U51" s="29">
        <v>0.6</v>
      </c>
      <c r="V51" s="26">
        <f t="shared" si="13"/>
        <v>2185.2000000000003</v>
      </c>
      <c r="W51" s="26">
        <f t="shared" si="14"/>
        <v>6555.6</v>
      </c>
    </row>
    <row r="52" spans="1:23" x14ac:dyDescent="0.3">
      <c r="A52" t="s">
        <v>326</v>
      </c>
      <c r="B52" t="s">
        <v>360</v>
      </c>
      <c r="C52" t="s">
        <v>372</v>
      </c>
      <c r="D52" t="s">
        <v>371</v>
      </c>
      <c r="E52" s="1" t="s">
        <v>179</v>
      </c>
      <c r="F52" s="1" t="s">
        <v>180</v>
      </c>
      <c r="G52" s="2186">
        <v>4</v>
      </c>
      <c r="H52" s="2186">
        <f>VLOOKUP(G52,Pesos!A:B,2,0)</f>
        <v>0.6</v>
      </c>
      <c r="I52" s="1" t="s">
        <v>305</v>
      </c>
      <c r="K52" s="1">
        <v>2</v>
      </c>
      <c r="L52" s="1">
        <v>8</v>
      </c>
      <c r="M52" s="2" t="s">
        <v>333</v>
      </c>
      <c r="N52" s="1" t="s">
        <v>24</v>
      </c>
      <c r="O52" s="1">
        <v>3</v>
      </c>
      <c r="S52" s="1">
        <v>1</v>
      </c>
      <c r="T52" s="9">
        <v>11069</v>
      </c>
      <c r="U52" s="29">
        <v>0.4</v>
      </c>
      <c r="V52" s="26">
        <f t="shared" si="13"/>
        <v>6641.4</v>
      </c>
      <c r="W52" s="26">
        <f t="shared" si="14"/>
        <v>19924.199999999997</v>
      </c>
    </row>
    <row r="53" spans="1:23" x14ac:dyDescent="0.3">
      <c r="M53" s="1"/>
      <c r="T53" s="28"/>
      <c r="U53" s="29"/>
      <c r="V53" s="26"/>
      <c r="W53" s="26"/>
    </row>
    <row r="54" spans="1:23" x14ac:dyDescent="0.3">
      <c r="M54" s="1"/>
      <c r="T54" s="28"/>
      <c r="U54" s="29"/>
      <c r="V54" s="26"/>
      <c r="W54" s="26"/>
    </row>
    <row r="56" spans="1:23" x14ac:dyDescent="0.3">
      <c r="M56" s="1"/>
      <c r="T56" s="26"/>
      <c r="U56" s="24"/>
      <c r="V56" s="26"/>
      <c r="W56" s="26"/>
    </row>
    <row r="57" spans="1:23" x14ac:dyDescent="0.3">
      <c r="M57" s="1"/>
      <c r="T57" s="26"/>
      <c r="U57" s="24"/>
      <c r="V57" s="26"/>
      <c r="W57" s="26"/>
    </row>
    <row r="58" spans="1:23" x14ac:dyDescent="0.3">
      <c r="A58" s="47"/>
      <c r="D58" s="43" t="s">
        <v>1158</v>
      </c>
      <c r="E58" s="43" t="s">
        <v>1159</v>
      </c>
      <c r="F58" s="43" t="s">
        <v>1160</v>
      </c>
      <c r="G58" s="43"/>
      <c r="M58" s="1"/>
      <c r="T58" s="26"/>
      <c r="U58" s="24"/>
      <c r="V58" s="26"/>
      <c r="W58" s="26"/>
    </row>
    <row r="59" spans="1:23" x14ac:dyDescent="0.3">
      <c r="A59" s="47" t="s">
        <v>1161</v>
      </c>
      <c r="B59" s="2174"/>
      <c r="C59" s="2174"/>
      <c r="D59" s="2181">
        <f>E59*(1-10%)</f>
        <v>4686.5496002500004</v>
      </c>
      <c r="E59" s="427">
        <f>'JOAO PESSOA'!S53</f>
        <v>5207.2773336111113</v>
      </c>
      <c r="F59" s="427">
        <f>E59*(1+15%)</f>
        <v>5988.3689336527777</v>
      </c>
      <c r="G59" s="427"/>
      <c r="M59" s="1"/>
      <c r="T59" s="28"/>
      <c r="U59" s="29"/>
      <c r="V59" s="26"/>
      <c r="W59" s="26"/>
    </row>
    <row r="60" spans="1:23" x14ac:dyDescent="0.3">
      <c r="A60" s="47" t="s">
        <v>1162</v>
      </c>
      <c r="B60" s="2174"/>
      <c r="C60" s="2174"/>
      <c r="D60" s="2181">
        <f>E60*(1-25%)</f>
        <v>3127.6329134999996</v>
      </c>
      <c r="E60" s="427">
        <f>'JOAO PESSOA'!S86</f>
        <v>4170.1772179999998</v>
      </c>
      <c r="F60" s="427">
        <f>E60*(1+5%)</f>
        <v>4378.6860789000002</v>
      </c>
      <c r="G60" s="427"/>
      <c r="M60" s="1"/>
      <c r="T60" s="28"/>
      <c r="U60" s="29"/>
      <c r="V60" s="26"/>
      <c r="W60" s="26"/>
    </row>
    <row r="61" spans="1:23" x14ac:dyDescent="0.3">
      <c r="A61" s="47" t="s">
        <v>550</v>
      </c>
      <c r="B61" s="2174"/>
      <c r="C61" s="2174"/>
      <c r="D61" s="2181">
        <f>E61*(1-15%)</f>
        <v>4190.5907615217393</v>
      </c>
      <c r="E61" s="427">
        <f>'JOAO PESSOA'!S123</f>
        <v>4930.1067782608698</v>
      </c>
      <c r="F61" s="427">
        <f>E61*(1+15%)</f>
        <v>5669.6227950000002</v>
      </c>
      <c r="G61" s="427"/>
      <c r="M61" s="1"/>
      <c r="T61" s="28"/>
      <c r="U61" s="29"/>
      <c r="V61" s="26"/>
      <c r="W61" s="26"/>
    </row>
    <row r="62" spans="1:23" x14ac:dyDescent="0.3">
      <c r="A62" s="47" t="s">
        <v>679</v>
      </c>
      <c r="B62" s="2174"/>
      <c r="C62" s="2174"/>
      <c r="D62" s="2181">
        <f>E62*(1-25%)</f>
        <v>2756.6799633870964</v>
      </c>
      <c r="E62" s="427">
        <f>'JOAO PESSOA'!S155</f>
        <v>3675.5732845161288</v>
      </c>
      <c r="F62" s="427">
        <f>E62*(1+5%)</f>
        <v>3859.3519487419353</v>
      </c>
      <c r="G62" s="427"/>
    </row>
    <row r="63" spans="1:23" x14ac:dyDescent="0.3">
      <c r="A63" s="47" t="s">
        <v>568</v>
      </c>
      <c r="B63" s="2174"/>
      <c r="C63" s="2174"/>
      <c r="D63" s="2181">
        <f>E63*(1-25%)</f>
        <v>2677.6770951562503</v>
      </c>
      <c r="E63" s="427">
        <f>'JOAO PESSOA'!S192</f>
        <v>3570.2361268750001</v>
      </c>
      <c r="F63" s="427">
        <f>E63*(1+5%)</f>
        <v>3748.7479332187504</v>
      </c>
      <c r="G63" s="427"/>
    </row>
    <row r="64" spans="1:23" x14ac:dyDescent="0.3">
      <c r="A64" s="47"/>
      <c r="B64" s="47"/>
      <c r="C64" s="47"/>
      <c r="D64" s="48"/>
    </row>
    <row r="65" spans="1:7" x14ac:dyDescent="0.3">
      <c r="A65" s="47"/>
      <c r="B65" s="46"/>
      <c r="C65" s="46"/>
      <c r="D65" s="2314" t="s">
        <v>1163</v>
      </c>
      <c r="E65" s="2315"/>
      <c r="F65" s="2315"/>
      <c r="G65" s="2316"/>
    </row>
    <row r="66" spans="1:7" x14ac:dyDescent="0.3">
      <c r="A66" s="47" t="s">
        <v>1161</v>
      </c>
      <c r="B66" s="2175"/>
      <c r="C66" s="2175"/>
      <c r="D66" s="3">
        <v>0.75</v>
      </c>
      <c r="E66" s="3"/>
      <c r="F66" s="3">
        <v>0.25</v>
      </c>
      <c r="G66" s="3"/>
    </row>
    <row r="67" spans="1:7" x14ac:dyDescent="0.3">
      <c r="A67" s="47" t="s">
        <v>1162</v>
      </c>
      <c r="B67" s="2175"/>
      <c r="C67" s="2175"/>
      <c r="D67" s="2175">
        <v>0.73333333333333328</v>
      </c>
      <c r="E67" s="304"/>
      <c r="F67" s="304">
        <v>0.26666666666666666</v>
      </c>
      <c r="G67" s="304"/>
    </row>
    <row r="68" spans="1:7" x14ac:dyDescent="0.3">
      <c r="A68" s="47" t="s">
        <v>550</v>
      </c>
      <c r="B68" s="2175"/>
      <c r="C68" s="2175"/>
      <c r="D68" s="2175">
        <v>0.86956521739130432</v>
      </c>
      <c r="E68" s="304"/>
      <c r="F68" s="304">
        <v>0.13043478260869565</v>
      </c>
      <c r="G68" s="304"/>
    </row>
    <row r="69" spans="1:7" x14ac:dyDescent="0.3">
      <c r="A69" s="47" t="s">
        <v>679</v>
      </c>
      <c r="B69" s="2175"/>
      <c r="C69" s="2175"/>
      <c r="D69" s="2175">
        <v>0.80645161290322576</v>
      </c>
      <c r="E69" s="304"/>
      <c r="F69" s="304">
        <v>0.19354838709677419</v>
      </c>
      <c r="G69" s="304"/>
    </row>
    <row r="70" spans="1:7" x14ac:dyDescent="0.3">
      <c r="A70" s="47" t="s">
        <v>568</v>
      </c>
      <c r="B70" s="47"/>
      <c r="C70" s="47"/>
      <c r="D70" s="2175">
        <v>0.6875</v>
      </c>
      <c r="E70" s="3"/>
      <c r="F70" s="304">
        <v>0.3125</v>
      </c>
    </row>
    <row r="71" spans="1:7" x14ac:dyDescent="0.3">
      <c r="A71" s="47"/>
      <c r="B71" s="47"/>
      <c r="C71" s="47"/>
      <c r="D71" s="48"/>
    </row>
    <row r="72" spans="1:7" x14ac:dyDescent="0.3">
      <c r="A72" s="47"/>
      <c r="B72" s="47"/>
      <c r="C72" s="47"/>
      <c r="D72" s="48"/>
    </row>
    <row r="73" spans="1:7" x14ac:dyDescent="0.3">
      <c r="A73" s="47"/>
      <c r="B73" s="47"/>
      <c r="C73" s="47"/>
      <c r="D73" s="48"/>
    </row>
    <row r="74" spans="1:7" x14ac:dyDescent="0.3">
      <c r="A74" s="47"/>
      <c r="B74" s="46"/>
      <c r="C74" s="46"/>
      <c r="D74" s="2314" t="s">
        <v>1164</v>
      </c>
      <c r="E74" s="2315"/>
      <c r="F74" s="2315"/>
      <c r="G74" s="2316"/>
    </row>
    <row r="75" spans="1:7" x14ac:dyDescent="0.3">
      <c r="A75" s="47" t="s">
        <v>1161</v>
      </c>
      <c r="B75" s="2175"/>
      <c r="C75" s="2175"/>
      <c r="D75" s="2175">
        <v>0.28125</v>
      </c>
      <c r="E75" s="2175">
        <v>0.28125</v>
      </c>
      <c r="F75" s="2175">
        <v>0.21875</v>
      </c>
      <c r="G75" s="2175">
        <v>0.21875</v>
      </c>
    </row>
    <row r="76" spans="1:7" x14ac:dyDescent="0.3">
      <c r="A76" s="47" t="s">
        <v>1162</v>
      </c>
      <c r="B76" s="6"/>
      <c r="C76" s="6"/>
      <c r="D76" s="6">
        <v>0.28448275862068967</v>
      </c>
      <c r="E76" s="2175">
        <v>0.25862068965517243</v>
      </c>
      <c r="F76" s="2175">
        <v>0.2413793103448276</v>
      </c>
      <c r="G76" s="2175">
        <v>0.21551724137931033</v>
      </c>
    </row>
    <row r="77" spans="1:7" x14ac:dyDescent="0.3">
      <c r="A77" s="47" t="s">
        <v>550</v>
      </c>
      <c r="B77" s="2175"/>
      <c r="C77" s="2175"/>
      <c r="D77" s="2175">
        <v>0.39215686274509803</v>
      </c>
      <c r="E77" s="2175">
        <v>0.39215686274509803</v>
      </c>
      <c r="F77" s="2175">
        <v>0.21568627450980393</v>
      </c>
      <c r="G77" s="2175"/>
    </row>
    <row r="78" spans="1:7" x14ac:dyDescent="0.3">
      <c r="A78" s="47" t="s">
        <v>679</v>
      </c>
      <c r="B78" s="2175"/>
      <c r="C78" s="2175"/>
      <c r="D78" s="6">
        <v>0.36231884057971014</v>
      </c>
      <c r="E78" s="6">
        <v>0.36231884057971014</v>
      </c>
      <c r="F78" s="6">
        <v>0.27536231884057971</v>
      </c>
      <c r="G78" s="2200"/>
    </row>
    <row r="79" spans="1:7" x14ac:dyDescent="0.3">
      <c r="A79" s="47" t="s">
        <v>568</v>
      </c>
      <c r="B79" s="47"/>
      <c r="C79" s="47"/>
      <c r="D79" s="6">
        <v>0.33333333333333331</v>
      </c>
      <c r="E79" s="2175">
        <v>0.33333333333333331</v>
      </c>
      <c r="F79" s="2175">
        <v>0.33333333333333331</v>
      </c>
      <c r="G79" s="2175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J185"/>
  <sheetViews>
    <sheetView workbookViewId="0"/>
  </sheetViews>
  <sheetFormatPr defaultRowHeight="14.4" x14ac:dyDescent="0.3"/>
  <sheetData>
    <row r="1" spans="1:34" ht="20.399999999999999" x14ac:dyDescent="0.35">
      <c r="A1" s="849" t="s">
        <v>1109</v>
      </c>
      <c r="C1" s="849"/>
      <c r="O1" s="1680"/>
      <c r="P1" s="1680"/>
      <c r="Q1" s="1680"/>
      <c r="R1" s="1680"/>
      <c r="T1" s="1680"/>
      <c r="U1" s="1680"/>
      <c r="V1" s="1680"/>
      <c r="W1" s="1680"/>
      <c r="X1" s="1680"/>
      <c r="Y1" s="1680"/>
      <c r="Z1" s="1680"/>
      <c r="AA1" s="1680"/>
      <c r="AB1" s="1680"/>
      <c r="AC1" s="1680"/>
      <c r="AD1" s="1680"/>
      <c r="AE1" s="1680"/>
      <c r="AF1" s="1680"/>
      <c r="AG1" s="1680"/>
      <c r="AH1" s="1680"/>
    </row>
    <row r="2" spans="1:34" x14ac:dyDescent="0.3">
      <c r="A2" s="850" t="s">
        <v>854</v>
      </c>
      <c r="C2" s="1681"/>
      <c r="O2" s="851"/>
      <c r="P2" s="851"/>
      <c r="Q2" s="851"/>
      <c r="R2" s="851"/>
      <c r="T2" s="851"/>
      <c r="U2" s="851"/>
      <c r="V2" s="851"/>
      <c r="W2" s="851"/>
      <c r="X2" s="851"/>
      <c r="Y2" s="851"/>
      <c r="Z2" s="851"/>
      <c r="AA2" s="851"/>
      <c r="AB2" s="851"/>
      <c r="AC2" s="851"/>
      <c r="AD2" s="851"/>
      <c r="AE2" s="851"/>
      <c r="AF2" s="851"/>
      <c r="AG2" s="851"/>
      <c r="AH2" s="851"/>
    </row>
    <row r="3" spans="1:34" x14ac:dyDescent="0.3">
      <c r="A3" s="850"/>
      <c r="B3" s="851"/>
      <c r="O3" s="851"/>
      <c r="P3" s="851"/>
      <c r="Q3" s="851"/>
      <c r="R3" s="851"/>
      <c r="T3" s="851"/>
      <c r="U3" s="851"/>
      <c r="V3" s="851"/>
      <c r="W3" s="851"/>
      <c r="X3" s="851"/>
      <c r="Y3" s="851"/>
      <c r="Z3" s="851"/>
      <c r="AA3" s="851"/>
      <c r="AB3" s="851"/>
      <c r="AC3" s="851"/>
      <c r="AD3" s="851"/>
      <c r="AE3" s="851"/>
      <c r="AF3" s="851"/>
      <c r="AG3" s="851"/>
      <c r="AH3" s="851"/>
    </row>
    <row r="4" spans="1:34" x14ac:dyDescent="0.3">
      <c r="A4" s="850"/>
      <c r="B4" s="851"/>
      <c r="O4" s="851"/>
      <c r="P4" s="851"/>
      <c r="Q4" s="851"/>
      <c r="R4" s="851"/>
      <c r="T4" s="851"/>
      <c r="U4" s="851"/>
      <c r="V4" s="851"/>
      <c r="W4" s="851"/>
      <c r="X4" s="851"/>
      <c r="Y4" s="851"/>
      <c r="Z4" s="851"/>
      <c r="AA4" s="851"/>
      <c r="AB4" s="851"/>
      <c r="AC4" s="851"/>
      <c r="AD4" s="851"/>
      <c r="AE4" s="851"/>
      <c r="AF4" s="851"/>
      <c r="AG4" s="851"/>
      <c r="AH4" s="851"/>
    </row>
    <row r="5" spans="1:34" x14ac:dyDescent="0.3">
      <c r="A5" s="850"/>
      <c r="B5" s="851"/>
      <c r="O5" s="851"/>
      <c r="P5" s="851"/>
      <c r="Q5" s="851"/>
      <c r="R5" s="851"/>
      <c r="T5" s="851"/>
      <c r="U5" s="851"/>
      <c r="V5" s="851"/>
      <c r="W5" s="851"/>
      <c r="X5" s="851"/>
      <c r="Y5" s="851"/>
      <c r="Z5" s="851"/>
      <c r="AA5" s="851"/>
      <c r="AB5" s="851"/>
      <c r="AC5" s="851"/>
      <c r="AD5" s="851"/>
      <c r="AE5" s="851"/>
      <c r="AF5" s="851"/>
      <c r="AG5" s="851"/>
      <c r="AH5" s="851"/>
    </row>
    <row r="6" spans="1:34" x14ac:dyDescent="0.3">
      <c r="A6" s="1682" t="s">
        <v>1110</v>
      </c>
      <c r="B6" s="1683">
        <v>4890151.25</v>
      </c>
      <c r="C6" s="1684"/>
      <c r="O6" s="851"/>
      <c r="P6" s="851"/>
      <c r="Q6" s="851"/>
      <c r="R6" s="851"/>
      <c r="T6" s="851"/>
      <c r="U6" s="851"/>
      <c r="V6" s="851"/>
      <c r="W6" s="851"/>
      <c r="X6" s="851"/>
      <c r="Y6" s="851"/>
      <c r="Z6" s="851"/>
      <c r="AA6" s="851"/>
      <c r="AB6" s="851"/>
      <c r="AC6" s="851"/>
      <c r="AD6" s="851"/>
      <c r="AE6" s="851"/>
      <c r="AF6" s="851"/>
      <c r="AG6" s="851"/>
      <c r="AH6" s="851"/>
    </row>
    <row r="7" spans="1:34" x14ac:dyDescent="0.3">
      <c r="A7" s="1682" t="s">
        <v>1111</v>
      </c>
      <c r="B7" s="1683">
        <v>4156628.5625</v>
      </c>
      <c r="C7" s="1684"/>
      <c r="O7" s="851"/>
      <c r="P7" s="851"/>
      <c r="Q7" s="851"/>
      <c r="R7" s="851"/>
      <c r="T7" s="851"/>
      <c r="U7" s="851"/>
      <c r="V7" s="851"/>
      <c r="W7" s="851"/>
      <c r="X7" s="851"/>
      <c r="Y7" s="851"/>
      <c r="Z7" s="851"/>
      <c r="AA7" s="851"/>
      <c r="AB7" s="851"/>
      <c r="AC7" s="851"/>
      <c r="AD7" s="851"/>
      <c r="AE7" s="851"/>
      <c r="AF7" s="851"/>
      <c r="AG7" s="851"/>
      <c r="AH7" s="851"/>
    </row>
    <row r="8" spans="1:34" x14ac:dyDescent="0.3">
      <c r="A8" s="1681"/>
      <c r="B8" s="1685"/>
      <c r="C8" s="1684"/>
      <c r="O8" s="851"/>
      <c r="P8" s="851"/>
      <c r="Q8" s="851"/>
      <c r="R8" s="851"/>
      <c r="T8" s="851"/>
      <c r="U8" s="851"/>
      <c r="V8" s="851"/>
      <c r="W8" s="851"/>
      <c r="X8" s="851"/>
      <c r="Y8" s="851"/>
      <c r="Z8" s="851"/>
      <c r="AA8" s="851"/>
      <c r="AB8" s="851"/>
      <c r="AC8" s="851"/>
      <c r="AD8" s="851"/>
      <c r="AE8" s="851"/>
      <c r="AF8" s="851"/>
      <c r="AG8" s="851"/>
      <c r="AH8" s="851"/>
    </row>
    <row r="9" spans="1:34" x14ac:dyDescent="0.3">
      <c r="A9" s="850"/>
      <c r="H9" s="860"/>
      <c r="O9" s="851"/>
      <c r="P9" s="851"/>
      <c r="Q9" s="851"/>
      <c r="R9" s="851"/>
      <c r="T9" s="851"/>
      <c r="U9" s="851"/>
      <c r="V9" s="851"/>
      <c r="W9" s="851"/>
      <c r="X9" s="851"/>
      <c r="Y9" s="851"/>
      <c r="Z9" s="851"/>
      <c r="AA9" s="851"/>
      <c r="AB9" s="851"/>
      <c r="AC9" s="851"/>
      <c r="AD9" s="851"/>
      <c r="AE9" s="851"/>
      <c r="AF9" s="851"/>
      <c r="AG9" s="851"/>
      <c r="AH9" s="851"/>
    </row>
    <row r="10" spans="1:34" ht="17.399999999999999" x14ac:dyDescent="0.3">
      <c r="A10" s="852" t="s">
        <v>457</v>
      </c>
      <c r="O10" s="851"/>
      <c r="P10" s="851"/>
      <c r="Q10" s="851"/>
      <c r="R10" s="851"/>
      <c r="T10" s="851"/>
      <c r="U10" s="851"/>
      <c r="V10" s="851"/>
      <c r="W10" s="851"/>
      <c r="X10" s="851"/>
      <c r="Y10" s="851"/>
      <c r="Z10" s="851"/>
      <c r="AA10" s="851"/>
      <c r="AB10" s="851"/>
      <c r="AC10" s="851"/>
      <c r="AD10" s="851"/>
      <c r="AE10" s="851"/>
      <c r="AF10" s="851"/>
      <c r="AG10" s="851"/>
      <c r="AH10" s="851"/>
    </row>
    <row r="11" spans="1:34" x14ac:dyDescent="0.3">
      <c r="A11" s="106" t="s">
        <v>458</v>
      </c>
      <c r="B11" s="106"/>
      <c r="C11" s="106" t="s">
        <v>459</v>
      </c>
      <c r="D11" s="106" t="s">
        <v>460</v>
      </c>
      <c r="E11" s="106" t="s">
        <v>461</v>
      </c>
      <c r="O11" s="851"/>
      <c r="P11" s="851"/>
      <c r="Q11" s="851"/>
      <c r="R11" s="851"/>
      <c r="T11" s="851"/>
      <c r="U11" s="851"/>
      <c r="V11" s="851"/>
      <c r="W11" s="851"/>
      <c r="X11" s="851"/>
      <c r="Y11" s="851"/>
      <c r="Z11" s="851"/>
      <c r="AA11" s="851"/>
      <c r="AB11" s="851"/>
      <c r="AC11" s="851"/>
      <c r="AD11" s="851"/>
      <c r="AE11" s="851"/>
      <c r="AF11" s="851"/>
      <c r="AG11" s="851"/>
      <c r="AH11" s="851"/>
    </row>
    <row r="12" spans="1:34" x14ac:dyDescent="0.3">
      <c r="A12" s="107" t="s">
        <v>1112</v>
      </c>
      <c r="B12" s="108" t="s">
        <v>463</v>
      </c>
      <c r="C12" s="856">
        <v>0.35</v>
      </c>
      <c r="D12" s="857">
        <v>1454819.996875</v>
      </c>
      <c r="E12" s="858">
        <v>484939.99895833334</v>
      </c>
      <c r="I12" s="850"/>
    </row>
    <row r="13" spans="1:34" x14ac:dyDescent="0.3">
      <c r="A13" s="107" t="s">
        <v>1113</v>
      </c>
      <c r="B13" s="108" t="s">
        <v>465</v>
      </c>
      <c r="C13" s="856">
        <v>0.45</v>
      </c>
      <c r="D13" s="857">
        <v>1870482.8531250001</v>
      </c>
      <c r="E13" s="857">
        <v>374096.57062500005</v>
      </c>
    </row>
    <row r="14" spans="1:34" x14ac:dyDescent="0.3">
      <c r="A14" s="107" t="s">
        <v>1114</v>
      </c>
      <c r="B14" s="108">
        <v>3</v>
      </c>
      <c r="C14" s="856">
        <v>0.2</v>
      </c>
      <c r="D14" s="857">
        <v>831325.71250000002</v>
      </c>
      <c r="E14" s="857">
        <v>277108.57083333336</v>
      </c>
    </row>
    <row r="15" spans="1:34" x14ac:dyDescent="0.3">
      <c r="B15" s="1" t="s">
        <v>467</v>
      </c>
      <c r="C15" s="859">
        <v>1</v>
      </c>
      <c r="D15" s="860">
        <v>4156628.5625</v>
      </c>
      <c r="E15" s="860"/>
      <c r="H15" s="850"/>
    </row>
    <row r="16" spans="1:34" x14ac:dyDescent="0.3">
      <c r="A16" s="1686"/>
      <c r="B16" s="1687"/>
      <c r="C16" s="1687"/>
      <c r="D16" s="1687"/>
      <c r="E16" s="1687"/>
      <c r="F16" s="1687"/>
      <c r="G16" s="1687"/>
      <c r="H16" s="1687"/>
      <c r="I16" s="1687"/>
      <c r="J16" s="1687"/>
      <c r="K16" s="1688"/>
      <c r="L16" s="1687"/>
      <c r="M16" s="1687"/>
      <c r="N16" s="1687"/>
      <c r="O16" s="1689"/>
      <c r="P16" s="1689"/>
      <c r="Q16" s="1689"/>
      <c r="R16" s="1689"/>
      <c r="S16" s="1690"/>
      <c r="T16" s="1689"/>
      <c r="U16" s="1689"/>
      <c r="V16" s="1689"/>
      <c r="W16" s="1689"/>
      <c r="X16" s="1689"/>
      <c r="Y16" s="1689"/>
      <c r="Z16" s="1689"/>
      <c r="AA16" s="1689"/>
      <c r="AB16" s="1689"/>
      <c r="AC16" s="1689"/>
      <c r="AD16" s="1689"/>
      <c r="AE16" s="1689"/>
      <c r="AF16" s="1689"/>
      <c r="AG16" s="1691"/>
      <c r="AH16" s="1691"/>
    </row>
    <row r="17" spans="1:34" x14ac:dyDescent="0.3">
      <c r="C17" s="859"/>
      <c r="D17" s="860"/>
      <c r="E17" s="860"/>
      <c r="H17" s="850"/>
    </row>
    <row r="18" spans="1:34" x14ac:dyDescent="0.3">
      <c r="A18" s="100" t="s">
        <v>769</v>
      </c>
      <c r="B18" s="769">
        <v>833932</v>
      </c>
      <c r="C18" s="1687"/>
      <c r="D18" s="10" t="s">
        <v>472</v>
      </c>
      <c r="E18" s="859">
        <v>1</v>
      </c>
      <c r="G18" s="11"/>
      <c r="H18" s="10" t="s">
        <v>470</v>
      </c>
      <c r="I18" s="859">
        <v>0.89</v>
      </c>
      <c r="K18" s="863"/>
      <c r="S18" s="1692"/>
    </row>
    <row r="19" spans="1:34" x14ac:dyDescent="0.3">
      <c r="A19" s="714" t="s">
        <v>579</v>
      </c>
      <c r="B19" s="770">
        <v>398911</v>
      </c>
      <c r="C19" s="859"/>
      <c r="D19" s="10" t="s">
        <v>861</v>
      </c>
      <c r="E19" s="10">
        <v>32</v>
      </c>
      <c r="G19" s="11"/>
      <c r="H19" s="10" t="s">
        <v>861</v>
      </c>
      <c r="I19" s="10">
        <v>26</v>
      </c>
      <c r="K19" s="863"/>
      <c r="S19" s="1692"/>
    </row>
    <row r="20" spans="1:34" x14ac:dyDescent="0.3">
      <c r="A20" s="1686"/>
      <c r="B20" s="1687"/>
      <c r="C20" s="1687"/>
      <c r="D20" s="10" t="s">
        <v>475</v>
      </c>
      <c r="E20" s="864">
        <v>3473</v>
      </c>
      <c r="G20" s="11"/>
      <c r="H20" s="10" t="s">
        <v>475</v>
      </c>
      <c r="I20" s="864">
        <v>2430</v>
      </c>
    </row>
    <row r="21" spans="1:34" x14ac:dyDescent="0.3">
      <c r="C21" s="859"/>
      <c r="D21" s="10" t="s">
        <v>477</v>
      </c>
      <c r="E21" s="864">
        <v>55405231</v>
      </c>
      <c r="G21" s="11"/>
      <c r="H21" s="10" t="s">
        <v>477</v>
      </c>
      <c r="I21" s="864">
        <v>39059441</v>
      </c>
    </row>
    <row r="22" spans="1:34" ht="18" x14ac:dyDescent="0.35">
      <c r="A22" s="1037" t="s">
        <v>479</v>
      </c>
      <c r="D22" s="11"/>
      <c r="E22" s="11"/>
      <c r="F22" s="11"/>
      <c r="G22" s="11"/>
      <c r="H22" s="11"/>
      <c r="I22" s="11"/>
      <c r="K22" s="863"/>
    </row>
    <row r="23" spans="1:34" x14ac:dyDescent="0.3">
      <c r="K23" s="863"/>
    </row>
    <row r="24" spans="1:34" x14ac:dyDescent="0.3">
      <c r="A24" s="2587" t="s">
        <v>480</v>
      </c>
      <c r="B24" s="2588"/>
      <c r="C24" s="2588"/>
      <c r="D24" s="2588"/>
      <c r="E24" s="2588"/>
      <c r="F24" s="2588"/>
      <c r="G24" s="2588"/>
      <c r="H24" s="2588"/>
      <c r="I24" s="2588"/>
      <c r="J24" s="2588"/>
      <c r="K24" s="2588"/>
      <c r="L24" s="2588"/>
      <c r="M24" s="2588"/>
      <c r="N24" s="2588"/>
      <c r="O24" s="2588"/>
      <c r="P24" s="2588"/>
      <c r="Q24" s="2588"/>
      <c r="R24" s="2588"/>
      <c r="S24" s="2589"/>
      <c r="T24" s="2864" t="s">
        <v>584</v>
      </c>
      <c r="U24" s="2865"/>
      <c r="V24" s="2865"/>
      <c r="W24" s="2865"/>
      <c r="X24" s="2865"/>
      <c r="Y24" s="2865"/>
      <c r="Z24" s="2865"/>
      <c r="AA24" s="2865"/>
      <c r="AB24" s="2865"/>
      <c r="AC24" s="2865"/>
      <c r="AD24" s="2865"/>
      <c r="AE24" s="2865"/>
      <c r="AF24" s="2865"/>
      <c r="AG24" s="2865"/>
      <c r="AH24" s="2879"/>
    </row>
    <row r="25" spans="1:34" ht="18" x14ac:dyDescent="0.3">
      <c r="A25" s="2722" t="s">
        <v>482</v>
      </c>
      <c r="B25" s="2723" t="s">
        <v>483</v>
      </c>
      <c r="C25" s="2723" t="s">
        <v>484</v>
      </c>
      <c r="D25" s="2723" t="s">
        <v>485</v>
      </c>
      <c r="E25" s="2723" t="s">
        <v>486</v>
      </c>
      <c r="F25" s="2724" t="s">
        <v>487</v>
      </c>
      <c r="G25" s="2724" t="s">
        <v>487</v>
      </c>
      <c r="H25" s="2723" t="s">
        <v>488</v>
      </c>
      <c r="I25" s="2723" t="s">
        <v>489</v>
      </c>
      <c r="J25" s="1381" t="s">
        <v>490</v>
      </c>
      <c r="K25" s="1381"/>
      <c r="L25" s="1381"/>
      <c r="M25" s="1381"/>
      <c r="N25" s="1382" t="s">
        <v>491</v>
      </c>
      <c r="O25" s="1383" t="s">
        <v>492</v>
      </c>
      <c r="P25" s="1383" t="s">
        <v>493</v>
      </c>
      <c r="Q25" s="1383" t="s">
        <v>492</v>
      </c>
      <c r="R25" s="1383" t="s">
        <v>494</v>
      </c>
      <c r="S25" s="1385" t="s">
        <v>495</v>
      </c>
      <c r="T25" s="1693" t="s">
        <v>496</v>
      </c>
      <c r="U25" s="2880" t="s">
        <v>497</v>
      </c>
      <c r="V25" s="2881"/>
      <c r="W25" s="2881"/>
      <c r="X25" s="2881"/>
      <c r="Y25" s="2881"/>
      <c r="Z25" s="2880" t="s">
        <v>498</v>
      </c>
      <c r="AA25" s="2881"/>
      <c r="AB25" s="2880" t="s">
        <v>499</v>
      </c>
      <c r="AC25" s="2881"/>
      <c r="AD25" s="2881"/>
      <c r="AE25" s="2881"/>
      <c r="AF25" s="2881"/>
      <c r="AG25" s="2881"/>
      <c r="AH25" s="2881"/>
    </row>
    <row r="26" spans="1:34" ht="18" x14ac:dyDescent="0.3">
      <c r="A26" s="2722"/>
      <c r="B26" s="2723"/>
      <c r="C26" s="2723"/>
      <c r="D26" s="2723"/>
      <c r="E26" s="2723"/>
      <c r="F26" s="2724"/>
      <c r="G26" s="2724"/>
      <c r="H26" s="2723"/>
      <c r="I26" s="2723"/>
      <c r="J26" s="1386" t="s">
        <v>500</v>
      </c>
      <c r="K26" s="1386" t="s">
        <v>501</v>
      </c>
      <c r="L26" s="1386" t="s">
        <v>502</v>
      </c>
      <c r="M26" s="1386" t="s">
        <v>503</v>
      </c>
      <c r="N26" s="1382" t="s">
        <v>504</v>
      </c>
      <c r="O26" s="1383" t="s">
        <v>505</v>
      </c>
      <c r="P26" s="1383" t="s">
        <v>506</v>
      </c>
      <c r="Q26" s="1383" t="s">
        <v>507</v>
      </c>
      <c r="R26" s="1383" t="s">
        <v>507</v>
      </c>
      <c r="S26" s="1385"/>
      <c r="T26" s="1693" t="s">
        <v>508</v>
      </c>
      <c r="U26" s="2882"/>
      <c r="V26" s="2883"/>
      <c r="W26" s="2883"/>
      <c r="X26" s="2883"/>
      <c r="Y26" s="2883"/>
      <c r="Z26" s="2882"/>
      <c r="AA26" s="2883"/>
      <c r="AB26" s="2882"/>
      <c r="AC26" s="2883"/>
      <c r="AD26" s="2883"/>
      <c r="AE26" s="2883"/>
      <c r="AF26" s="2883"/>
      <c r="AG26" s="2883"/>
      <c r="AH26" s="2883"/>
    </row>
    <row r="27" spans="1:34" ht="15.6" x14ac:dyDescent="0.3">
      <c r="A27" s="2884" t="s">
        <v>509</v>
      </c>
      <c r="B27" s="2885"/>
      <c r="C27" s="2885"/>
      <c r="D27" s="2885"/>
      <c r="E27" s="2885"/>
      <c r="F27" s="2885"/>
      <c r="G27" s="2885"/>
      <c r="H27" s="2885"/>
      <c r="I27" s="2885"/>
      <c r="J27" s="2885"/>
      <c r="K27" s="2885"/>
      <c r="L27" s="2885"/>
      <c r="M27" s="2885"/>
      <c r="N27" s="2885"/>
      <c r="O27" s="2885"/>
      <c r="P27" s="2885"/>
      <c r="Q27" s="2885"/>
      <c r="R27" s="2886"/>
      <c r="S27" s="1694"/>
      <c r="T27" s="1577"/>
      <c r="U27" s="1553" t="s">
        <v>510</v>
      </c>
      <c r="V27" s="1554" t="s">
        <v>11</v>
      </c>
      <c r="W27" s="1554" t="s">
        <v>511</v>
      </c>
      <c r="X27" s="1554" t="s">
        <v>512</v>
      </c>
      <c r="Y27" s="1578" t="s">
        <v>513</v>
      </c>
      <c r="Z27" s="1695" t="s">
        <v>514</v>
      </c>
      <c r="AA27" s="1696" t="s">
        <v>515</v>
      </c>
      <c r="AB27" s="1697" t="s">
        <v>1</v>
      </c>
      <c r="AC27" s="1697" t="s">
        <v>5</v>
      </c>
      <c r="AD27" s="1697" t="s">
        <v>156</v>
      </c>
      <c r="AE27" s="1697" t="s">
        <v>8</v>
      </c>
      <c r="AF27" s="1697" t="s">
        <v>9</v>
      </c>
      <c r="AG27" s="1697" t="s">
        <v>10</v>
      </c>
      <c r="AH27" s="1696" t="s">
        <v>140</v>
      </c>
    </row>
    <row r="28" spans="1:34" ht="15.6" x14ac:dyDescent="0.3">
      <c r="A28" s="874"/>
      <c r="B28" s="875"/>
      <c r="C28" s="875"/>
      <c r="D28" s="876"/>
      <c r="E28" s="876"/>
      <c r="F28" s="876"/>
      <c r="G28" s="876"/>
      <c r="H28" s="876"/>
      <c r="I28" s="876"/>
      <c r="J28" s="878"/>
      <c r="K28" s="878"/>
      <c r="L28" s="879"/>
      <c r="M28" s="880"/>
      <c r="N28" s="881"/>
      <c r="O28" s="1698"/>
      <c r="P28" s="1698"/>
      <c r="Q28" s="1699"/>
      <c r="R28" s="1700"/>
      <c r="S28" s="1701"/>
      <c r="T28" s="166"/>
      <c r="U28" s="206"/>
      <c r="V28" s="99"/>
      <c r="W28" s="99"/>
      <c r="X28" s="99"/>
      <c r="Y28" s="186"/>
      <c r="Z28" s="206"/>
      <c r="AA28" s="186"/>
      <c r="AB28" s="470"/>
      <c r="AC28" s="529"/>
      <c r="AD28" s="529"/>
      <c r="AE28" s="529"/>
      <c r="AF28" s="529"/>
      <c r="AG28" s="529"/>
      <c r="AH28" s="1500"/>
    </row>
    <row r="29" spans="1:34" ht="15.6" x14ac:dyDescent="0.3">
      <c r="A29" s="891" t="s">
        <v>1115</v>
      </c>
      <c r="B29" s="891" t="s">
        <v>20</v>
      </c>
      <c r="C29" s="891" t="s">
        <v>1116</v>
      </c>
      <c r="D29" s="891" t="s">
        <v>257</v>
      </c>
      <c r="E29" s="891" t="s">
        <v>518</v>
      </c>
      <c r="F29" s="158" t="s">
        <v>613</v>
      </c>
      <c r="G29" s="891">
        <v>46</v>
      </c>
      <c r="H29" s="893">
        <v>15</v>
      </c>
      <c r="I29" s="894" t="s">
        <v>22</v>
      </c>
      <c r="J29" s="878"/>
      <c r="K29" s="895">
        <v>15</v>
      </c>
      <c r="L29" s="879"/>
      <c r="M29" s="895">
        <v>15</v>
      </c>
      <c r="N29" s="896">
        <v>2</v>
      </c>
      <c r="O29" s="1702">
        <v>2851</v>
      </c>
      <c r="P29" s="1702">
        <v>0.59599999999999997</v>
      </c>
      <c r="Q29" s="1702">
        <f t="shared" ref="Q29:Q35" si="0">O29*(1-P29)</f>
        <v>1151.8040000000001</v>
      </c>
      <c r="R29" s="1702">
        <f t="shared" ref="R29:R35" si="1">Q29*H29*N29</f>
        <v>34554.120000000003</v>
      </c>
      <c r="S29" s="898">
        <f t="shared" ref="S29:S35" si="2">R29/$R$40</f>
        <v>7.1314478918837132E-2</v>
      </c>
      <c r="T29" s="166">
        <f t="shared" ref="T29:T38" si="3">R29*2</f>
        <v>69108.240000000005</v>
      </c>
      <c r="U29" s="206"/>
      <c r="V29" s="99">
        <f>T29</f>
        <v>69108.240000000005</v>
      </c>
      <c r="W29" s="99"/>
      <c r="X29" s="99"/>
      <c r="Y29" s="186"/>
      <c r="Z29" s="206"/>
      <c r="AA29" s="186">
        <f>T29</f>
        <v>69108.240000000005</v>
      </c>
      <c r="AB29" s="206">
        <f>T29</f>
        <v>69108.240000000005</v>
      </c>
      <c r="AC29" s="5"/>
      <c r="AD29" s="5"/>
      <c r="AE29" s="5"/>
      <c r="AF29" s="5"/>
      <c r="AG29" s="5"/>
      <c r="AH29" s="186"/>
    </row>
    <row r="30" spans="1:34" x14ac:dyDescent="0.3">
      <c r="A30" s="891" t="s">
        <v>1115</v>
      </c>
      <c r="B30" s="902" t="s">
        <v>108</v>
      </c>
      <c r="C30" s="902" t="s">
        <v>1039</v>
      </c>
      <c r="D30" s="902" t="s">
        <v>258</v>
      </c>
      <c r="E30" s="902" t="s">
        <v>518</v>
      </c>
      <c r="F30" s="158" t="s">
        <v>151</v>
      </c>
      <c r="G30" s="902">
        <v>40</v>
      </c>
      <c r="H30" s="902">
        <v>1</v>
      </c>
      <c r="I30" s="902" t="s">
        <v>22</v>
      </c>
      <c r="J30" s="906">
        <v>50</v>
      </c>
      <c r="K30" s="11"/>
      <c r="L30" s="11"/>
      <c r="M30" s="11"/>
      <c r="N30" s="896">
        <v>1</v>
      </c>
      <c r="O30" s="1702">
        <v>113400</v>
      </c>
      <c r="P30" s="1702">
        <v>0.25</v>
      </c>
      <c r="Q30" s="1702">
        <f t="shared" si="0"/>
        <v>85050</v>
      </c>
      <c r="R30" s="1702">
        <f t="shared" si="1"/>
        <v>85050</v>
      </c>
      <c r="S30" s="898">
        <f t="shared" si="2"/>
        <v>0.17553034000133985</v>
      </c>
      <c r="T30" s="166">
        <f t="shared" si="3"/>
        <v>170100</v>
      </c>
      <c r="U30" s="206"/>
      <c r="V30" s="99">
        <f>T30</f>
        <v>170100</v>
      </c>
      <c r="W30" s="99"/>
      <c r="X30" s="99"/>
      <c r="Y30" s="186"/>
      <c r="Z30" s="206"/>
      <c r="AA30" s="186">
        <f>T30</f>
        <v>170100</v>
      </c>
      <c r="AB30" s="206"/>
      <c r="AC30" s="5">
        <f>T30</f>
        <v>170100</v>
      </c>
      <c r="AD30" s="5"/>
      <c r="AE30" s="5"/>
      <c r="AF30" s="5"/>
      <c r="AG30" s="5"/>
      <c r="AH30" s="186"/>
    </row>
    <row r="31" spans="1:34" x14ac:dyDescent="0.3">
      <c r="A31" s="891" t="s">
        <v>1115</v>
      </c>
      <c r="B31" s="902" t="s">
        <v>158</v>
      </c>
      <c r="C31" s="902" t="s">
        <v>1116</v>
      </c>
      <c r="D31" s="902" t="s">
        <v>259</v>
      </c>
      <c r="E31" s="902" t="s">
        <v>520</v>
      </c>
      <c r="F31" s="158" t="s">
        <v>522</v>
      </c>
      <c r="G31" s="902">
        <v>140</v>
      </c>
      <c r="H31" s="902">
        <v>20</v>
      </c>
      <c r="I31" s="902" t="s">
        <v>22</v>
      </c>
      <c r="J31" s="13"/>
      <c r="K31" s="13"/>
      <c r="L31" s="905">
        <v>20</v>
      </c>
      <c r="M31" s="895">
        <v>20</v>
      </c>
      <c r="N31" s="896">
        <v>2</v>
      </c>
      <c r="O31" s="1702">
        <v>2000</v>
      </c>
      <c r="P31" s="1702">
        <v>0.25</v>
      </c>
      <c r="Q31" s="1702">
        <f t="shared" si="0"/>
        <v>1500</v>
      </c>
      <c r="R31" s="1702">
        <f t="shared" si="1"/>
        <v>60000</v>
      </c>
      <c r="S31" s="1705">
        <f t="shared" si="2"/>
        <v>0.12383092769053958</v>
      </c>
      <c r="T31" s="166">
        <f t="shared" si="3"/>
        <v>120000</v>
      </c>
      <c r="U31" s="206"/>
      <c r="V31" s="99">
        <f>T31</f>
        <v>120000</v>
      </c>
      <c r="W31" s="99"/>
      <c r="X31" s="99"/>
      <c r="Y31" s="186"/>
      <c r="Z31" s="206">
        <f>T31</f>
        <v>120000</v>
      </c>
      <c r="AA31" s="186"/>
      <c r="AB31" s="206"/>
      <c r="AC31" s="5"/>
      <c r="AD31" s="5">
        <f>T31</f>
        <v>120000</v>
      </c>
      <c r="AE31" s="5"/>
      <c r="AF31" s="5"/>
      <c r="AG31" s="5"/>
      <c r="AH31" s="186"/>
    </row>
    <row r="32" spans="1:34" x14ac:dyDescent="0.3">
      <c r="A32" s="891" t="s">
        <v>1115</v>
      </c>
      <c r="B32" s="902" t="s">
        <v>250</v>
      </c>
      <c r="C32" s="902" t="s">
        <v>1117</v>
      </c>
      <c r="D32" s="902" t="s">
        <v>27</v>
      </c>
      <c r="E32" s="902" t="s">
        <v>520</v>
      </c>
      <c r="F32" s="158" t="s">
        <v>779</v>
      </c>
      <c r="G32" s="902"/>
      <c r="H32" s="902">
        <v>20</v>
      </c>
      <c r="I32" s="902" t="s">
        <v>106</v>
      </c>
      <c r="J32" s="908">
        <v>20</v>
      </c>
      <c r="K32" s="895"/>
      <c r="L32" s="907"/>
      <c r="M32" s="907"/>
      <c r="N32" s="896">
        <v>1</v>
      </c>
      <c r="O32" s="1702">
        <f>3959*(1+50%)</f>
        <v>5938.5</v>
      </c>
      <c r="P32" s="1702">
        <v>0.25</v>
      </c>
      <c r="Q32" s="1702">
        <f t="shared" si="0"/>
        <v>4453.875</v>
      </c>
      <c r="R32" s="1702">
        <f t="shared" si="1"/>
        <v>89077.5</v>
      </c>
      <c r="S32" s="1705">
        <f t="shared" si="2"/>
        <v>0.18384249102256733</v>
      </c>
      <c r="T32" s="166">
        <f t="shared" si="3"/>
        <v>178155</v>
      </c>
      <c r="U32" s="206">
        <f>T32</f>
        <v>178155</v>
      </c>
      <c r="V32" s="99"/>
      <c r="W32" s="99"/>
      <c r="X32" s="99"/>
      <c r="Y32" s="186"/>
      <c r="Z32" s="206">
        <f>T32</f>
        <v>178155</v>
      </c>
      <c r="AA32" s="186"/>
      <c r="AB32" s="206"/>
      <c r="AC32" s="5"/>
      <c r="AD32" s="5"/>
      <c r="AE32" s="5">
        <f>T32</f>
        <v>178155</v>
      </c>
      <c r="AF32" s="5"/>
      <c r="AG32" s="5"/>
      <c r="AH32" s="186"/>
    </row>
    <row r="33" spans="1:34" x14ac:dyDescent="0.3">
      <c r="A33" s="891" t="s">
        <v>1115</v>
      </c>
      <c r="B33" s="902" t="s">
        <v>250</v>
      </c>
      <c r="C33" s="902" t="s">
        <v>1037</v>
      </c>
      <c r="D33" s="902" t="s">
        <v>260</v>
      </c>
      <c r="E33" s="902" t="s">
        <v>520</v>
      </c>
      <c r="F33" s="158" t="s">
        <v>641</v>
      </c>
      <c r="G33" s="902">
        <v>45</v>
      </c>
      <c r="H33" s="902">
        <v>6</v>
      </c>
      <c r="I33" s="902" t="s">
        <v>24</v>
      </c>
      <c r="J33" s="908">
        <v>6</v>
      </c>
      <c r="K33" s="895"/>
      <c r="L33" s="895"/>
      <c r="M33" s="2480"/>
      <c r="N33" s="896">
        <v>1</v>
      </c>
      <c r="O33" s="1706">
        <v>12000</v>
      </c>
      <c r="P33" s="1706">
        <v>0.25</v>
      </c>
      <c r="Q33" s="1706">
        <f t="shared" si="0"/>
        <v>9000</v>
      </c>
      <c r="R33" s="1702">
        <f t="shared" si="1"/>
        <v>54000</v>
      </c>
      <c r="S33" s="1705">
        <f t="shared" si="2"/>
        <v>0.11144783492148562</v>
      </c>
      <c r="T33" s="166">
        <f t="shared" si="3"/>
        <v>108000</v>
      </c>
      <c r="U33" s="206">
        <f>T33</f>
        <v>108000</v>
      </c>
      <c r="V33" s="99"/>
      <c r="W33" s="99"/>
      <c r="X33" s="99"/>
      <c r="Y33" s="186"/>
      <c r="Z33" s="206">
        <f>T33</f>
        <v>108000</v>
      </c>
      <c r="AA33" s="186"/>
      <c r="AB33" s="206"/>
      <c r="AC33" s="5"/>
      <c r="AD33" s="5"/>
      <c r="AE33" s="5">
        <f>T33</f>
        <v>108000</v>
      </c>
      <c r="AF33" s="5"/>
      <c r="AG33" s="5"/>
      <c r="AH33" s="186"/>
    </row>
    <row r="34" spans="1:34" x14ac:dyDescent="0.3">
      <c r="A34" s="891" t="s">
        <v>1115</v>
      </c>
      <c r="B34" s="902" t="s">
        <v>215</v>
      </c>
      <c r="C34" s="902" t="s">
        <v>1037</v>
      </c>
      <c r="D34" s="902" t="s">
        <v>261</v>
      </c>
      <c r="E34" s="902" t="s">
        <v>518</v>
      </c>
      <c r="F34" s="158" t="s">
        <v>895</v>
      </c>
      <c r="G34" s="902">
        <v>25</v>
      </c>
      <c r="H34" s="902">
        <v>4</v>
      </c>
      <c r="I34" s="902" t="s">
        <v>22</v>
      </c>
      <c r="J34" s="13"/>
      <c r="K34" s="905">
        <v>4</v>
      </c>
      <c r="L34" s="895"/>
      <c r="M34" s="11"/>
      <c r="N34" s="896">
        <v>1</v>
      </c>
      <c r="O34" s="1706">
        <v>7200</v>
      </c>
      <c r="P34" s="1706">
        <v>0.25</v>
      </c>
      <c r="Q34" s="1706">
        <f t="shared" si="0"/>
        <v>5400</v>
      </c>
      <c r="R34" s="1702">
        <f t="shared" si="1"/>
        <v>21600</v>
      </c>
      <c r="S34" s="898">
        <f t="shared" si="2"/>
        <v>4.4579133968594246E-2</v>
      </c>
      <c r="T34" s="166">
        <f t="shared" si="3"/>
        <v>43200</v>
      </c>
      <c r="U34" s="206">
        <f>T34</f>
        <v>43200</v>
      </c>
      <c r="V34" s="99"/>
      <c r="W34" s="99"/>
      <c r="X34" s="99"/>
      <c r="Y34" s="186"/>
      <c r="Z34" s="206"/>
      <c r="AA34" s="186">
        <f>T34</f>
        <v>43200</v>
      </c>
      <c r="AB34" s="206"/>
      <c r="AC34" s="5"/>
      <c r="AD34" s="5"/>
      <c r="AE34" s="5"/>
      <c r="AF34" s="5">
        <f>T34</f>
        <v>43200</v>
      </c>
      <c r="AG34" s="5"/>
      <c r="AH34" s="186"/>
    </row>
    <row r="35" spans="1:34" x14ac:dyDescent="0.3">
      <c r="A35" s="891" t="s">
        <v>1115</v>
      </c>
      <c r="B35" s="902" t="s">
        <v>215</v>
      </c>
      <c r="C35" s="902" t="s">
        <v>1037</v>
      </c>
      <c r="D35" s="902" t="s">
        <v>29</v>
      </c>
      <c r="E35" s="902" t="s">
        <v>520</v>
      </c>
      <c r="F35" s="158" t="s">
        <v>551</v>
      </c>
      <c r="G35" s="902">
        <v>10</v>
      </c>
      <c r="H35" s="902">
        <v>3</v>
      </c>
      <c r="I35" s="902" t="s">
        <v>24</v>
      </c>
      <c r="J35" s="908">
        <v>3</v>
      </c>
      <c r="K35" s="895"/>
      <c r="L35" s="895"/>
      <c r="M35" s="2480"/>
      <c r="N35" s="896">
        <v>1</v>
      </c>
      <c r="O35" s="1706">
        <v>35000</v>
      </c>
      <c r="P35" s="1706">
        <v>0.35</v>
      </c>
      <c r="Q35" s="1706">
        <f t="shared" si="0"/>
        <v>22750</v>
      </c>
      <c r="R35" s="1702">
        <f t="shared" si="1"/>
        <v>68250</v>
      </c>
      <c r="S35" s="1705">
        <f t="shared" si="2"/>
        <v>0.14085768024798878</v>
      </c>
      <c r="T35" s="166">
        <f t="shared" si="3"/>
        <v>136500</v>
      </c>
      <c r="U35" s="206">
        <f>T35</f>
        <v>136500</v>
      </c>
      <c r="V35" s="99"/>
      <c r="W35" s="99"/>
      <c r="X35" s="99"/>
      <c r="Y35" s="186"/>
      <c r="Z35" s="206">
        <f>T35</f>
        <v>136500</v>
      </c>
      <c r="AA35" s="186"/>
      <c r="AB35" s="206"/>
      <c r="AC35" s="5"/>
      <c r="AD35" s="5"/>
      <c r="AE35" s="5"/>
      <c r="AF35" s="5">
        <f>T35</f>
        <v>136500</v>
      </c>
      <c r="AG35" s="5"/>
      <c r="AH35" s="186"/>
    </row>
    <row r="36" spans="1:34" x14ac:dyDescent="0.3">
      <c r="A36" s="891"/>
      <c r="B36" s="902"/>
      <c r="C36" s="902"/>
      <c r="D36" s="902"/>
      <c r="E36" s="902"/>
      <c r="F36" s="902"/>
      <c r="G36" s="902"/>
      <c r="H36" s="902"/>
      <c r="I36" s="902"/>
      <c r="J36" s="914"/>
      <c r="K36" s="914"/>
      <c r="L36" s="912"/>
      <c r="M36" s="912"/>
      <c r="N36" s="896"/>
      <c r="O36" s="1706"/>
      <c r="P36" s="1706"/>
      <c r="Q36" s="1706"/>
      <c r="R36" s="1706"/>
      <c r="S36" s="910"/>
      <c r="T36" s="166"/>
      <c r="U36" s="206"/>
      <c r="V36" s="99"/>
      <c r="W36" s="99"/>
      <c r="X36" s="99"/>
      <c r="Y36" s="186"/>
      <c r="Z36" s="206"/>
      <c r="AA36" s="186"/>
      <c r="AB36" s="206"/>
      <c r="AC36" s="5"/>
      <c r="AD36" s="5"/>
      <c r="AE36" s="5"/>
      <c r="AF36" s="5"/>
      <c r="AG36" s="5"/>
      <c r="AH36" s="186"/>
    </row>
    <row r="37" spans="1:34" x14ac:dyDescent="0.3">
      <c r="A37" s="915" t="s">
        <v>1115</v>
      </c>
      <c r="B37" s="916" t="s">
        <v>528</v>
      </c>
      <c r="C37" s="916" t="s">
        <v>1118</v>
      </c>
      <c r="D37" s="916"/>
      <c r="E37" s="916"/>
      <c r="F37" s="916"/>
      <c r="G37" s="916"/>
      <c r="H37" s="916"/>
      <c r="I37" s="916"/>
      <c r="J37" s="918"/>
      <c r="K37" s="918"/>
      <c r="L37" s="919"/>
      <c r="M37" s="919"/>
      <c r="N37" s="920"/>
      <c r="O37" s="1707"/>
      <c r="P37" s="1707"/>
      <c r="Q37" s="1707"/>
      <c r="R37" s="1707">
        <v>47000</v>
      </c>
      <c r="S37" s="922">
        <f>R37/R40</f>
        <v>9.7000893357589338E-2</v>
      </c>
      <c r="T37" s="473">
        <f t="shared" si="3"/>
        <v>94000</v>
      </c>
      <c r="U37" s="206"/>
      <c r="V37" s="99"/>
      <c r="W37" s="99"/>
      <c r="X37" s="99">
        <f>T37</f>
        <v>94000</v>
      </c>
      <c r="Y37" s="186"/>
      <c r="Z37" s="206"/>
      <c r="AA37" s="186"/>
      <c r="AB37" s="206"/>
      <c r="AC37" s="5"/>
      <c r="AD37" s="5"/>
      <c r="AE37" s="5"/>
      <c r="AF37" s="5"/>
      <c r="AG37" s="5"/>
      <c r="AH37" s="186"/>
    </row>
    <row r="38" spans="1:34" x14ac:dyDescent="0.3">
      <c r="A38" s="915" t="s">
        <v>1115</v>
      </c>
      <c r="B38" s="916" t="s">
        <v>529</v>
      </c>
      <c r="C38" s="916"/>
      <c r="D38" s="916"/>
      <c r="E38" s="916"/>
      <c r="F38" s="916"/>
      <c r="G38" s="916"/>
      <c r="H38" s="916"/>
      <c r="I38" s="916"/>
      <c r="J38" s="924"/>
      <c r="K38" s="924"/>
      <c r="L38" s="924"/>
      <c r="M38" s="924"/>
      <c r="N38" s="916"/>
      <c r="O38" s="1708"/>
      <c r="P38" s="1708"/>
      <c r="Q38" s="1708"/>
      <c r="R38" s="1709">
        <v>25000</v>
      </c>
      <c r="S38" s="1710">
        <f>R38/R40</f>
        <v>5.1596219871058155E-2</v>
      </c>
      <c r="T38" s="473">
        <f t="shared" si="3"/>
        <v>50000</v>
      </c>
      <c r="U38" s="206"/>
      <c r="V38" s="99"/>
      <c r="W38" s="99"/>
      <c r="X38" s="99"/>
      <c r="Y38" s="186">
        <f>T38</f>
        <v>50000</v>
      </c>
      <c r="Z38" s="206"/>
      <c r="AA38" s="186"/>
      <c r="AB38" s="206"/>
      <c r="AC38" s="5"/>
      <c r="AD38" s="5"/>
      <c r="AE38" s="5"/>
      <c r="AF38" s="5"/>
      <c r="AG38" s="5"/>
      <c r="AH38" s="186"/>
    </row>
    <row r="39" spans="1:34" x14ac:dyDescent="0.3">
      <c r="A39" s="929"/>
      <c r="J39" s="1684">
        <f>J40/$N$40</f>
        <v>0.59398496240601506</v>
      </c>
      <c r="K39" s="1684">
        <f t="shared" ref="K39:M39" si="4">K40/$N$40</f>
        <v>0.14285714285714285</v>
      </c>
      <c r="L39" s="1684">
        <f t="shared" si="4"/>
        <v>0.15037593984962405</v>
      </c>
      <c r="M39" s="1684">
        <f t="shared" si="4"/>
        <v>0.11278195488721804</v>
      </c>
      <c r="R39" s="1711"/>
      <c r="S39" s="1712"/>
      <c r="T39" s="473"/>
      <c r="U39" s="206"/>
      <c r="V39" s="99"/>
      <c r="W39" s="99"/>
      <c r="X39" s="99"/>
      <c r="Y39" s="186"/>
      <c r="Z39" s="206"/>
      <c r="AA39" s="186"/>
      <c r="AB39" s="206"/>
      <c r="AC39" s="5"/>
      <c r="AD39" s="5"/>
      <c r="AE39" s="5"/>
      <c r="AF39" s="5"/>
      <c r="AG39" s="5"/>
      <c r="AH39" s="186"/>
    </row>
    <row r="40" spans="1:34" x14ac:dyDescent="0.3">
      <c r="A40" s="938" t="s">
        <v>531</v>
      </c>
      <c r="B40" s="939"/>
      <c r="C40" s="939"/>
      <c r="D40" s="939"/>
      <c r="E40" s="939"/>
      <c r="F40" s="939"/>
      <c r="G40" s="939"/>
      <c r="H40" s="939"/>
      <c r="I40" s="939"/>
      <c r="J40" s="941">
        <f>J35+J33+J32+J30</f>
        <v>79</v>
      </c>
      <c r="K40" s="942">
        <f>K29+K34</f>
        <v>19</v>
      </c>
      <c r="L40" s="941">
        <f>L31</f>
        <v>20</v>
      </c>
      <c r="M40" s="941">
        <f>M29</f>
        <v>15</v>
      </c>
      <c r="N40" s="941">
        <f>SUM(J40:M40)</f>
        <v>133</v>
      </c>
      <c r="O40" s="1713"/>
      <c r="P40" s="1713"/>
      <c r="Q40" s="1713"/>
      <c r="R40" s="1714">
        <f>SUM(R29:R38)</f>
        <v>484531.62</v>
      </c>
      <c r="S40" s="1715">
        <f>SUM(S29:S38)</f>
        <v>1</v>
      </c>
      <c r="T40" s="1716">
        <f>SUM(T28:T38)</f>
        <v>969063.24</v>
      </c>
      <c r="U40" s="1657">
        <f>SUM(U29:U39)</f>
        <v>465855</v>
      </c>
      <c r="V40" s="616">
        <f>SUM(V29:V39)</f>
        <v>359208.24</v>
      </c>
      <c r="W40" s="616"/>
      <c r="X40" s="616">
        <f t="shared" ref="X40:AF40" si="5">SUM(X29:X39)</f>
        <v>94000</v>
      </c>
      <c r="Y40" s="616">
        <f t="shared" si="5"/>
        <v>50000</v>
      </c>
      <c r="Z40" s="226">
        <f t="shared" si="5"/>
        <v>542655</v>
      </c>
      <c r="AA40" s="1717">
        <f t="shared" si="5"/>
        <v>282408.24</v>
      </c>
      <c r="AB40" s="1657">
        <f t="shared" si="5"/>
        <v>69108.240000000005</v>
      </c>
      <c r="AC40" s="616">
        <f t="shared" si="5"/>
        <v>170100</v>
      </c>
      <c r="AD40" s="616">
        <f t="shared" si="5"/>
        <v>120000</v>
      </c>
      <c r="AE40" s="616">
        <f t="shared" si="5"/>
        <v>286155</v>
      </c>
      <c r="AF40" s="616">
        <f t="shared" si="5"/>
        <v>179700</v>
      </c>
      <c r="AG40" s="616"/>
      <c r="AH40" s="227"/>
    </row>
    <row r="41" spans="1:34" x14ac:dyDescent="0.3">
      <c r="A41" s="948" t="s">
        <v>532</v>
      </c>
      <c r="B41" s="949"/>
      <c r="C41" s="949"/>
      <c r="D41" s="949"/>
      <c r="E41" s="949"/>
      <c r="F41" s="949"/>
      <c r="G41" s="949"/>
      <c r="H41" s="949"/>
      <c r="I41" s="949"/>
      <c r="J41" s="951">
        <f>J35+J33+J30+J32</f>
        <v>79</v>
      </c>
      <c r="K41" s="951">
        <f>J35+K34+J33+J32+K29</f>
        <v>48</v>
      </c>
      <c r="L41" s="951">
        <f>J35+K34+J33+L31</f>
        <v>33</v>
      </c>
      <c r="M41" s="951">
        <f>J35+J33+M31+M29</f>
        <v>44</v>
      </c>
      <c r="N41" s="952">
        <f>J41+K41+L41+M45+M41</f>
        <v>204</v>
      </c>
      <c r="O41" s="1718"/>
      <c r="P41" s="1718"/>
      <c r="Q41" s="1718"/>
      <c r="R41" s="1719"/>
      <c r="S41" s="1720"/>
      <c r="T41" s="1721"/>
      <c r="U41" s="1491">
        <f>U40/T40</f>
        <v>0.48072714016063595</v>
      </c>
      <c r="V41" s="236">
        <f>V40/T40</f>
        <v>0.37067574661071656</v>
      </c>
      <c r="W41" s="1533"/>
      <c r="X41" s="236">
        <f>X40/T40</f>
        <v>9.7000893357589338E-2</v>
      </c>
      <c r="Y41" s="236">
        <f>Y40/T40</f>
        <v>5.1596219871058155E-2</v>
      </c>
      <c r="Z41" s="272">
        <f>Z40/T40</f>
        <v>0.55997893388258124</v>
      </c>
      <c r="AA41" s="485">
        <f>AA40/T40</f>
        <v>0.29142395288877121</v>
      </c>
      <c r="AB41" s="1722"/>
      <c r="AC41" s="1723"/>
      <c r="AD41" s="1723"/>
      <c r="AE41" s="1723"/>
      <c r="AF41" s="1723"/>
      <c r="AG41" s="1723"/>
      <c r="AH41" s="1724"/>
    </row>
    <row r="42" spans="1:34" x14ac:dyDescent="0.3">
      <c r="A42" s="251" t="s">
        <v>533</v>
      </c>
      <c r="B42" s="1725"/>
      <c r="C42" s="1725"/>
      <c r="D42" s="1725"/>
      <c r="E42" s="1725"/>
      <c r="F42" s="1725"/>
      <c r="G42" s="1725"/>
      <c r="H42" s="1725"/>
      <c r="I42" s="1725"/>
      <c r="J42" s="2201">
        <f>J41/$N$41</f>
        <v>0.38725490196078433</v>
      </c>
      <c r="K42" s="2201">
        <f t="shared" ref="K42:M42" si="6">K41/$N$41</f>
        <v>0.23529411764705882</v>
      </c>
      <c r="L42" s="2201">
        <f t="shared" si="6"/>
        <v>0.16176470588235295</v>
      </c>
      <c r="M42" s="2201">
        <f t="shared" si="6"/>
        <v>0.21568627450980393</v>
      </c>
      <c r="N42" s="2201"/>
      <c r="O42" s="1727"/>
      <c r="P42" s="1728"/>
      <c r="Q42" s="1728"/>
      <c r="R42" s="1729">
        <f>U40/2</f>
        <v>232927.5</v>
      </c>
      <c r="S42" s="1730">
        <f>R42/R47</f>
        <v>0.48072714016063595</v>
      </c>
      <c r="T42" s="99"/>
      <c r="U42" s="99"/>
      <c r="V42" s="99"/>
      <c r="W42" s="99"/>
      <c r="X42" s="99"/>
      <c r="Y42" s="600"/>
      <c r="Z42" s="1731">
        <f>L31+M31+J32+J33+J35</f>
        <v>69</v>
      </c>
      <c r="AA42" s="1732">
        <f>K29+M29+J30+K34</f>
        <v>84</v>
      </c>
      <c r="AB42" s="99"/>
      <c r="AC42" s="99"/>
      <c r="AD42" s="99"/>
      <c r="AE42" s="99"/>
      <c r="AF42" s="99"/>
      <c r="AG42" s="99"/>
      <c r="AH42" s="99"/>
    </row>
    <row r="43" spans="1:34" x14ac:dyDescent="0.3">
      <c r="A43" s="251" t="s">
        <v>11</v>
      </c>
      <c r="B43" s="1733"/>
      <c r="C43" s="1733"/>
      <c r="D43" s="1734"/>
      <c r="E43" s="1734"/>
      <c r="F43" s="1733"/>
      <c r="G43" s="1733"/>
      <c r="H43" s="1733"/>
      <c r="I43" s="1733"/>
      <c r="J43" s="1733"/>
      <c r="K43" s="1733"/>
      <c r="L43" s="1733"/>
      <c r="M43" s="1735"/>
      <c r="N43" s="1735"/>
      <c r="O43" s="1736"/>
      <c r="P43" s="1737"/>
      <c r="Q43" s="1737"/>
      <c r="R43" s="1738">
        <f>V40/2</f>
        <v>179604.12</v>
      </c>
      <c r="S43" s="1730">
        <f>R43/R47</f>
        <v>0.37067574661071656</v>
      </c>
      <c r="T43" s="1050">
        <f>R40/N40</f>
        <v>3643.0948872180452</v>
      </c>
      <c r="U43" s="1739" t="s">
        <v>535</v>
      </c>
      <c r="V43" s="99"/>
      <c r="W43" s="99"/>
      <c r="X43" s="99"/>
      <c r="Y43" s="99"/>
      <c r="Z43" s="195">
        <f>Z42/N40</f>
        <v>0.51879699248120303</v>
      </c>
      <c r="AA43" s="247">
        <f>AA42/N40</f>
        <v>0.63157894736842102</v>
      </c>
      <c r="AB43" s="99"/>
      <c r="AC43" s="99"/>
      <c r="AD43" s="99"/>
      <c r="AE43" s="99"/>
      <c r="AF43" s="99"/>
      <c r="AG43" s="99"/>
      <c r="AH43" s="99"/>
    </row>
    <row r="44" spans="1:34" x14ac:dyDescent="0.3">
      <c r="A44" s="251" t="s">
        <v>536</v>
      </c>
      <c r="B44" s="1733"/>
      <c r="C44" s="1733"/>
      <c r="D44" s="1734"/>
      <c r="E44" s="1734"/>
      <c r="F44" s="1735"/>
      <c r="G44" s="1733"/>
      <c r="H44" s="1733"/>
      <c r="I44" s="1733"/>
      <c r="J44" s="1733"/>
      <c r="K44" s="1733"/>
      <c r="L44" s="1733"/>
      <c r="M44" s="1733"/>
      <c r="N44" s="1733"/>
      <c r="O44" s="1737"/>
      <c r="P44" s="1737"/>
      <c r="Q44" s="1737"/>
      <c r="R44" s="1738"/>
      <c r="S44" s="1730">
        <f>R44/R47</f>
        <v>0</v>
      </c>
      <c r="T44" s="99"/>
      <c r="U44" s="99"/>
      <c r="V44" s="99"/>
      <c r="W44" s="99"/>
      <c r="X44" s="99"/>
      <c r="Y44" s="99"/>
      <c r="Z44" s="2863" t="s">
        <v>537</v>
      </c>
      <c r="AA44" s="2863"/>
      <c r="AB44" s="99"/>
      <c r="AC44" s="99"/>
      <c r="AD44" s="99"/>
      <c r="AE44" s="99"/>
      <c r="AF44" s="99"/>
      <c r="AG44" s="99"/>
      <c r="AH44" s="99"/>
    </row>
    <row r="45" spans="1:34" x14ac:dyDescent="0.3">
      <c r="A45" s="251" t="s">
        <v>528</v>
      </c>
      <c r="B45" s="1733"/>
      <c r="C45" s="1733"/>
      <c r="D45" s="1733"/>
      <c r="E45" s="1733"/>
      <c r="F45" s="1733"/>
      <c r="G45" s="1733"/>
      <c r="H45" s="1733"/>
      <c r="I45" s="1733"/>
      <c r="J45" s="1733"/>
      <c r="K45" s="1733"/>
      <c r="L45" s="1733"/>
      <c r="M45" s="1733"/>
      <c r="N45" s="1733"/>
      <c r="O45" s="1737"/>
      <c r="P45" s="1737"/>
      <c r="Q45" s="1737"/>
      <c r="R45" s="1738">
        <f>X40/2</f>
        <v>47000</v>
      </c>
      <c r="S45" s="1730">
        <f>R45/R47</f>
        <v>9.7000893357589338E-2</v>
      </c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</row>
    <row r="46" spans="1:34" x14ac:dyDescent="0.3">
      <c r="A46" s="251" t="s">
        <v>529</v>
      </c>
      <c r="B46" s="1733"/>
      <c r="C46" s="1733"/>
      <c r="D46" s="1733"/>
      <c r="E46" s="1733"/>
      <c r="F46" s="1733"/>
      <c r="G46" s="1733"/>
      <c r="H46" s="1733"/>
      <c r="I46" s="1733"/>
      <c r="J46" s="1733"/>
      <c r="K46" s="1733"/>
      <c r="L46" s="1733"/>
      <c r="M46" s="1733"/>
      <c r="N46" s="1733"/>
      <c r="O46" s="1737"/>
      <c r="P46" s="1737"/>
      <c r="Q46" s="1737"/>
      <c r="R46" s="1738">
        <f>Y40/2</f>
        <v>25000</v>
      </c>
      <c r="S46" s="1730">
        <f>R46/R47</f>
        <v>5.1596219871058155E-2</v>
      </c>
      <c r="T46" s="1740"/>
      <c r="U46" s="1740"/>
      <c r="V46" s="1740"/>
      <c r="W46" s="1740"/>
      <c r="X46" s="1740"/>
      <c r="Y46" s="1740"/>
      <c r="Z46" s="1740"/>
      <c r="AA46" s="1740"/>
      <c r="AB46" s="1740"/>
      <c r="AC46" s="1740"/>
      <c r="AD46" s="1740"/>
      <c r="AE46" s="1740"/>
      <c r="AF46" s="1740"/>
      <c r="AG46" s="1740"/>
      <c r="AH46" s="1740"/>
    </row>
    <row r="47" spans="1:34" x14ac:dyDescent="0.3">
      <c r="A47" s="251"/>
      <c r="B47" s="1733"/>
      <c r="C47" s="1733"/>
      <c r="D47" s="1733"/>
      <c r="E47" s="1733"/>
      <c r="F47" s="1733"/>
      <c r="G47" s="1733"/>
      <c r="H47" s="1733"/>
      <c r="I47" s="1733"/>
      <c r="J47" s="1733"/>
      <c r="K47" s="1733"/>
      <c r="L47" s="1733"/>
      <c r="M47" s="1733"/>
      <c r="N47" s="1733"/>
      <c r="O47" s="1737"/>
      <c r="P47" s="1737"/>
      <c r="Q47" s="1737"/>
      <c r="R47" s="1738">
        <f>SUM(R42:R46)</f>
        <v>484531.62</v>
      </c>
      <c r="S47" s="1741">
        <f>SUM(S42:S46)</f>
        <v>1</v>
      </c>
      <c r="T47" s="1740"/>
      <c r="U47" s="1740"/>
      <c r="V47" s="1740"/>
      <c r="W47" s="1740"/>
      <c r="X47" s="1740"/>
      <c r="Y47" s="1740"/>
      <c r="Z47" s="1740"/>
      <c r="AA47" s="1740"/>
      <c r="AB47" s="1740"/>
      <c r="AC47" s="1740"/>
      <c r="AD47" s="1740"/>
      <c r="AE47" s="1740"/>
      <c r="AF47" s="1740"/>
      <c r="AG47" s="1740"/>
      <c r="AH47" s="1740"/>
    </row>
    <row r="48" spans="1:34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3"/>
      <c r="L48" s="11"/>
      <c r="M48" s="11"/>
      <c r="N48" s="11"/>
      <c r="O48" s="1742"/>
      <c r="P48" s="1742"/>
      <c r="Q48" s="1742"/>
      <c r="R48" s="1742"/>
      <c r="S48" s="966"/>
      <c r="T48" s="1743"/>
      <c r="U48" s="1743"/>
      <c r="V48" s="1743"/>
      <c r="W48" s="1743"/>
      <c r="X48" s="1743"/>
      <c r="Y48" s="1743"/>
      <c r="Z48" s="1743"/>
      <c r="AA48" s="1743"/>
      <c r="AB48" s="1743"/>
      <c r="AC48" s="1743"/>
      <c r="AD48" s="1743"/>
      <c r="AE48" s="1743"/>
      <c r="AF48" s="1743"/>
      <c r="AG48" s="1743"/>
      <c r="AH48" s="1743"/>
    </row>
    <row r="49" spans="1:34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3"/>
      <c r="L49" s="11"/>
      <c r="M49" s="11"/>
      <c r="N49" s="11"/>
      <c r="O49" s="1742"/>
      <c r="P49" s="1742"/>
      <c r="Q49" s="1742"/>
      <c r="R49" s="1742"/>
      <c r="S49" s="966"/>
      <c r="T49" s="1743"/>
      <c r="U49" s="1743"/>
      <c r="V49" s="1743"/>
      <c r="W49" s="1743"/>
      <c r="X49" s="1743"/>
      <c r="Y49" s="1743"/>
      <c r="Z49" s="1743"/>
      <c r="AA49" s="1743"/>
      <c r="AB49" s="1743"/>
      <c r="AC49" s="1743"/>
      <c r="AD49" s="1743"/>
      <c r="AE49" s="1743"/>
      <c r="AF49" s="1743"/>
      <c r="AG49" s="1743"/>
      <c r="AH49" s="1743"/>
    </row>
    <row r="50" spans="1:34" ht="18" x14ac:dyDescent="0.35">
      <c r="A50" s="1037" t="s">
        <v>538</v>
      </c>
      <c r="B50" s="11"/>
      <c r="C50" s="11"/>
      <c r="D50" s="11"/>
      <c r="E50" s="11"/>
      <c r="F50" s="11"/>
      <c r="G50" s="11"/>
      <c r="H50" s="11"/>
      <c r="I50" s="11"/>
      <c r="J50" s="11"/>
      <c r="K50" s="13"/>
      <c r="L50" s="11"/>
      <c r="M50" s="11"/>
      <c r="N50" s="11"/>
      <c r="O50" s="1742"/>
      <c r="P50" s="1742"/>
      <c r="Q50" s="1742"/>
      <c r="R50" s="1742"/>
      <c r="S50" s="966"/>
      <c r="T50" s="1743"/>
      <c r="U50" s="1743"/>
      <c r="V50" s="1743"/>
      <c r="W50" s="1743"/>
      <c r="X50" s="1743"/>
      <c r="Y50" s="1743"/>
      <c r="Z50" s="1743"/>
      <c r="AA50" s="1743"/>
      <c r="AB50" s="1743"/>
      <c r="AC50" s="1743"/>
      <c r="AD50" s="1743"/>
      <c r="AE50" s="1743"/>
      <c r="AF50" s="1743"/>
      <c r="AG50" s="1743"/>
      <c r="AH50" s="1743"/>
    </row>
    <row r="51" spans="1:34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3"/>
      <c r="L51" s="11"/>
      <c r="M51" s="11"/>
      <c r="N51" s="11"/>
      <c r="O51" s="1742"/>
      <c r="P51" s="1742"/>
      <c r="Q51" s="1742"/>
      <c r="R51" s="1742"/>
      <c r="S51" s="966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</row>
    <row r="52" spans="1:34" x14ac:dyDescent="0.3">
      <c r="A52" s="2560" t="s">
        <v>480</v>
      </c>
      <c r="B52" s="2561"/>
      <c r="C52" s="2561"/>
      <c r="D52" s="2561"/>
      <c r="E52" s="2561"/>
      <c r="F52" s="2561"/>
      <c r="G52" s="2561"/>
      <c r="H52" s="2561"/>
      <c r="I52" s="2561"/>
      <c r="J52" s="2561"/>
      <c r="K52" s="2561"/>
      <c r="L52" s="2561"/>
      <c r="M52" s="2561"/>
      <c r="N52" s="2561"/>
      <c r="O52" s="2561"/>
      <c r="P52" s="2561"/>
      <c r="Q52" s="2561"/>
      <c r="R52" s="2561"/>
      <c r="S52" s="2562"/>
      <c r="T52" s="2864" t="s">
        <v>584</v>
      </c>
      <c r="U52" s="2865"/>
      <c r="V52" s="2865"/>
      <c r="W52" s="2865"/>
      <c r="X52" s="2865"/>
      <c r="Y52" s="2865"/>
      <c r="Z52" s="2865"/>
      <c r="AA52" s="2865"/>
      <c r="AB52" s="2865"/>
      <c r="AC52" s="2865"/>
      <c r="AD52" s="2865"/>
      <c r="AE52" s="2865"/>
      <c r="AF52" s="2865"/>
      <c r="AG52" s="2865"/>
      <c r="AH52" s="2879"/>
    </row>
    <row r="53" spans="1:34" x14ac:dyDescent="0.3">
      <c r="A53" s="2878" t="s">
        <v>482</v>
      </c>
      <c r="B53" s="2874" t="s">
        <v>483</v>
      </c>
      <c r="C53" s="2874" t="s">
        <v>484</v>
      </c>
      <c r="D53" s="2874" t="s">
        <v>485</v>
      </c>
      <c r="E53" s="2874" t="s">
        <v>486</v>
      </c>
      <c r="F53" s="2873" t="s">
        <v>487</v>
      </c>
      <c r="G53" s="2873" t="s">
        <v>487</v>
      </c>
      <c r="H53" s="2874" t="s">
        <v>488</v>
      </c>
      <c r="I53" s="2874" t="s">
        <v>489</v>
      </c>
      <c r="J53" s="2875" t="s">
        <v>490</v>
      </c>
      <c r="K53" s="2875"/>
      <c r="L53" s="2875"/>
      <c r="M53" s="2875"/>
      <c r="N53" s="1744" t="s">
        <v>491</v>
      </c>
      <c r="O53" s="1745" t="s">
        <v>492</v>
      </c>
      <c r="P53" s="1745" t="s">
        <v>493</v>
      </c>
      <c r="Q53" s="1745" t="s">
        <v>492</v>
      </c>
      <c r="R53" s="1745" t="s">
        <v>494</v>
      </c>
      <c r="S53" s="1746" t="s">
        <v>495</v>
      </c>
      <c r="T53" s="1747" t="s">
        <v>496</v>
      </c>
      <c r="U53" s="2866" t="s">
        <v>497</v>
      </c>
      <c r="V53" s="2867"/>
      <c r="W53" s="2867"/>
      <c r="X53" s="2867"/>
      <c r="Y53" s="2876"/>
      <c r="Z53" s="2866" t="s">
        <v>498</v>
      </c>
      <c r="AA53" s="2876"/>
      <c r="AB53" s="2866" t="s">
        <v>499</v>
      </c>
      <c r="AC53" s="2867"/>
      <c r="AD53" s="2867"/>
      <c r="AE53" s="2867"/>
      <c r="AF53" s="2867"/>
      <c r="AG53" s="2867"/>
      <c r="AH53" s="2867"/>
    </row>
    <row r="54" spans="1:34" x14ac:dyDescent="0.3">
      <c r="A54" s="2798"/>
      <c r="B54" s="2799"/>
      <c r="C54" s="2799"/>
      <c r="D54" s="2799"/>
      <c r="E54" s="2799"/>
      <c r="F54" s="2800"/>
      <c r="G54" s="2800"/>
      <c r="H54" s="2799"/>
      <c r="I54" s="2799"/>
      <c r="J54" s="1595" t="s">
        <v>500</v>
      </c>
      <c r="K54" s="1595" t="s">
        <v>501</v>
      </c>
      <c r="L54" s="1595" t="s">
        <v>502</v>
      </c>
      <c r="M54" s="1595" t="s">
        <v>503</v>
      </c>
      <c r="N54" s="1381" t="s">
        <v>504</v>
      </c>
      <c r="O54" s="1596" t="s">
        <v>505</v>
      </c>
      <c r="P54" s="1596" t="s">
        <v>506</v>
      </c>
      <c r="Q54" s="1596" t="s">
        <v>507</v>
      </c>
      <c r="R54" s="1596" t="s">
        <v>507</v>
      </c>
      <c r="S54" s="1597"/>
      <c r="T54" s="1748" t="s">
        <v>508</v>
      </c>
      <c r="U54" s="2868"/>
      <c r="V54" s="2869"/>
      <c r="W54" s="2869"/>
      <c r="X54" s="2869"/>
      <c r="Y54" s="2877"/>
      <c r="Z54" s="2868"/>
      <c r="AA54" s="2877"/>
      <c r="AB54" s="2868"/>
      <c r="AC54" s="2869"/>
      <c r="AD54" s="2869"/>
      <c r="AE54" s="2869"/>
      <c r="AF54" s="2869"/>
      <c r="AG54" s="2869"/>
      <c r="AH54" s="2869"/>
    </row>
    <row r="55" spans="1:34" x14ac:dyDescent="0.3">
      <c r="A55" s="2870" t="s">
        <v>540</v>
      </c>
      <c r="B55" s="2871"/>
      <c r="C55" s="2871"/>
      <c r="D55" s="2871"/>
      <c r="E55" s="2871"/>
      <c r="F55" s="2871"/>
      <c r="G55" s="2871"/>
      <c r="H55" s="2871"/>
      <c r="I55" s="2871"/>
      <c r="J55" s="2871"/>
      <c r="K55" s="2871"/>
      <c r="L55" s="2871"/>
      <c r="M55" s="2871"/>
      <c r="N55" s="2871"/>
      <c r="O55" s="2871"/>
      <c r="P55" s="2871"/>
      <c r="Q55" s="2871"/>
      <c r="R55" s="2872"/>
      <c r="S55" s="1749"/>
      <c r="T55" s="1750"/>
      <c r="U55" s="498" t="s">
        <v>510</v>
      </c>
      <c r="V55" s="496" t="s">
        <v>11</v>
      </c>
      <c r="W55" s="496" t="s">
        <v>511</v>
      </c>
      <c r="X55" s="496" t="s">
        <v>512</v>
      </c>
      <c r="Y55" s="497" t="s">
        <v>513</v>
      </c>
      <c r="Z55" s="1751" t="s">
        <v>514</v>
      </c>
      <c r="AA55" s="1752" t="s">
        <v>515</v>
      </c>
      <c r="AB55" s="1751" t="s">
        <v>1</v>
      </c>
      <c r="AC55" s="1753" t="s">
        <v>5</v>
      </c>
      <c r="AD55" s="1753" t="s">
        <v>156</v>
      </c>
      <c r="AE55" s="1753" t="s">
        <v>8</v>
      </c>
      <c r="AF55" s="1753" t="s">
        <v>9</v>
      </c>
      <c r="AG55" s="1753" t="s">
        <v>10</v>
      </c>
      <c r="AH55" s="1752" t="s">
        <v>140</v>
      </c>
    </row>
    <row r="56" spans="1:34" ht="15.6" x14ac:dyDescent="0.3">
      <c r="A56" s="1754"/>
      <c r="B56" s="1754"/>
      <c r="C56" s="1754"/>
      <c r="D56" s="876"/>
      <c r="E56" s="876"/>
      <c r="F56" s="876"/>
      <c r="G56" s="876"/>
      <c r="H56" s="876"/>
      <c r="I56" s="876"/>
      <c r="J56" s="878"/>
      <c r="K56" s="878"/>
      <c r="L56" s="879"/>
      <c r="M56" s="880"/>
      <c r="N56" s="881"/>
      <c r="O56" s="1698"/>
      <c r="P56" s="1698"/>
      <c r="Q56" s="1699"/>
      <c r="R56" s="1700"/>
      <c r="S56" s="1701"/>
      <c r="T56" s="1755"/>
      <c r="U56" s="1755"/>
      <c r="V56" s="1756"/>
      <c r="W56" s="1756"/>
      <c r="X56" s="1756"/>
      <c r="Y56" s="1699"/>
      <c r="Z56" s="1757"/>
      <c r="AA56" s="1758"/>
      <c r="AB56" s="1757"/>
      <c r="AC56" s="1759"/>
      <c r="AD56" s="1759"/>
      <c r="AE56" s="1759"/>
      <c r="AF56" s="1759"/>
      <c r="AG56" s="1760"/>
      <c r="AH56" s="1761"/>
    </row>
    <row r="57" spans="1:34" x14ac:dyDescent="0.3">
      <c r="A57" s="891" t="s">
        <v>1115</v>
      </c>
      <c r="B57" s="891" t="s">
        <v>20</v>
      </c>
      <c r="C57" s="891" t="s">
        <v>1116</v>
      </c>
      <c r="D57" s="891" t="s">
        <v>257</v>
      </c>
      <c r="E57" s="891" t="s">
        <v>518</v>
      </c>
      <c r="F57" s="1762" t="s">
        <v>613</v>
      </c>
      <c r="G57" s="891">
        <v>46</v>
      </c>
      <c r="H57" s="893">
        <v>20</v>
      </c>
      <c r="I57" s="894" t="s">
        <v>22</v>
      </c>
      <c r="J57" s="1763"/>
      <c r="K57" s="895">
        <v>20</v>
      </c>
      <c r="L57" s="1764"/>
      <c r="M57" s="895">
        <v>20</v>
      </c>
      <c r="N57" s="896">
        <v>2</v>
      </c>
      <c r="O57" s="1702">
        <v>2851</v>
      </c>
      <c r="P57" s="1702">
        <v>0.59599999999999997</v>
      </c>
      <c r="Q57" s="1702">
        <f t="shared" ref="Q57:Q67" si="7">O57*(1-P57)</f>
        <v>1151.8040000000001</v>
      </c>
      <c r="R57" s="1702">
        <f t="shared" ref="R57:R67" si="8">Q57*H57*N57</f>
        <v>46072.160000000003</v>
      </c>
      <c r="S57" s="898">
        <f t="shared" ref="S57:S67" si="9">R57/$R$40</f>
        <v>9.5085971891782833E-2</v>
      </c>
      <c r="T57" s="1765">
        <f>R57</f>
        <v>46072.160000000003</v>
      </c>
      <c r="U57" s="1765"/>
      <c r="V57" s="21">
        <f>T57</f>
        <v>46072.160000000003</v>
      </c>
      <c r="W57" s="21"/>
      <c r="X57" s="21"/>
      <c r="Y57" s="1766"/>
      <c r="Z57" s="1767"/>
      <c r="AA57" s="1768">
        <f>T57</f>
        <v>46072.160000000003</v>
      </c>
      <c r="AB57" s="1767">
        <f>T57</f>
        <v>46072.160000000003</v>
      </c>
      <c r="AC57" s="1769"/>
      <c r="AD57" s="1769"/>
      <c r="AE57" s="1769"/>
      <c r="AF57" s="1769"/>
      <c r="AG57" s="1770"/>
      <c r="AH57" s="1771"/>
    </row>
    <row r="58" spans="1:34" x14ac:dyDescent="0.3">
      <c r="A58" s="891" t="s">
        <v>1115</v>
      </c>
      <c r="B58" s="902" t="s">
        <v>108</v>
      </c>
      <c r="C58" s="902" t="s">
        <v>1039</v>
      </c>
      <c r="D58" s="902" t="s">
        <v>258</v>
      </c>
      <c r="E58" s="902" t="s">
        <v>518</v>
      </c>
      <c r="F58" s="1762" t="s">
        <v>151</v>
      </c>
      <c r="G58" s="902">
        <v>70</v>
      </c>
      <c r="H58" s="902">
        <v>1</v>
      </c>
      <c r="I58" s="902" t="s">
        <v>22</v>
      </c>
      <c r="J58" s="906">
        <v>50</v>
      </c>
      <c r="K58" s="13"/>
      <c r="L58" s="13"/>
      <c r="M58" s="13"/>
      <c r="N58" s="896">
        <v>1</v>
      </c>
      <c r="O58" s="1702">
        <v>113400</v>
      </c>
      <c r="P58" s="1702">
        <v>0.25</v>
      </c>
      <c r="Q58" s="1702">
        <f t="shared" si="7"/>
        <v>85050</v>
      </c>
      <c r="R58" s="1702">
        <f t="shared" si="8"/>
        <v>85050</v>
      </c>
      <c r="S58" s="898">
        <f t="shared" si="9"/>
        <v>0.17553034000133985</v>
      </c>
      <c r="T58" s="1765">
        <f t="shared" ref="T58:T70" si="10">R58</f>
        <v>85050</v>
      </c>
      <c r="U58" s="1765"/>
      <c r="V58" s="21">
        <f>T58</f>
        <v>85050</v>
      </c>
      <c r="W58" s="21"/>
      <c r="X58" s="21"/>
      <c r="Y58" s="1766"/>
      <c r="Z58" s="1772"/>
      <c r="AA58" s="1768">
        <f>T58</f>
        <v>85050</v>
      </c>
      <c r="AB58" s="1767"/>
      <c r="AC58" s="1769">
        <f>T58</f>
        <v>85050</v>
      </c>
      <c r="AD58" s="1769"/>
      <c r="AE58" s="1769"/>
      <c r="AF58" s="1769"/>
      <c r="AG58" s="1770"/>
      <c r="AH58" s="1771"/>
    </row>
    <row r="59" spans="1:34" x14ac:dyDescent="0.3">
      <c r="A59" s="891" t="s">
        <v>1115</v>
      </c>
      <c r="B59" s="902" t="s">
        <v>158</v>
      </c>
      <c r="C59" s="902" t="s">
        <v>1116</v>
      </c>
      <c r="D59" s="902" t="s">
        <v>259</v>
      </c>
      <c r="E59" s="902" t="s">
        <v>520</v>
      </c>
      <c r="F59" s="1762" t="s">
        <v>522</v>
      </c>
      <c r="G59" s="902">
        <v>140</v>
      </c>
      <c r="H59" s="902">
        <v>15</v>
      </c>
      <c r="I59" s="902" t="s">
        <v>22</v>
      </c>
      <c r="J59" s="13"/>
      <c r="K59" s="13"/>
      <c r="L59" s="905">
        <v>15</v>
      </c>
      <c r="M59" s="895">
        <v>15</v>
      </c>
      <c r="N59" s="896">
        <v>2</v>
      </c>
      <c r="O59" s="1702">
        <v>2000</v>
      </c>
      <c r="P59" s="1702">
        <v>0.25</v>
      </c>
      <c r="Q59" s="1702">
        <f t="shared" si="7"/>
        <v>1500</v>
      </c>
      <c r="R59" s="1702">
        <f t="shared" si="8"/>
        <v>45000</v>
      </c>
      <c r="S59" s="1705">
        <f t="shared" si="9"/>
        <v>9.287319576790469E-2</v>
      </c>
      <c r="T59" s="1765">
        <f t="shared" si="10"/>
        <v>45000</v>
      </c>
      <c r="U59" s="1765"/>
      <c r="V59" s="21">
        <f>T59</f>
        <v>45000</v>
      </c>
      <c r="W59" s="21"/>
      <c r="X59" s="21"/>
      <c r="Y59" s="1766"/>
      <c r="Z59" s="1772">
        <f>T59</f>
        <v>45000</v>
      </c>
      <c r="AA59" s="1768"/>
      <c r="AB59" s="1767"/>
      <c r="AC59" s="1769"/>
      <c r="AD59" s="1769">
        <f>T59</f>
        <v>45000</v>
      </c>
      <c r="AE59" s="1769"/>
      <c r="AF59" s="1769"/>
      <c r="AG59" s="1770"/>
      <c r="AH59" s="1771"/>
    </row>
    <row r="60" spans="1:34" x14ac:dyDescent="0.3">
      <c r="A60" s="891" t="s">
        <v>1115</v>
      </c>
      <c r="B60" s="902" t="s">
        <v>215</v>
      </c>
      <c r="C60" s="902" t="s">
        <v>1117</v>
      </c>
      <c r="D60" s="902" t="s">
        <v>89</v>
      </c>
      <c r="E60" s="902" t="s">
        <v>520</v>
      </c>
      <c r="F60" s="1762" t="s">
        <v>779</v>
      </c>
      <c r="G60" s="902"/>
      <c r="H60" s="902">
        <v>17</v>
      </c>
      <c r="I60" s="902" t="s">
        <v>106</v>
      </c>
      <c r="J60" s="908">
        <v>17</v>
      </c>
      <c r="K60" s="895"/>
      <c r="L60" s="907"/>
      <c r="M60" s="907"/>
      <c r="N60" s="896">
        <v>1</v>
      </c>
      <c r="O60" s="1702">
        <f>1650*(1+50%)</f>
        <v>2475</v>
      </c>
      <c r="P60" s="1702">
        <v>0.25</v>
      </c>
      <c r="Q60" s="1702">
        <f t="shared" si="7"/>
        <v>1856.25</v>
      </c>
      <c r="R60" s="1702">
        <f t="shared" si="8"/>
        <v>31556.25</v>
      </c>
      <c r="S60" s="1705">
        <f t="shared" si="9"/>
        <v>6.5127328532243164E-2</v>
      </c>
      <c r="T60" s="1765">
        <f t="shared" si="10"/>
        <v>31556.25</v>
      </c>
      <c r="U60" s="1765">
        <f>T60</f>
        <v>31556.25</v>
      </c>
      <c r="V60" s="21"/>
      <c r="W60" s="21"/>
      <c r="X60" s="21"/>
      <c r="Y60" s="1766"/>
      <c r="Z60" s="1772">
        <f t="shared" ref="Z60:Z61" si="11">T60</f>
        <v>31556.25</v>
      </c>
      <c r="AA60" s="1768"/>
      <c r="AB60" s="1767"/>
      <c r="AC60" s="1769"/>
      <c r="AD60" s="1769"/>
      <c r="AE60" s="1769"/>
      <c r="AF60" s="1769">
        <f>T60</f>
        <v>31556.25</v>
      </c>
      <c r="AG60" s="1770"/>
      <c r="AH60" s="1771"/>
    </row>
    <row r="61" spans="1:34" x14ac:dyDescent="0.3">
      <c r="A61" s="891" t="s">
        <v>1115</v>
      </c>
      <c r="B61" s="902" t="s">
        <v>250</v>
      </c>
      <c r="C61" s="902" t="s">
        <v>1117</v>
      </c>
      <c r="D61" s="902" t="s">
        <v>27</v>
      </c>
      <c r="E61" s="902" t="s">
        <v>520</v>
      </c>
      <c r="F61" s="1762" t="s">
        <v>779</v>
      </c>
      <c r="G61" s="902"/>
      <c r="H61" s="902">
        <v>5</v>
      </c>
      <c r="I61" s="902" t="s">
        <v>106</v>
      </c>
      <c r="J61" s="908">
        <v>5</v>
      </c>
      <c r="K61" s="895"/>
      <c r="L61" s="907"/>
      <c r="M61" s="907"/>
      <c r="N61" s="896">
        <v>1</v>
      </c>
      <c r="O61" s="1702">
        <f>3969*(1+50%)</f>
        <v>5953.5</v>
      </c>
      <c r="P61" s="1702">
        <v>0.25</v>
      </c>
      <c r="Q61" s="1702">
        <f t="shared" si="7"/>
        <v>4465.125</v>
      </c>
      <c r="R61" s="1702">
        <f t="shared" si="8"/>
        <v>22325.625</v>
      </c>
      <c r="S61" s="1705">
        <f t="shared" si="9"/>
        <v>4.6076714250351709E-2</v>
      </c>
      <c r="T61" s="1765">
        <f t="shared" si="10"/>
        <v>22325.625</v>
      </c>
      <c r="U61" s="1765">
        <f>T61</f>
        <v>22325.625</v>
      </c>
      <c r="V61" s="21"/>
      <c r="W61" s="21"/>
      <c r="X61" s="21"/>
      <c r="Y61" s="1766"/>
      <c r="Z61" s="1772">
        <f t="shared" si="11"/>
        <v>22325.625</v>
      </c>
      <c r="AA61" s="1768"/>
      <c r="AB61" s="1767"/>
      <c r="AC61" s="1769"/>
      <c r="AD61" s="1769"/>
      <c r="AE61" s="1769">
        <f>T61</f>
        <v>22325.625</v>
      </c>
      <c r="AF61" s="1769"/>
      <c r="AG61" s="1770"/>
      <c r="AH61" s="1771"/>
    </row>
    <row r="62" spans="1:34" x14ac:dyDescent="0.3">
      <c r="A62" s="891" t="s">
        <v>1115</v>
      </c>
      <c r="B62" s="902" t="s">
        <v>108</v>
      </c>
      <c r="C62" s="902" t="s">
        <v>1119</v>
      </c>
      <c r="D62" s="902" t="s">
        <v>262</v>
      </c>
      <c r="E62" s="902" t="s">
        <v>518</v>
      </c>
      <c r="F62" s="1762" t="s">
        <v>263</v>
      </c>
      <c r="G62" s="902">
        <v>7</v>
      </c>
      <c r="H62" s="902">
        <v>1</v>
      </c>
      <c r="I62" s="902" t="s">
        <v>22</v>
      </c>
      <c r="J62" s="13"/>
      <c r="K62" s="895">
        <v>7</v>
      </c>
      <c r="L62" s="907"/>
      <c r="M62" s="895">
        <v>7</v>
      </c>
      <c r="N62" s="896">
        <v>2</v>
      </c>
      <c r="O62" s="1706">
        <v>35000</v>
      </c>
      <c r="P62" s="1706">
        <v>0.25</v>
      </c>
      <c r="Q62" s="1706">
        <f t="shared" si="7"/>
        <v>26250</v>
      </c>
      <c r="R62" s="1702">
        <f t="shared" si="8"/>
        <v>52500</v>
      </c>
      <c r="S62" s="898">
        <f t="shared" si="9"/>
        <v>0.10835206172922213</v>
      </c>
      <c r="T62" s="1765">
        <f t="shared" si="10"/>
        <v>52500</v>
      </c>
      <c r="U62" s="1765"/>
      <c r="V62" s="21"/>
      <c r="W62" s="21">
        <f>T62</f>
        <v>52500</v>
      </c>
      <c r="X62" s="21"/>
      <c r="Y62" s="1766"/>
      <c r="Z62" s="1772"/>
      <c r="AA62" s="1768">
        <f>T62</f>
        <v>52500</v>
      </c>
      <c r="AB62" s="1767"/>
      <c r="AC62" s="1769">
        <f>T62</f>
        <v>52500</v>
      </c>
      <c r="AD62" s="1769"/>
      <c r="AE62" s="1769"/>
      <c r="AF62" s="1769"/>
      <c r="AG62" s="1770"/>
      <c r="AH62" s="1771"/>
    </row>
    <row r="63" spans="1:34" x14ac:dyDescent="0.3">
      <c r="A63" s="891" t="s">
        <v>1115</v>
      </c>
      <c r="B63" s="902" t="s">
        <v>215</v>
      </c>
      <c r="C63" s="902" t="s">
        <v>1037</v>
      </c>
      <c r="D63" s="902" t="s">
        <v>260</v>
      </c>
      <c r="E63" s="902" t="s">
        <v>524</v>
      </c>
      <c r="F63" s="1762" t="s">
        <v>641</v>
      </c>
      <c r="G63" s="902">
        <v>45</v>
      </c>
      <c r="H63" s="902">
        <v>3</v>
      </c>
      <c r="I63" s="902" t="s">
        <v>24</v>
      </c>
      <c r="J63" s="908">
        <v>3</v>
      </c>
      <c r="K63" s="895"/>
      <c r="L63" s="895"/>
      <c r="M63" s="2480"/>
      <c r="N63" s="896">
        <v>1</v>
      </c>
      <c r="O63" s="1706">
        <v>12000</v>
      </c>
      <c r="P63" s="1706">
        <v>0.25</v>
      </c>
      <c r="Q63" s="1706">
        <f t="shared" si="7"/>
        <v>9000</v>
      </c>
      <c r="R63" s="1702">
        <f t="shared" si="8"/>
        <v>27000</v>
      </c>
      <c r="S63" s="1705">
        <f t="shared" si="9"/>
        <v>5.572391746074281E-2</v>
      </c>
      <c r="T63" s="1765">
        <f t="shared" si="10"/>
        <v>27000</v>
      </c>
      <c r="U63" s="1765">
        <f>T63</f>
        <v>27000</v>
      </c>
      <c r="V63" s="21"/>
      <c r="W63" s="21"/>
      <c r="X63" s="21"/>
      <c r="Y63" s="1766"/>
      <c r="Z63" s="1772">
        <f>T63</f>
        <v>27000</v>
      </c>
      <c r="AA63" s="1768"/>
      <c r="AB63" s="1767"/>
      <c r="AC63" s="1769"/>
      <c r="AD63" s="1769"/>
      <c r="AE63" s="1769"/>
      <c r="AF63" s="1769">
        <f>T63</f>
        <v>27000</v>
      </c>
      <c r="AG63" s="1770"/>
      <c r="AH63" s="1771"/>
    </row>
    <row r="64" spans="1:34" x14ac:dyDescent="0.3">
      <c r="A64" s="891" t="s">
        <v>1115</v>
      </c>
      <c r="B64" s="902" t="s">
        <v>250</v>
      </c>
      <c r="C64" s="902" t="s">
        <v>1037</v>
      </c>
      <c r="D64" s="902" t="s">
        <v>261</v>
      </c>
      <c r="E64" s="902" t="s">
        <v>518</v>
      </c>
      <c r="F64" s="1762" t="s">
        <v>895</v>
      </c>
      <c r="G64" s="902">
        <v>25</v>
      </c>
      <c r="H64" s="902">
        <v>3</v>
      </c>
      <c r="I64" s="902" t="s">
        <v>22</v>
      </c>
      <c r="J64" s="13"/>
      <c r="K64" s="905">
        <v>3</v>
      </c>
      <c r="L64" s="895"/>
      <c r="M64" s="13"/>
      <c r="N64" s="896">
        <v>1</v>
      </c>
      <c r="O64" s="1706">
        <v>7200</v>
      </c>
      <c r="P64" s="1706">
        <v>0.25</v>
      </c>
      <c r="Q64" s="1706">
        <f t="shared" si="7"/>
        <v>5400</v>
      </c>
      <c r="R64" s="1702">
        <f t="shared" si="8"/>
        <v>16200</v>
      </c>
      <c r="S64" s="898">
        <f t="shared" si="9"/>
        <v>3.3434350476445683E-2</v>
      </c>
      <c r="T64" s="1765">
        <f t="shared" si="10"/>
        <v>16200</v>
      </c>
      <c r="U64" s="1765">
        <f>T64</f>
        <v>16200</v>
      </c>
      <c r="V64" s="21"/>
      <c r="W64" s="21"/>
      <c r="X64" s="21"/>
      <c r="Y64" s="1766"/>
      <c r="Z64" s="1772"/>
      <c r="AA64" s="1768">
        <f>T64</f>
        <v>16200</v>
      </c>
      <c r="AB64" s="1767"/>
      <c r="AC64" s="1769"/>
      <c r="AD64" s="1769"/>
      <c r="AE64" s="1769">
        <f>T64</f>
        <v>16200</v>
      </c>
      <c r="AF64" s="1769"/>
      <c r="AG64" s="1770"/>
      <c r="AH64" s="1771"/>
    </row>
    <row r="65" spans="1:34" x14ac:dyDescent="0.3">
      <c r="A65" s="891" t="s">
        <v>1115</v>
      </c>
      <c r="B65" s="902" t="s">
        <v>247</v>
      </c>
      <c r="C65" s="902" t="s">
        <v>1041</v>
      </c>
      <c r="D65" s="902" t="s">
        <v>50</v>
      </c>
      <c r="E65" s="902" t="s">
        <v>524</v>
      </c>
      <c r="F65" s="1762" t="s">
        <v>613</v>
      </c>
      <c r="G65" s="902"/>
      <c r="H65" s="902">
        <v>1</v>
      </c>
      <c r="I65" s="902" t="s">
        <v>24</v>
      </c>
      <c r="J65" s="908">
        <v>10</v>
      </c>
      <c r="K65" s="895"/>
      <c r="L65" s="895"/>
      <c r="M65" s="2480"/>
      <c r="N65" s="896">
        <v>1</v>
      </c>
      <c r="O65" s="1706">
        <v>25000</v>
      </c>
      <c r="P65" s="1706">
        <v>0.35</v>
      </c>
      <c r="Q65" s="1706">
        <f t="shared" si="7"/>
        <v>16250</v>
      </c>
      <c r="R65" s="1702">
        <f t="shared" si="8"/>
        <v>16250</v>
      </c>
      <c r="S65" s="1705">
        <f t="shared" si="9"/>
        <v>3.3537542916187803E-2</v>
      </c>
      <c r="T65" s="1765">
        <f t="shared" si="10"/>
        <v>16250</v>
      </c>
      <c r="U65" s="1765"/>
      <c r="V65" s="21"/>
      <c r="W65" s="21">
        <f>T65</f>
        <v>16250</v>
      </c>
      <c r="X65" s="21"/>
      <c r="Y65" s="1766"/>
      <c r="Z65" s="1772">
        <f>T65</f>
        <v>16250</v>
      </c>
      <c r="AA65" s="1768"/>
      <c r="AB65" s="1767"/>
      <c r="AC65" s="1769"/>
      <c r="AD65" s="1769"/>
      <c r="AE65" s="1769"/>
      <c r="AF65" s="1769"/>
      <c r="AG65" s="1770">
        <f>T65</f>
        <v>16250</v>
      </c>
      <c r="AH65" s="1771"/>
    </row>
    <row r="66" spans="1:34" x14ac:dyDescent="0.3">
      <c r="A66" s="891" t="s">
        <v>1115</v>
      </c>
      <c r="B66" s="902" t="s">
        <v>247</v>
      </c>
      <c r="C66" s="902" t="s">
        <v>1041</v>
      </c>
      <c r="D66" s="902" t="s">
        <v>180</v>
      </c>
      <c r="E66" s="902" t="s">
        <v>524</v>
      </c>
      <c r="F66" s="1762" t="s">
        <v>876</v>
      </c>
      <c r="G66" s="902"/>
      <c r="H66" s="902">
        <v>2</v>
      </c>
      <c r="I66" s="902" t="s">
        <v>24</v>
      </c>
      <c r="J66" s="908">
        <v>20</v>
      </c>
      <c r="K66" s="895"/>
      <c r="L66" s="895"/>
      <c r="M66" s="2480"/>
      <c r="N66" s="896">
        <v>1</v>
      </c>
      <c r="O66" s="1706">
        <v>35000</v>
      </c>
      <c r="P66" s="1706">
        <v>0.35</v>
      </c>
      <c r="Q66" s="1706">
        <f t="shared" si="7"/>
        <v>22750</v>
      </c>
      <c r="R66" s="1702">
        <f t="shared" si="8"/>
        <v>45500</v>
      </c>
      <c r="S66" s="1705">
        <f t="shared" si="9"/>
        <v>9.3905120165325845E-2</v>
      </c>
      <c r="T66" s="1765">
        <f t="shared" si="10"/>
        <v>45500</v>
      </c>
      <c r="U66" s="1765"/>
      <c r="V66" s="21"/>
      <c r="W66" s="21">
        <f>T66</f>
        <v>45500</v>
      </c>
      <c r="X66" s="21"/>
      <c r="Y66" s="1766"/>
      <c r="Z66" s="1772">
        <f t="shared" ref="Z66:Z67" si="12">T66</f>
        <v>45500</v>
      </c>
      <c r="AA66" s="1768"/>
      <c r="AB66" s="1767"/>
      <c r="AC66" s="1769"/>
      <c r="AD66" s="1769"/>
      <c r="AE66" s="1769"/>
      <c r="AF66" s="1769"/>
      <c r="AG66" s="1770">
        <f>T66</f>
        <v>45500</v>
      </c>
      <c r="AH66" s="1771"/>
    </row>
    <row r="67" spans="1:34" x14ac:dyDescent="0.3">
      <c r="A67" s="891" t="s">
        <v>1115</v>
      </c>
      <c r="B67" s="902" t="s">
        <v>130</v>
      </c>
      <c r="C67" s="902" t="s">
        <v>1042</v>
      </c>
      <c r="D67" s="902" t="s">
        <v>131</v>
      </c>
      <c r="E67" s="902" t="s">
        <v>524</v>
      </c>
      <c r="F67" s="1762" t="s">
        <v>1120</v>
      </c>
      <c r="G67" s="902"/>
      <c r="H67" s="902">
        <v>10</v>
      </c>
      <c r="I67" s="902" t="s">
        <v>24</v>
      </c>
      <c r="J67" s="908">
        <v>10</v>
      </c>
      <c r="K67" s="895"/>
      <c r="L67" s="895"/>
      <c r="M67" s="2480"/>
      <c r="N67" s="896">
        <v>1</v>
      </c>
      <c r="O67" s="1706">
        <v>4000</v>
      </c>
      <c r="P67" s="1706">
        <v>0.35</v>
      </c>
      <c r="Q67" s="1706">
        <f t="shared" si="7"/>
        <v>2600</v>
      </c>
      <c r="R67" s="1702">
        <f t="shared" si="8"/>
        <v>26000</v>
      </c>
      <c r="S67" s="1705">
        <f t="shared" si="9"/>
        <v>5.3660068665900486E-2</v>
      </c>
      <c r="T67" s="1765">
        <f t="shared" si="10"/>
        <v>26000</v>
      </c>
      <c r="U67" s="1765"/>
      <c r="V67" s="21"/>
      <c r="W67" s="21">
        <f>T67</f>
        <v>26000</v>
      </c>
      <c r="X67" s="21"/>
      <c r="Y67" s="1766"/>
      <c r="Z67" s="1772">
        <f t="shared" si="12"/>
        <v>26000</v>
      </c>
      <c r="AA67" s="1768"/>
      <c r="AB67" s="1767"/>
      <c r="AC67" s="1769"/>
      <c r="AD67" s="1769"/>
      <c r="AE67" s="1769"/>
      <c r="AF67" s="1769"/>
      <c r="AG67" s="1770"/>
      <c r="AH67" s="1771">
        <f>T67</f>
        <v>26000</v>
      </c>
    </row>
    <row r="68" spans="1:34" x14ac:dyDescent="0.3">
      <c r="A68" s="891"/>
      <c r="B68" s="902"/>
      <c r="C68" s="902"/>
      <c r="D68" s="902"/>
      <c r="E68" s="902"/>
      <c r="F68" s="902"/>
      <c r="G68" s="902"/>
      <c r="H68" s="902"/>
      <c r="I68" s="902"/>
      <c r="J68" s="914"/>
      <c r="K68" s="914"/>
      <c r="L68" s="912"/>
      <c r="M68" s="912"/>
      <c r="N68" s="896"/>
      <c r="O68" s="1706"/>
      <c r="P68" s="1706"/>
      <c r="Q68" s="1706"/>
      <c r="R68" s="1706"/>
      <c r="S68" s="910"/>
      <c r="T68" s="1765"/>
      <c r="U68" s="1765"/>
      <c r="V68" s="21"/>
      <c r="W68" s="21"/>
      <c r="X68" s="21"/>
      <c r="Y68" s="1766"/>
      <c r="Z68" s="1765"/>
      <c r="AA68" s="1768"/>
      <c r="AB68" s="1767"/>
      <c r="AC68" s="1769"/>
      <c r="AD68" s="1769"/>
      <c r="AE68" s="1769"/>
      <c r="AF68" s="1769"/>
      <c r="AG68" s="1770"/>
      <c r="AH68" s="1771"/>
    </row>
    <row r="69" spans="1:34" x14ac:dyDescent="0.3">
      <c r="A69" s="915" t="s">
        <v>1115</v>
      </c>
      <c r="B69" s="916" t="s">
        <v>528</v>
      </c>
      <c r="C69" s="916" t="s">
        <v>1118</v>
      </c>
      <c r="D69" s="916"/>
      <c r="E69" s="916"/>
      <c r="F69" s="916"/>
      <c r="G69" s="916"/>
      <c r="H69" s="916"/>
      <c r="I69" s="916"/>
      <c r="J69" s="918"/>
      <c r="K69" s="918"/>
      <c r="L69" s="919"/>
      <c r="M69" s="919"/>
      <c r="N69" s="920"/>
      <c r="O69" s="1707"/>
      <c r="P69" s="1707"/>
      <c r="Q69" s="1707"/>
      <c r="R69" s="1707">
        <v>23000</v>
      </c>
      <c r="S69" s="922">
        <f>R69/R72</f>
        <v>4.7280931691727049E-2</v>
      </c>
      <c r="T69" s="1765">
        <f t="shared" si="10"/>
        <v>23000</v>
      </c>
      <c r="U69" s="1765"/>
      <c r="V69" s="21"/>
      <c r="W69" s="21"/>
      <c r="X69" s="21">
        <f>T69</f>
        <v>23000</v>
      </c>
      <c r="Y69" s="1766"/>
      <c r="Z69" s="1765"/>
      <c r="AA69" s="1768"/>
      <c r="AB69" s="1767"/>
      <c r="AC69" s="1769"/>
      <c r="AD69" s="1769"/>
      <c r="AE69" s="1769"/>
      <c r="AF69" s="1769"/>
      <c r="AG69" s="1770"/>
      <c r="AH69" s="1771"/>
    </row>
    <row r="70" spans="1:34" x14ac:dyDescent="0.3">
      <c r="A70" s="915" t="s">
        <v>1115</v>
      </c>
      <c r="B70" s="916" t="s">
        <v>529</v>
      </c>
      <c r="C70" s="916"/>
      <c r="D70" s="916"/>
      <c r="E70" s="916"/>
      <c r="F70" s="916"/>
      <c r="G70" s="916"/>
      <c r="H70" s="916"/>
      <c r="I70" s="916"/>
      <c r="J70" s="924"/>
      <c r="K70" s="924"/>
      <c r="L70" s="924"/>
      <c r="M70" s="924"/>
      <c r="N70" s="916"/>
      <c r="O70" s="1708"/>
      <c r="P70" s="1708"/>
      <c r="Q70" s="1708"/>
      <c r="R70" s="1709">
        <v>50000</v>
      </c>
      <c r="S70" s="1710">
        <f>R70/R72</f>
        <v>0.1027846341124501</v>
      </c>
      <c r="T70" s="1765">
        <f t="shared" si="10"/>
        <v>50000</v>
      </c>
      <c r="U70" s="1767"/>
      <c r="V70" s="1769"/>
      <c r="W70" s="1769"/>
      <c r="X70" s="1769"/>
      <c r="Y70" s="1768">
        <f>T70</f>
        <v>50000</v>
      </c>
      <c r="Z70" s="1767"/>
      <c r="AA70" s="1768"/>
      <c r="AB70" s="1767"/>
      <c r="AC70" s="1769"/>
      <c r="AD70" s="1769"/>
      <c r="AE70" s="1769"/>
      <c r="AF70" s="1769"/>
      <c r="AG70" s="1770"/>
      <c r="AH70" s="1771"/>
    </row>
    <row r="71" spans="1:34" x14ac:dyDescent="0.3">
      <c r="A71" s="929"/>
      <c r="J71" s="1684">
        <f>J72/$N$72</f>
        <v>0.56930693069306926</v>
      </c>
      <c r="K71" s="1684">
        <f t="shared" ref="K71:M71" si="13">K72/$N$72</f>
        <v>0.14851485148514851</v>
      </c>
      <c r="L71" s="1684">
        <f t="shared" si="13"/>
        <v>7.4257425742574254E-2</v>
      </c>
      <c r="M71" s="1684">
        <f t="shared" si="13"/>
        <v>0.20792079207920791</v>
      </c>
      <c r="R71" s="1711"/>
      <c r="S71" s="898"/>
      <c r="T71" s="1773"/>
      <c r="U71" s="1774"/>
      <c r="V71" s="1775"/>
      <c r="W71" s="1775"/>
      <c r="X71" s="1775"/>
      <c r="Y71" s="1711"/>
      <c r="Z71" s="1774"/>
      <c r="AA71" s="1711"/>
      <c r="AB71" s="1774"/>
      <c r="AC71" s="1775"/>
      <c r="AD71" s="1775"/>
      <c r="AE71" s="1775"/>
      <c r="AF71" s="1775"/>
      <c r="AG71" s="1776"/>
      <c r="AH71" s="1777"/>
    </row>
    <row r="72" spans="1:34" x14ac:dyDescent="0.3">
      <c r="A72" s="938" t="s">
        <v>531</v>
      </c>
      <c r="B72" s="939"/>
      <c r="C72" s="939"/>
      <c r="D72" s="939"/>
      <c r="E72" s="939"/>
      <c r="F72" s="939"/>
      <c r="G72" s="939"/>
      <c r="H72" s="939"/>
      <c r="I72" s="939"/>
      <c r="J72" s="941">
        <f>J58+J60+J61+J63+J65+J66+J67</f>
        <v>115</v>
      </c>
      <c r="K72" s="942">
        <f>K64+K62+K57</f>
        <v>30</v>
      </c>
      <c r="L72" s="941">
        <f>L59</f>
        <v>15</v>
      </c>
      <c r="M72" s="941">
        <f>M62+M59+M57</f>
        <v>42</v>
      </c>
      <c r="N72" s="941">
        <f>SUM(J72:M72)</f>
        <v>202</v>
      </c>
      <c r="O72" s="1713"/>
      <c r="P72" s="1713"/>
      <c r="Q72" s="1713"/>
      <c r="R72" s="1714">
        <f>SUM(R57:R70)</f>
        <v>486454.03500000003</v>
      </c>
      <c r="S72" s="1715">
        <f>SUM(S56:S70)</f>
        <v>1.0033721776616242</v>
      </c>
      <c r="T72" s="1778">
        <f>SUM(T57:T70)</f>
        <v>486454.03500000003</v>
      </c>
      <c r="U72" s="1779">
        <f>SUM(U56:U71)</f>
        <v>97081.875</v>
      </c>
      <c r="V72" s="1780">
        <f>SUM(V56:V71)</f>
        <v>176122.16</v>
      </c>
      <c r="W72" s="1780">
        <f>SUM(W56:W71)</f>
        <v>140250</v>
      </c>
      <c r="X72" s="1780">
        <f>SUM(X56:X71)</f>
        <v>23000</v>
      </c>
      <c r="Y72" s="1781">
        <f>SUM(Y56:Y70)</f>
        <v>50000</v>
      </c>
      <c r="Z72" s="1779">
        <f>SUM(Z56:Z71)</f>
        <v>213631.875</v>
      </c>
      <c r="AA72" s="1781">
        <f>SUM(AA56:AA71)</f>
        <v>199822.16</v>
      </c>
      <c r="AB72" s="1779">
        <f>SUM(AB56:AB71)</f>
        <v>46072.160000000003</v>
      </c>
      <c r="AC72" s="1780">
        <f>SUM(AC56:AC71)</f>
        <v>137550</v>
      </c>
      <c r="AD72" s="1780">
        <f t="shared" ref="AD72:AH72" si="14">SUM(AD56:AD71)</f>
        <v>45000</v>
      </c>
      <c r="AE72" s="1780">
        <f t="shared" si="14"/>
        <v>38525.625</v>
      </c>
      <c r="AF72" s="1780">
        <f t="shared" si="14"/>
        <v>58556.25</v>
      </c>
      <c r="AG72" s="1780">
        <f t="shared" si="14"/>
        <v>61750</v>
      </c>
      <c r="AH72" s="1782">
        <f t="shared" si="14"/>
        <v>26000</v>
      </c>
    </row>
    <row r="73" spans="1:34" x14ac:dyDescent="0.3">
      <c r="A73" s="948" t="s">
        <v>532</v>
      </c>
      <c r="B73" s="949"/>
      <c r="C73" s="949"/>
      <c r="D73" s="949"/>
      <c r="E73" s="949"/>
      <c r="F73" s="949"/>
      <c r="G73" s="949"/>
      <c r="H73" s="949"/>
      <c r="I73" s="949"/>
      <c r="J73" s="951">
        <f>J65+J63+J60+J58+J61+J66+J67</f>
        <v>115</v>
      </c>
      <c r="K73" s="951">
        <f>J65+K64+J63+K62+J60+K57+J61+J66+J67</f>
        <v>95</v>
      </c>
      <c r="L73" s="951">
        <f>J65+K64+J63+L59+J66+J67</f>
        <v>61</v>
      </c>
      <c r="M73" s="951">
        <f>J65+J63+M62+M59+M57+J66+J67</f>
        <v>85</v>
      </c>
      <c r="N73" s="952">
        <f>J73+K73+L73+M73</f>
        <v>356</v>
      </c>
      <c r="O73" s="1718"/>
      <c r="P73" s="1718"/>
      <c r="Q73" s="1718"/>
      <c r="R73" s="1719"/>
      <c r="S73" s="1720"/>
      <c r="T73" s="1783"/>
      <c r="U73" s="1784">
        <f>U72/T72</f>
        <v>0.19957050001651233</v>
      </c>
      <c r="V73" s="1785">
        <f>V72/$T$72</f>
        <v>0.3620530354938879</v>
      </c>
      <c r="W73" s="1785">
        <f t="shared" ref="W73:Y73" si="15">W72/$T$72</f>
        <v>0.28831089868542253</v>
      </c>
      <c r="X73" s="1785">
        <f t="shared" si="15"/>
        <v>4.7280931691727049E-2</v>
      </c>
      <c r="Y73" s="1785">
        <f t="shared" si="15"/>
        <v>0.1027846341124501</v>
      </c>
      <c r="Z73" s="1784">
        <f>Z72/R72</f>
        <v>0.43916148213263351</v>
      </c>
      <c r="AA73" s="1786">
        <f>AA72/R72</f>
        <v>0.41077295206318926</v>
      </c>
      <c r="AB73" s="1787"/>
      <c r="AC73" s="1788"/>
      <c r="AD73" s="1788"/>
      <c r="AE73" s="1788"/>
      <c r="AF73" s="1788"/>
      <c r="AG73" s="1789"/>
      <c r="AH73" s="1790"/>
    </row>
    <row r="74" spans="1:34" x14ac:dyDescent="0.3">
      <c r="A74" s="243" t="s">
        <v>533</v>
      </c>
      <c r="B74" s="1725"/>
      <c r="C74" s="1725"/>
      <c r="D74" s="1725"/>
      <c r="E74" s="1725"/>
      <c r="F74" s="1725"/>
      <c r="G74" s="1725"/>
      <c r="H74" s="1725"/>
      <c r="I74" s="1725"/>
      <c r="J74" s="2201">
        <f>J73/$N$73</f>
        <v>0.32303370786516855</v>
      </c>
      <c r="K74" s="2201">
        <f t="shared" ref="K74:M74" si="16">K73/$N$73</f>
        <v>0.26685393258426965</v>
      </c>
      <c r="L74" s="2201">
        <f t="shared" si="16"/>
        <v>0.17134831460674158</v>
      </c>
      <c r="M74" s="2201">
        <f t="shared" si="16"/>
        <v>0.23876404494382023</v>
      </c>
      <c r="N74" s="1726"/>
      <c r="O74" s="1727"/>
      <c r="P74" s="1728"/>
      <c r="Q74" s="1728"/>
      <c r="R74" s="1729">
        <f>U72</f>
        <v>97081.875</v>
      </c>
      <c r="S74" s="1730">
        <f>R74/R79</f>
        <v>0.19957050001651233</v>
      </c>
      <c r="T74" s="99"/>
      <c r="U74" s="99"/>
      <c r="V74" s="99"/>
      <c r="W74" s="99"/>
      <c r="X74" s="99"/>
      <c r="Y74" s="600"/>
      <c r="Z74" s="1791">
        <f>L59+M59+J60+J61+J63+J65+J66+J67</f>
        <v>95</v>
      </c>
      <c r="AA74" s="1792">
        <f>K57+M57+J58+K62+M62+K64</f>
        <v>107</v>
      </c>
      <c r="AB74" s="99"/>
      <c r="AC74" s="99"/>
      <c r="AD74" s="99"/>
      <c r="AE74" s="99"/>
      <c r="AF74" s="99"/>
      <c r="AG74" s="99"/>
      <c r="AH74" s="99"/>
    </row>
    <row r="75" spans="1:34" x14ac:dyDescent="0.3">
      <c r="A75" s="251" t="s">
        <v>11</v>
      </c>
      <c r="B75" s="1733"/>
      <c r="C75" s="1733"/>
      <c r="D75" s="1734"/>
      <c r="E75" s="1734"/>
      <c r="F75" s="1733"/>
      <c r="G75" s="1733"/>
      <c r="H75" s="1733"/>
      <c r="I75" s="1733"/>
      <c r="J75" s="1733"/>
      <c r="K75" s="1733"/>
      <c r="L75" s="1733"/>
      <c r="M75" s="1735"/>
      <c r="N75" s="1735"/>
      <c r="O75" s="1736"/>
      <c r="P75" s="1737"/>
      <c r="Q75" s="1737"/>
      <c r="R75" s="1738">
        <f>V72</f>
        <v>176122.16</v>
      </c>
      <c r="S75" s="1730">
        <f>R75/R79</f>
        <v>0.3620530354938879</v>
      </c>
      <c r="T75" s="1050">
        <f>R72/N72</f>
        <v>2408.1882920792082</v>
      </c>
      <c r="U75" s="1739" t="s">
        <v>535</v>
      </c>
      <c r="V75" s="99"/>
      <c r="W75" s="99"/>
      <c r="X75" s="99"/>
      <c r="Y75" s="99"/>
      <c r="Z75" s="195">
        <f>Z74/N72</f>
        <v>0.47029702970297027</v>
      </c>
      <c r="AA75" s="247">
        <f>AA74/N72</f>
        <v>0.52970297029702973</v>
      </c>
      <c r="AB75" s="99"/>
      <c r="AC75" s="99"/>
      <c r="AD75" s="99"/>
      <c r="AE75" s="99"/>
      <c r="AF75" s="99"/>
      <c r="AG75" s="99"/>
      <c r="AH75" s="99"/>
    </row>
    <row r="76" spans="1:34" x14ac:dyDescent="0.3">
      <c r="A76" s="251" t="s">
        <v>536</v>
      </c>
      <c r="B76" s="1733"/>
      <c r="C76" s="1733"/>
      <c r="D76" s="1734"/>
      <c r="E76" s="1734"/>
      <c r="F76" s="1735"/>
      <c r="G76" s="1733"/>
      <c r="H76" s="1733"/>
      <c r="I76" s="1733"/>
      <c r="J76" s="1733"/>
      <c r="K76" s="1733"/>
      <c r="L76" s="1733"/>
      <c r="M76" s="1733"/>
      <c r="N76" s="1733"/>
      <c r="O76" s="1737"/>
      <c r="P76" s="1737"/>
      <c r="Q76" s="1737"/>
      <c r="R76" s="1738">
        <f>W72</f>
        <v>140250</v>
      </c>
      <c r="S76" s="1730">
        <f>R76/R79</f>
        <v>0.28831089868542253</v>
      </c>
      <c r="T76" s="99"/>
      <c r="U76" s="99"/>
      <c r="V76" s="99"/>
      <c r="W76" s="99"/>
      <c r="X76" s="99"/>
      <c r="Y76" s="99"/>
      <c r="Z76" s="2863" t="s">
        <v>537</v>
      </c>
      <c r="AA76" s="2863"/>
      <c r="AB76" s="99"/>
      <c r="AC76" s="99"/>
      <c r="AD76" s="99"/>
      <c r="AE76" s="99"/>
      <c r="AF76" s="99"/>
      <c r="AG76" s="99"/>
      <c r="AH76" s="99"/>
    </row>
    <row r="77" spans="1:34" x14ac:dyDescent="0.3">
      <c r="A77" s="251" t="s">
        <v>528</v>
      </c>
      <c r="B77" s="1733"/>
      <c r="C77" s="1733"/>
      <c r="D77" s="1733"/>
      <c r="E77" s="1733"/>
      <c r="F77" s="1733"/>
      <c r="G77" s="1733"/>
      <c r="H77" s="1733"/>
      <c r="I77" s="1733"/>
      <c r="J77" s="1733"/>
      <c r="K77" s="1733"/>
      <c r="L77" s="1733"/>
      <c r="M77" s="1733"/>
      <c r="N77" s="1733"/>
      <c r="O77" s="1737"/>
      <c r="P77" s="1737"/>
      <c r="Q77" s="1737"/>
      <c r="R77" s="1738">
        <f>X72</f>
        <v>23000</v>
      </c>
      <c r="S77" s="1730">
        <f>R77/R79</f>
        <v>4.7280931691727049E-2</v>
      </c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</row>
    <row r="78" spans="1:34" x14ac:dyDescent="0.3">
      <c r="A78" s="251" t="s">
        <v>529</v>
      </c>
      <c r="B78" s="1733"/>
      <c r="C78" s="1733"/>
      <c r="D78" s="1733"/>
      <c r="E78" s="1733"/>
      <c r="F78" s="1733"/>
      <c r="G78" s="1733"/>
      <c r="H78" s="1733"/>
      <c r="I78" s="1733"/>
      <c r="J78" s="1733"/>
      <c r="K78" s="1733"/>
      <c r="L78" s="1733"/>
      <c r="M78" s="1733"/>
      <c r="N78" s="1733"/>
      <c r="O78" s="1737"/>
      <c r="P78" s="1737"/>
      <c r="Q78" s="1737"/>
      <c r="R78" s="1738">
        <f>Y72</f>
        <v>50000</v>
      </c>
      <c r="S78" s="1730">
        <f>R78/R79</f>
        <v>0.1027846341124501</v>
      </c>
      <c r="T78" s="1740"/>
      <c r="U78" s="1740"/>
      <c r="V78" s="1740"/>
      <c r="W78" s="1740"/>
      <c r="X78" s="1740"/>
      <c r="Y78" s="1740"/>
      <c r="Z78" s="1740"/>
      <c r="AA78" s="1740"/>
      <c r="AB78" s="1740"/>
      <c r="AC78" s="1740"/>
      <c r="AD78" s="1740"/>
      <c r="AE78" s="1740"/>
      <c r="AF78" s="1740"/>
      <c r="AG78" s="1740"/>
      <c r="AH78" s="1740"/>
    </row>
    <row r="79" spans="1:34" x14ac:dyDescent="0.3">
      <c r="A79" s="251"/>
      <c r="B79" s="1733"/>
      <c r="C79" s="1733"/>
      <c r="D79" s="1733"/>
      <c r="E79" s="1733"/>
      <c r="F79" s="1733"/>
      <c r="G79" s="1733"/>
      <c r="H79" s="1733"/>
      <c r="I79" s="1733"/>
      <c r="J79" s="1733"/>
      <c r="K79" s="1733"/>
      <c r="L79" s="1733"/>
      <c r="M79" s="1733"/>
      <c r="N79" s="1733"/>
      <c r="O79" s="1737"/>
      <c r="P79" s="1737"/>
      <c r="Q79" s="1737"/>
      <c r="R79" s="1738">
        <f>SUM(R74:R78)</f>
        <v>486454.03500000003</v>
      </c>
      <c r="S79" s="1741">
        <f>SUM(S74:S78)</f>
        <v>1</v>
      </c>
      <c r="T79" s="1740"/>
      <c r="U79" s="1740"/>
      <c r="V79" s="1740"/>
      <c r="W79" s="1740"/>
      <c r="X79" s="1740"/>
      <c r="Y79" s="1740"/>
      <c r="Z79" s="1740"/>
      <c r="AA79" s="1740"/>
      <c r="AB79" s="1740"/>
      <c r="AC79" s="1740"/>
      <c r="AD79" s="1740"/>
      <c r="AE79" s="1740"/>
      <c r="AF79" s="1740"/>
      <c r="AG79" s="1740"/>
      <c r="AH79" s="1740"/>
    </row>
    <row r="80" spans="1:34" x14ac:dyDescent="0.3">
      <c r="A80" s="1703"/>
      <c r="K80" s="13"/>
      <c r="O80" s="1742"/>
      <c r="P80" s="1742"/>
      <c r="Q80" s="1742"/>
      <c r="R80" s="1742"/>
      <c r="S80" s="966"/>
      <c r="T80" s="1742"/>
      <c r="U80" s="1742"/>
      <c r="V80" s="1742"/>
      <c r="W80" s="1742"/>
      <c r="X80" s="1742"/>
      <c r="Y80" s="1742"/>
      <c r="Z80" s="1742"/>
      <c r="AA80" s="1742"/>
      <c r="AB80" s="1742"/>
      <c r="AC80" s="1742"/>
      <c r="AD80" s="1742"/>
      <c r="AE80" s="1742"/>
      <c r="AF80" s="1742"/>
      <c r="AG80" s="1742"/>
      <c r="AH80" s="1742"/>
    </row>
    <row r="81" spans="1:34" x14ac:dyDescent="0.3">
      <c r="A81" s="1703"/>
      <c r="K81" s="13"/>
      <c r="O81" s="1742"/>
      <c r="P81" s="1742"/>
      <c r="Q81" s="1742"/>
      <c r="R81" s="1742"/>
      <c r="S81" s="966"/>
      <c r="T81" s="1742"/>
      <c r="U81" s="1742"/>
      <c r="V81" s="1742"/>
      <c r="W81" s="1742"/>
      <c r="X81" s="1742"/>
      <c r="Y81" s="1742"/>
      <c r="Z81" s="1742"/>
      <c r="AA81" s="1742"/>
      <c r="AB81" s="1742"/>
      <c r="AC81" s="1742"/>
      <c r="AD81" s="1742"/>
      <c r="AE81" s="1742"/>
      <c r="AF81" s="1742"/>
      <c r="AG81" s="1742"/>
      <c r="AH81" s="1742"/>
    </row>
    <row r="82" spans="1:34" x14ac:dyDescent="0.3">
      <c r="A82" s="1703"/>
      <c r="E82" s="10" t="s">
        <v>545</v>
      </c>
      <c r="F82" s="859">
        <v>0.88</v>
      </c>
      <c r="H82" s="10" t="s">
        <v>543</v>
      </c>
      <c r="I82" s="859">
        <v>0.71</v>
      </c>
      <c r="K82" s="13"/>
      <c r="O82" s="1742"/>
      <c r="P82" s="1742"/>
      <c r="Q82" s="1742"/>
      <c r="R82" s="1742"/>
      <c r="S82" s="966"/>
      <c r="T82" s="1742"/>
      <c r="U82" s="1742"/>
      <c r="V82" s="1742"/>
      <c r="W82" s="1742"/>
      <c r="X82" s="1742"/>
      <c r="Y82" s="1742"/>
      <c r="Z82" s="1742"/>
      <c r="AA82" s="1742"/>
      <c r="AB82" s="1742"/>
      <c r="AC82" s="1742"/>
      <c r="AD82" s="1742"/>
      <c r="AE82" s="1742"/>
      <c r="AF82" s="1742"/>
      <c r="AG82" s="1742"/>
      <c r="AH82" s="1742"/>
    </row>
    <row r="83" spans="1:34" x14ac:dyDescent="0.3">
      <c r="A83" s="1703"/>
      <c r="E83" s="10" t="s">
        <v>861</v>
      </c>
      <c r="F83" s="10">
        <v>25</v>
      </c>
      <c r="H83" s="10" t="s">
        <v>861</v>
      </c>
      <c r="I83" s="10">
        <v>22</v>
      </c>
      <c r="K83" s="13"/>
      <c r="O83" s="1742"/>
      <c r="P83" s="1742"/>
      <c r="Q83" s="1742"/>
      <c r="R83" s="1742"/>
      <c r="S83" s="966"/>
      <c r="T83" s="1742"/>
      <c r="U83" s="1742"/>
      <c r="V83" s="1742"/>
      <c r="W83" s="1742"/>
      <c r="X83" s="1742"/>
      <c r="Y83" s="1742"/>
      <c r="Z83" s="1742"/>
      <c r="AA83" s="1742"/>
      <c r="AB83" s="1742"/>
      <c r="AC83" s="1742"/>
      <c r="AD83" s="1742"/>
      <c r="AE83" s="1742"/>
      <c r="AF83" s="1742"/>
      <c r="AG83" s="1742"/>
      <c r="AH83" s="1742"/>
    </row>
    <row r="84" spans="1:34" x14ac:dyDescent="0.3">
      <c r="A84" s="1703"/>
      <c r="E84" s="10" t="s">
        <v>475</v>
      </c>
      <c r="F84" s="10">
        <v>2161</v>
      </c>
      <c r="H84" s="10" t="s">
        <v>475</v>
      </c>
      <c r="I84" s="10">
        <v>1597</v>
      </c>
      <c r="O84" s="1742"/>
      <c r="P84" s="1742"/>
      <c r="Q84" s="1742"/>
      <c r="R84" s="1742"/>
      <c r="T84" s="1742"/>
      <c r="U84" s="1742"/>
      <c r="V84" s="1742"/>
      <c r="W84" s="1742"/>
      <c r="X84" s="1742"/>
      <c r="Y84" s="1742"/>
      <c r="Z84" s="1742"/>
      <c r="AA84" s="1742"/>
      <c r="AB84" s="1742"/>
      <c r="AC84" s="1742"/>
      <c r="AD84" s="1742"/>
      <c r="AE84" s="1742"/>
      <c r="AF84" s="1742"/>
      <c r="AG84" s="1742"/>
      <c r="AH84" s="1742"/>
    </row>
    <row r="85" spans="1:34" x14ac:dyDescent="0.3">
      <c r="A85" s="1703"/>
      <c r="E85" s="10" t="s">
        <v>477</v>
      </c>
      <c r="F85" s="864">
        <v>45704905</v>
      </c>
      <c r="H85" s="10" t="s">
        <v>477</v>
      </c>
      <c r="I85" s="864">
        <v>33784362</v>
      </c>
      <c r="O85" s="1742"/>
      <c r="P85" s="1742"/>
      <c r="Q85" s="1742"/>
      <c r="R85" s="1742"/>
      <c r="T85" s="1742"/>
      <c r="U85" s="1742"/>
      <c r="V85" s="1742"/>
      <c r="W85" s="1742"/>
      <c r="X85" s="1742"/>
      <c r="Y85" s="1742"/>
      <c r="Z85" s="1742"/>
      <c r="AA85" s="1742"/>
      <c r="AB85" s="1742"/>
      <c r="AC85" s="1742"/>
      <c r="AD85" s="1742"/>
      <c r="AE85" s="1742"/>
      <c r="AF85" s="1742"/>
      <c r="AG85" s="1742"/>
      <c r="AH85" s="1742"/>
    </row>
    <row r="86" spans="1:34" x14ac:dyDescent="0.3">
      <c r="A86" s="1703"/>
      <c r="K86" s="13"/>
      <c r="O86" s="1742"/>
      <c r="P86" s="1742"/>
      <c r="Q86" s="1742"/>
      <c r="R86" s="1742"/>
      <c r="T86" s="1742"/>
      <c r="U86" s="1742"/>
      <c r="V86" s="1742"/>
      <c r="W86" s="1742"/>
      <c r="X86" s="1742"/>
      <c r="Y86" s="1742"/>
      <c r="Z86" s="1742"/>
      <c r="AA86" s="1742"/>
      <c r="AB86" s="1742"/>
      <c r="AC86" s="1742"/>
      <c r="AD86" s="1742"/>
      <c r="AE86" s="1742"/>
      <c r="AF86" s="1742"/>
      <c r="AG86" s="1742"/>
      <c r="AH86" s="1742"/>
    </row>
    <row r="87" spans="1:34" x14ac:dyDescent="0.3">
      <c r="A87" s="1703"/>
      <c r="K87" s="13"/>
      <c r="O87" s="1742"/>
      <c r="P87" s="1742"/>
      <c r="Q87" s="1742"/>
      <c r="R87" s="1742"/>
      <c r="T87" s="1742"/>
      <c r="U87" s="1742"/>
      <c r="V87" s="1742"/>
      <c r="W87" s="1742"/>
      <c r="X87" s="1742"/>
      <c r="Y87" s="1742"/>
      <c r="Z87" s="1742"/>
      <c r="AA87" s="1742"/>
      <c r="AB87" s="1742"/>
      <c r="AC87" s="1742"/>
      <c r="AD87" s="1742"/>
      <c r="AE87" s="1742"/>
      <c r="AF87" s="1742"/>
      <c r="AG87" s="1742"/>
      <c r="AH87" s="1742"/>
    </row>
    <row r="88" spans="1:34" ht="18" x14ac:dyDescent="0.35">
      <c r="A88" s="1037" t="s">
        <v>549</v>
      </c>
      <c r="K88" s="13"/>
      <c r="O88" s="1742"/>
      <c r="P88" s="1742"/>
      <c r="Q88" s="1742"/>
      <c r="R88" s="1742"/>
      <c r="T88" s="1742"/>
      <c r="U88" s="1742"/>
      <c r="V88" s="1742"/>
      <c r="W88" s="1742"/>
      <c r="X88" s="1742"/>
      <c r="Y88" s="1742"/>
      <c r="Z88" s="1742"/>
      <c r="AA88" s="1742"/>
      <c r="AB88" s="1742"/>
      <c r="AC88" s="1742"/>
      <c r="AD88" s="1742"/>
      <c r="AE88" s="1742"/>
      <c r="AF88" s="1742"/>
      <c r="AG88" s="1742"/>
      <c r="AH88" s="1742"/>
    </row>
    <row r="89" spans="1:34" ht="18" x14ac:dyDescent="0.35">
      <c r="A89" s="1037"/>
      <c r="K89" s="13"/>
      <c r="O89" s="1742"/>
      <c r="P89" s="1742"/>
      <c r="Q89" s="1742"/>
      <c r="R89" s="1742"/>
      <c r="T89" s="1742"/>
      <c r="U89" s="1742"/>
      <c r="V89" s="1742"/>
      <c r="W89" s="1742"/>
      <c r="X89" s="1742"/>
      <c r="Y89" s="1742"/>
      <c r="Z89" s="1742"/>
      <c r="AA89" s="1742"/>
      <c r="AB89" s="1742"/>
      <c r="AC89" s="1742"/>
      <c r="AD89" s="1742"/>
      <c r="AE89" s="1742"/>
      <c r="AF89" s="1742"/>
      <c r="AG89" s="1742"/>
      <c r="AH89" s="1742"/>
    </row>
    <row r="90" spans="1:34" x14ac:dyDescent="0.3">
      <c r="A90" s="2560" t="s">
        <v>480</v>
      </c>
      <c r="B90" s="2561"/>
      <c r="C90" s="2561"/>
      <c r="D90" s="2561"/>
      <c r="E90" s="2561"/>
      <c r="F90" s="2561"/>
      <c r="G90" s="2561"/>
      <c r="H90" s="2561"/>
      <c r="I90" s="2561"/>
      <c r="J90" s="2561"/>
      <c r="K90" s="2561"/>
      <c r="L90" s="2561"/>
      <c r="M90" s="2561"/>
      <c r="N90" s="2561"/>
      <c r="O90" s="2561"/>
      <c r="P90" s="2561"/>
      <c r="Q90" s="2561"/>
      <c r="R90" s="2561"/>
      <c r="S90" s="2562"/>
      <c r="T90" s="2864" t="s">
        <v>584</v>
      </c>
      <c r="U90" s="2865"/>
      <c r="V90" s="2865"/>
      <c r="W90" s="2865"/>
      <c r="X90" s="2865"/>
      <c r="Y90" s="2865"/>
      <c r="Z90" s="2865"/>
      <c r="AA90" s="2865"/>
      <c r="AB90" s="2851"/>
      <c r="AC90" s="2851"/>
      <c r="AD90" s="2851"/>
      <c r="AE90" s="2851"/>
      <c r="AF90" s="2851"/>
      <c r="AG90" s="2851"/>
      <c r="AH90" s="2852"/>
    </row>
    <row r="91" spans="1:34" ht="18" x14ac:dyDescent="0.3">
      <c r="A91" s="2862" t="s">
        <v>482</v>
      </c>
      <c r="B91" s="2853" t="s">
        <v>483</v>
      </c>
      <c r="C91" s="2853" t="s">
        <v>484</v>
      </c>
      <c r="D91" s="2853" t="s">
        <v>485</v>
      </c>
      <c r="E91" s="2853" t="s">
        <v>486</v>
      </c>
      <c r="F91" s="2854" t="s">
        <v>487</v>
      </c>
      <c r="G91" s="2854" t="s">
        <v>487</v>
      </c>
      <c r="H91" s="2853" t="s">
        <v>488</v>
      </c>
      <c r="I91" s="2853" t="s">
        <v>489</v>
      </c>
      <c r="J91" s="2858" t="s">
        <v>490</v>
      </c>
      <c r="K91" s="2858"/>
      <c r="L91" s="2858"/>
      <c r="M91" s="2858"/>
      <c r="N91" s="1793" t="s">
        <v>491</v>
      </c>
      <c r="O91" s="1794" t="s">
        <v>492</v>
      </c>
      <c r="P91" s="1794" t="s">
        <v>493</v>
      </c>
      <c r="Q91" s="1794" t="s">
        <v>492</v>
      </c>
      <c r="R91" s="1794" t="s">
        <v>494</v>
      </c>
      <c r="S91" s="1795" t="s">
        <v>495</v>
      </c>
      <c r="T91" s="1796" t="s">
        <v>496</v>
      </c>
      <c r="U91" s="2859" t="s">
        <v>497</v>
      </c>
      <c r="V91" s="2860"/>
      <c r="W91" s="2860"/>
      <c r="X91" s="2860"/>
      <c r="Y91" s="2861"/>
      <c r="Z91" s="2859" t="s">
        <v>498</v>
      </c>
      <c r="AA91" s="2861"/>
      <c r="AB91" s="2855" t="s">
        <v>499</v>
      </c>
      <c r="AC91" s="2856"/>
      <c r="AD91" s="2856"/>
      <c r="AE91" s="2856"/>
      <c r="AF91" s="2856"/>
      <c r="AG91" s="2856"/>
      <c r="AH91" s="2857"/>
    </row>
    <row r="92" spans="1:34" ht="18" x14ac:dyDescent="0.3">
      <c r="A92" s="2786"/>
      <c r="B92" s="2454"/>
      <c r="C92" s="2454"/>
      <c r="D92" s="2454"/>
      <c r="E92" s="2454"/>
      <c r="F92" s="2452"/>
      <c r="G92" s="2452"/>
      <c r="H92" s="2454"/>
      <c r="I92" s="2454"/>
      <c r="J92" s="782" t="s">
        <v>500</v>
      </c>
      <c r="K92" s="782" t="s">
        <v>501</v>
      </c>
      <c r="L92" s="782" t="s">
        <v>502</v>
      </c>
      <c r="M92" s="782" t="s">
        <v>503</v>
      </c>
      <c r="N92" s="786" t="s">
        <v>504</v>
      </c>
      <c r="O92" s="787" t="s">
        <v>505</v>
      </c>
      <c r="P92" s="787" t="s">
        <v>506</v>
      </c>
      <c r="Q92" s="787" t="s">
        <v>507</v>
      </c>
      <c r="R92" s="787" t="s">
        <v>507</v>
      </c>
      <c r="S92" s="1544"/>
      <c r="T92" s="1797" t="s">
        <v>508</v>
      </c>
      <c r="U92" s="2839"/>
      <c r="V92" s="2840"/>
      <c r="W92" s="2840"/>
      <c r="X92" s="2840"/>
      <c r="Y92" s="2841"/>
      <c r="Z92" s="2839"/>
      <c r="AA92" s="2841"/>
      <c r="AB92" s="2839"/>
      <c r="AC92" s="2840"/>
      <c r="AD92" s="2840"/>
      <c r="AE92" s="2840"/>
      <c r="AF92" s="2840"/>
      <c r="AG92" s="2840"/>
      <c r="AH92" s="2841"/>
    </row>
    <row r="93" spans="1:34" ht="15.6" x14ac:dyDescent="0.3">
      <c r="A93" s="2842" t="s">
        <v>550</v>
      </c>
      <c r="B93" s="2843"/>
      <c r="C93" s="2843"/>
      <c r="D93" s="2843"/>
      <c r="E93" s="2843"/>
      <c r="F93" s="2843"/>
      <c r="G93" s="2843"/>
      <c r="H93" s="2843"/>
      <c r="I93" s="2843"/>
      <c r="J93" s="2843"/>
      <c r="K93" s="2843"/>
      <c r="L93" s="2843"/>
      <c r="M93" s="2843"/>
      <c r="N93" s="2843"/>
      <c r="O93" s="2843"/>
      <c r="P93" s="2843"/>
      <c r="Q93" s="2843"/>
      <c r="R93" s="2844"/>
      <c r="S93" s="1694"/>
      <c r="T93" s="1798"/>
      <c r="U93" s="1553" t="s">
        <v>510</v>
      </c>
      <c r="V93" s="1554" t="s">
        <v>11</v>
      </c>
      <c r="W93" s="1554" t="s">
        <v>511</v>
      </c>
      <c r="X93" s="1554" t="s">
        <v>512</v>
      </c>
      <c r="Y93" s="1578" t="s">
        <v>513</v>
      </c>
      <c r="Z93" s="1695" t="s">
        <v>514</v>
      </c>
      <c r="AA93" s="1696" t="s">
        <v>515</v>
      </c>
      <c r="AB93" s="1695" t="s">
        <v>1</v>
      </c>
      <c r="AC93" s="1697" t="s">
        <v>5</v>
      </c>
      <c r="AD93" s="1697" t="s">
        <v>156</v>
      </c>
      <c r="AE93" s="1697" t="s">
        <v>8</v>
      </c>
      <c r="AF93" s="1697" t="s">
        <v>9</v>
      </c>
      <c r="AG93" s="1697" t="s">
        <v>10</v>
      </c>
      <c r="AH93" s="1696" t="s">
        <v>140</v>
      </c>
    </row>
    <row r="94" spans="1:34" x14ac:dyDescent="0.3">
      <c r="A94" s="1799"/>
      <c r="B94" s="1799"/>
      <c r="C94" s="1799"/>
      <c r="D94" s="1800"/>
      <c r="E94" s="1800"/>
      <c r="F94" s="1800"/>
      <c r="G94" s="1800"/>
      <c r="H94" s="1800"/>
      <c r="I94" s="1800"/>
      <c r="J94" s="1801"/>
      <c r="K94" s="1801"/>
      <c r="L94" s="1802"/>
      <c r="M94" s="1803"/>
      <c r="N94" s="1804"/>
      <c r="O94" s="1805"/>
      <c r="P94" s="1805"/>
      <c r="Q94" s="1806"/>
      <c r="R94" s="1807"/>
      <c r="S94" s="1808"/>
      <c r="T94" s="1805"/>
      <c r="U94" s="1809"/>
      <c r="V94" s="1810"/>
      <c r="W94" s="1810"/>
      <c r="X94" s="1810"/>
      <c r="Y94" s="1806"/>
      <c r="Z94" s="1774"/>
      <c r="AA94" s="1711"/>
      <c r="AB94" s="1774"/>
      <c r="AC94" s="1775"/>
      <c r="AD94" s="1775"/>
      <c r="AE94" s="1775"/>
      <c r="AF94" s="1775"/>
      <c r="AG94" s="1775"/>
      <c r="AH94" s="1711"/>
    </row>
    <row r="95" spans="1:34" x14ac:dyDescent="0.3">
      <c r="A95" s="891" t="s">
        <v>1115</v>
      </c>
      <c r="B95" s="891" t="s">
        <v>20</v>
      </c>
      <c r="C95" s="891" t="s">
        <v>1116</v>
      </c>
      <c r="D95" s="891" t="s">
        <v>257</v>
      </c>
      <c r="E95" s="891" t="s">
        <v>518</v>
      </c>
      <c r="F95" s="1762" t="s">
        <v>911</v>
      </c>
      <c r="G95" s="891">
        <v>46</v>
      </c>
      <c r="H95" s="893">
        <v>15</v>
      </c>
      <c r="I95" s="894" t="s">
        <v>22</v>
      </c>
      <c r="J95" s="1763"/>
      <c r="K95" s="895">
        <v>15</v>
      </c>
      <c r="L95" s="895">
        <v>15</v>
      </c>
      <c r="M95" s="13"/>
      <c r="N95" s="896">
        <v>2</v>
      </c>
      <c r="O95" s="1702">
        <v>2851</v>
      </c>
      <c r="P95" s="1702">
        <v>0.59599999999999997</v>
      </c>
      <c r="Q95" s="1702">
        <f t="shared" ref="Q95:Q101" si="17">O95*(1-P95)</f>
        <v>1151.8040000000001</v>
      </c>
      <c r="R95" s="1702">
        <f t="shared" ref="R95:R101" si="18">Q95*H95*N95</f>
        <v>34554.120000000003</v>
      </c>
      <c r="S95" s="898">
        <f t="shared" ref="S95:S101" si="19">R95/$R$106</f>
        <v>9.2239136913326261E-2</v>
      </c>
      <c r="T95" s="1706">
        <f>R95*4</f>
        <v>138216.48000000001</v>
      </c>
      <c r="U95" s="1765"/>
      <c r="V95" s="21">
        <f>T95</f>
        <v>138216.48000000001</v>
      </c>
      <c r="W95" s="21"/>
      <c r="X95" s="21"/>
      <c r="Y95" s="1766"/>
      <c r="Z95" s="1767"/>
      <c r="AA95" s="1768">
        <f>T95</f>
        <v>138216.48000000001</v>
      </c>
      <c r="AB95" s="1767">
        <f>T95</f>
        <v>138216.48000000001</v>
      </c>
      <c r="AC95" s="1769"/>
      <c r="AD95" s="1769"/>
      <c r="AE95" s="1769"/>
      <c r="AF95" s="1769"/>
      <c r="AG95" s="1770"/>
      <c r="AH95" s="1771"/>
    </row>
    <row r="96" spans="1:34" x14ac:dyDescent="0.3">
      <c r="A96" s="891" t="s">
        <v>1115</v>
      </c>
      <c r="B96" s="902" t="s">
        <v>108</v>
      </c>
      <c r="C96" s="902" t="s">
        <v>1039</v>
      </c>
      <c r="D96" s="902" t="s">
        <v>258</v>
      </c>
      <c r="E96" s="902" t="s">
        <v>518</v>
      </c>
      <c r="F96" s="1762" t="s">
        <v>151</v>
      </c>
      <c r="G96" s="902">
        <v>40</v>
      </c>
      <c r="H96" s="902">
        <v>1</v>
      </c>
      <c r="I96" s="902" t="s">
        <v>22</v>
      </c>
      <c r="J96" s="906">
        <v>50</v>
      </c>
      <c r="K96" s="13"/>
      <c r="L96" s="13"/>
      <c r="M96" s="13"/>
      <c r="N96" s="896">
        <v>1</v>
      </c>
      <c r="O96" s="1702">
        <v>113400</v>
      </c>
      <c r="P96" s="1702">
        <v>0.25</v>
      </c>
      <c r="Q96" s="1702">
        <f t="shared" si="17"/>
        <v>85050</v>
      </c>
      <c r="R96" s="1702">
        <f t="shared" si="18"/>
        <v>85050</v>
      </c>
      <c r="S96" s="898">
        <f t="shared" si="19"/>
        <v>0.22703337820434721</v>
      </c>
      <c r="T96" s="1706">
        <f t="shared" ref="T96:T104" si="20">R96*4</f>
        <v>340200</v>
      </c>
      <c r="U96" s="1765"/>
      <c r="V96" s="21">
        <f>T96</f>
        <v>340200</v>
      </c>
      <c r="W96" s="21"/>
      <c r="X96" s="21"/>
      <c r="Y96" s="1766"/>
      <c r="Z96" s="1772"/>
      <c r="AA96" s="1768">
        <f>T96</f>
        <v>340200</v>
      </c>
      <c r="AB96" s="1767"/>
      <c r="AC96" s="1769">
        <f>T96</f>
        <v>340200</v>
      </c>
      <c r="AD96" s="1769"/>
      <c r="AE96" s="1769"/>
      <c r="AF96" s="1769"/>
      <c r="AG96" s="1770"/>
      <c r="AH96" s="1771"/>
    </row>
    <row r="97" spans="1:34" x14ac:dyDescent="0.3">
      <c r="A97" s="891" t="s">
        <v>1115</v>
      </c>
      <c r="B97" s="902" t="s">
        <v>158</v>
      </c>
      <c r="C97" s="902" t="s">
        <v>1116</v>
      </c>
      <c r="D97" s="902" t="s">
        <v>259</v>
      </c>
      <c r="E97" s="902" t="s">
        <v>520</v>
      </c>
      <c r="F97" s="1762" t="s">
        <v>552</v>
      </c>
      <c r="G97" s="902">
        <v>140</v>
      </c>
      <c r="H97" s="902">
        <v>15</v>
      </c>
      <c r="I97" s="902" t="s">
        <v>22</v>
      </c>
      <c r="J97" s="13"/>
      <c r="K97" s="895">
        <v>15</v>
      </c>
      <c r="L97" s="905">
        <v>15</v>
      </c>
      <c r="M97" s="13"/>
      <c r="N97" s="896">
        <v>2</v>
      </c>
      <c r="O97" s="1702">
        <v>2000</v>
      </c>
      <c r="P97" s="1702">
        <v>0.25</v>
      </c>
      <c r="Q97" s="1702">
        <f t="shared" si="17"/>
        <v>1500</v>
      </c>
      <c r="R97" s="1702">
        <f t="shared" si="18"/>
        <v>45000</v>
      </c>
      <c r="S97" s="1811">
        <f t="shared" si="19"/>
        <v>0.12012348053140065</v>
      </c>
      <c r="T97" s="1706">
        <f t="shared" si="20"/>
        <v>180000</v>
      </c>
      <c r="U97" s="1765"/>
      <c r="V97" s="21">
        <f>T97</f>
        <v>180000</v>
      </c>
      <c r="W97" s="21"/>
      <c r="X97" s="21"/>
      <c r="Y97" s="1766"/>
      <c r="Z97" s="1772">
        <f>T97</f>
        <v>180000</v>
      </c>
      <c r="AA97" s="1768"/>
      <c r="AB97" s="1767"/>
      <c r="AC97" s="1769"/>
      <c r="AD97" s="1769">
        <f>T97</f>
        <v>180000</v>
      </c>
      <c r="AE97" s="1769"/>
      <c r="AF97" s="1769"/>
      <c r="AG97" s="1770"/>
      <c r="AH97" s="1771"/>
    </row>
    <row r="98" spans="1:34" x14ac:dyDescent="0.3">
      <c r="A98" s="891" t="s">
        <v>1115</v>
      </c>
      <c r="B98" s="902" t="s">
        <v>250</v>
      </c>
      <c r="C98" s="902" t="s">
        <v>1117</v>
      </c>
      <c r="D98" s="902" t="s">
        <v>27</v>
      </c>
      <c r="E98" s="902" t="s">
        <v>520</v>
      </c>
      <c r="F98" s="1762" t="s">
        <v>796</v>
      </c>
      <c r="G98" s="902"/>
      <c r="H98" s="902">
        <v>13</v>
      </c>
      <c r="I98" s="902" t="s">
        <v>106</v>
      </c>
      <c r="J98" s="908">
        <v>13</v>
      </c>
      <c r="K98" s="895"/>
      <c r="L98" s="907"/>
      <c r="M98" s="907"/>
      <c r="N98" s="896">
        <v>1</v>
      </c>
      <c r="O98" s="1702">
        <f>3959*(1+50%)</f>
        <v>5938.5</v>
      </c>
      <c r="P98" s="1702">
        <v>0.2</v>
      </c>
      <c r="Q98" s="1702">
        <f t="shared" si="17"/>
        <v>4750.8</v>
      </c>
      <c r="R98" s="1702">
        <f t="shared" si="18"/>
        <v>61760.4</v>
      </c>
      <c r="S98" s="1811">
        <f t="shared" si="19"/>
        <v>0.16486387126692259</v>
      </c>
      <c r="T98" s="1706">
        <f t="shared" si="20"/>
        <v>247041.6</v>
      </c>
      <c r="U98" s="1765">
        <f>T98</f>
        <v>247041.6</v>
      </c>
      <c r="V98" s="21"/>
      <c r="W98" s="21"/>
      <c r="X98" s="21"/>
      <c r="Y98" s="1766"/>
      <c r="Z98" s="1772">
        <f t="shared" ref="Z98:Z99" si="21">T98</f>
        <v>247041.6</v>
      </c>
      <c r="AA98" s="1768"/>
      <c r="AB98" s="1767"/>
      <c r="AC98" s="1769"/>
      <c r="AD98" s="1769"/>
      <c r="AE98" s="1769">
        <f>T98</f>
        <v>247041.6</v>
      </c>
      <c r="AF98" s="1769"/>
      <c r="AG98" s="1770"/>
      <c r="AH98" s="1771"/>
    </row>
    <row r="99" spans="1:34" x14ac:dyDescent="0.3">
      <c r="A99" s="891" t="s">
        <v>1115</v>
      </c>
      <c r="B99" s="902" t="s">
        <v>215</v>
      </c>
      <c r="C99" s="902" t="s">
        <v>1037</v>
      </c>
      <c r="D99" s="902" t="s">
        <v>260</v>
      </c>
      <c r="E99" s="902" t="s">
        <v>524</v>
      </c>
      <c r="F99" s="1762" t="s">
        <v>591</v>
      </c>
      <c r="G99" s="902">
        <v>45</v>
      </c>
      <c r="H99" s="902">
        <v>4</v>
      </c>
      <c r="I99" s="902" t="s">
        <v>24</v>
      </c>
      <c r="J99" s="908">
        <v>4</v>
      </c>
      <c r="K99" s="895"/>
      <c r="L99" s="895"/>
      <c r="M99" s="2480"/>
      <c r="N99" s="896">
        <v>1</v>
      </c>
      <c r="O99" s="1706">
        <v>12000</v>
      </c>
      <c r="P99" s="1706">
        <v>0.25</v>
      </c>
      <c r="Q99" s="1706">
        <f t="shared" si="17"/>
        <v>9000</v>
      </c>
      <c r="R99" s="1702">
        <f t="shared" si="18"/>
        <v>36000</v>
      </c>
      <c r="S99" s="1811">
        <f t="shared" si="19"/>
        <v>9.6098784425120515E-2</v>
      </c>
      <c r="T99" s="1706">
        <f t="shared" si="20"/>
        <v>144000</v>
      </c>
      <c r="U99" s="1765">
        <f>T99</f>
        <v>144000</v>
      </c>
      <c r="V99" s="21"/>
      <c r="W99" s="21"/>
      <c r="X99" s="21"/>
      <c r="Y99" s="1766"/>
      <c r="Z99" s="1772">
        <f t="shared" si="21"/>
        <v>144000</v>
      </c>
      <c r="AA99" s="1768"/>
      <c r="AB99" s="1767"/>
      <c r="AC99" s="1769"/>
      <c r="AD99" s="1769"/>
      <c r="AE99" s="1769"/>
      <c r="AF99" s="1769">
        <f>T99</f>
        <v>144000</v>
      </c>
      <c r="AG99" s="1770"/>
      <c r="AH99" s="1771"/>
    </row>
    <row r="100" spans="1:34" x14ac:dyDescent="0.3">
      <c r="A100" s="891" t="s">
        <v>1115</v>
      </c>
      <c r="B100" s="902" t="s">
        <v>215</v>
      </c>
      <c r="C100" s="902" t="s">
        <v>1037</v>
      </c>
      <c r="D100" s="902" t="s">
        <v>261</v>
      </c>
      <c r="E100" s="902" t="s">
        <v>518</v>
      </c>
      <c r="F100" s="1762" t="s">
        <v>641</v>
      </c>
      <c r="G100" s="902">
        <v>25</v>
      </c>
      <c r="H100" s="902">
        <v>5</v>
      </c>
      <c r="I100" s="902" t="s">
        <v>22</v>
      </c>
      <c r="J100" s="13"/>
      <c r="K100" s="905">
        <v>5</v>
      </c>
      <c r="L100" s="895"/>
      <c r="M100" s="13"/>
      <c r="N100" s="896">
        <v>1</v>
      </c>
      <c r="O100" s="1706">
        <v>7200</v>
      </c>
      <c r="P100" s="1706">
        <v>0.25</v>
      </c>
      <c r="Q100" s="1706">
        <f t="shared" si="17"/>
        <v>5400</v>
      </c>
      <c r="R100" s="1702">
        <f t="shared" si="18"/>
        <v>27000</v>
      </c>
      <c r="S100" s="898">
        <f t="shared" si="19"/>
        <v>7.2074088318840393E-2</v>
      </c>
      <c r="T100" s="1706">
        <f t="shared" si="20"/>
        <v>108000</v>
      </c>
      <c r="U100" s="1765">
        <f>T100</f>
        <v>108000</v>
      </c>
      <c r="V100" s="21"/>
      <c r="W100" s="21"/>
      <c r="X100" s="21"/>
      <c r="Y100" s="1766"/>
      <c r="Z100" s="1772"/>
      <c r="AA100" s="1768">
        <f>T100</f>
        <v>108000</v>
      </c>
      <c r="AB100" s="1767"/>
      <c r="AC100" s="1769"/>
      <c r="AD100" s="1769"/>
      <c r="AE100" s="1769"/>
      <c r="AF100" s="1769">
        <f>T100</f>
        <v>108000</v>
      </c>
      <c r="AG100" s="1770"/>
      <c r="AH100" s="1771"/>
    </row>
    <row r="101" spans="1:34" x14ac:dyDescent="0.3">
      <c r="A101" s="891" t="s">
        <v>1115</v>
      </c>
      <c r="B101" s="902" t="s">
        <v>250</v>
      </c>
      <c r="C101" s="902" t="s">
        <v>1037</v>
      </c>
      <c r="D101" s="902" t="s">
        <v>29</v>
      </c>
      <c r="E101" s="902" t="s">
        <v>524</v>
      </c>
      <c r="F101" s="1762" t="s">
        <v>43</v>
      </c>
      <c r="G101" s="902">
        <v>10</v>
      </c>
      <c r="H101" s="902">
        <v>1</v>
      </c>
      <c r="I101" s="902" t="s">
        <v>24</v>
      </c>
      <c r="J101" s="908">
        <v>1</v>
      </c>
      <c r="K101" s="895"/>
      <c r="L101" s="895"/>
      <c r="M101" s="2480"/>
      <c r="N101" s="896">
        <v>1</v>
      </c>
      <c r="O101" s="1706">
        <v>35000</v>
      </c>
      <c r="P101" s="1706">
        <v>0.25</v>
      </c>
      <c r="Q101" s="1706">
        <f t="shared" si="17"/>
        <v>26250</v>
      </c>
      <c r="R101" s="1702">
        <f t="shared" si="18"/>
        <v>26250</v>
      </c>
      <c r="S101" s="1811">
        <f t="shared" si="19"/>
        <v>7.0072030309983713E-2</v>
      </c>
      <c r="T101" s="1706">
        <f t="shared" si="20"/>
        <v>105000</v>
      </c>
      <c r="U101" s="1765">
        <f>T101</f>
        <v>105000</v>
      </c>
      <c r="V101" s="21"/>
      <c r="W101" s="21"/>
      <c r="X101" s="21"/>
      <c r="Y101" s="1766"/>
      <c r="Z101" s="1772">
        <f>T101</f>
        <v>105000</v>
      </c>
      <c r="AA101" s="1768"/>
      <c r="AB101" s="1767"/>
      <c r="AC101" s="1769"/>
      <c r="AD101" s="1769"/>
      <c r="AE101" s="1769">
        <f>T101</f>
        <v>105000</v>
      </c>
      <c r="AF101" s="1769"/>
      <c r="AG101" s="1770"/>
      <c r="AH101" s="1771"/>
    </row>
    <row r="102" spans="1:34" x14ac:dyDescent="0.3">
      <c r="A102" s="891"/>
      <c r="B102" s="902"/>
      <c r="C102" s="902"/>
      <c r="D102" s="902"/>
      <c r="E102" s="902"/>
      <c r="F102" s="902"/>
      <c r="G102" s="902"/>
      <c r="H102" s="902"/>
      <c r="I102" s="902"/>
      <c r="J102" s="914"/>
      <c r="K102" s="914"/>
      <c r="L102" s="912"/>
      <c r="M102" s="912"/>
      <c r="N102" s="896"/>
      <c r="O102" s="1706"/>
      <c r="P102" s="1706"/>
      <c r="Q102" s="1706"/>
      <c r="R102" s="1706"/>
      <c r="S102" s="910"/>
      <c r="T102" s="1706"/>
      <c r="U102" s="1765"/>
      <c r="V102" s="21"/>
      <c r="W102" s="21"/>
      <c r="X102" s="21"/>
      <c r="Y102" s="1766"/>
      <c r="Z102" s="1765"/>
      <c r="AA102" s="1768"/>
      <c r="AB102" s="1767"/>
      <c r="AC102" s="1769"/>
      <c r="AD102" s="1769"/>
      <c r="AE102" s="1769"/>
      <c r="AF102" s="1769"/>
      <c r="AG102" s="1770"/>
      <c r="AH102" s="1771"/>
    </row>
    <row r="103" spans="1:34" x14ac:dyDescent="0.3">
      <c r="A103" s="915" t="s">
        <v>1115</v>
      </c>
      <c r="B103" s="916" t="s">
        <v>528</v>
      </c>
      <c r="C103" s="916" t="s">
        <v>1118</v>
      </c>
      <c r="D103" s="916"/>
      <c r="E103" s="916"/>
      <c r="F103" s="916"/>
      <c r="G103" s="916"/>
      <c r="H103" s="916"/>
      <c r="I103" s="916"/>
      <c r="J103" s="918"/>
      <c r="K103" s="918"/>
      <c r="L103" s="919"/>
      <c r="M103" s="919"/>
      <c r="N103" s="920"/>
      <c r="O103" s="1707"/>
      <c r="P103" s="1707"/>
      <c r="Q103" s="1707"/>
      <c r="R103" s="1707">
        <v>38500</v>
      </c>
      <c r="S103" s="922">
        <f>R103/R106</f>
        <v>0.10277231112130944</v>
      </c>
      <c r="T103" s="1706">
        <f t="shared" si="20"/>
        <v>154000</v>
      </c>
      <c r="U103" s="1765"/>
      <c r="V103" s="21"/>
      <c r="W103" s="21"/>
      <c r="X103" s="21">
        <f>T103</f>
        <v>154000</v>
      </c>
      <c r="Y103" s="1766"/>
      <c r="Z103" s="1765"/>
      <c r="AA103" s="1768"/>
      <c r="AB103" s="1767"/>
      <c r="AC103" s="1769"/>
      <c r="AD103" s="1769"/>
      <c r="AE103" s="1769"/>
      <c r="AF103" s="1769"/>
      <c r="AG103" s="1770"/>
      <c r="AH103" s="1771"/>
    </row>
    <row r="104" spans="1:34" x14ac:dyDescent="0.3">
      <c r="A104" s="915" t="s">
        <v>1115</v>
      </c>
      <c r="B104" s="916" t="s">
        <v>529</v>
      </c>
      <c r="C104" s="916"/>
      <c r="D104" s="916"/>
      <c r="E104" s="916"/>
      <c r="F104" s="916"/>
      <c r="G104" s="916"/>
      <c r="H104" s="916"/>
      <c r="I104" s="916"/>
      <c r="J104" s="924"/>
      <c r="K104" s="924"/>
      <c r="L104" s="924"/>
      <c r="M104" s="924"/>
      <c r="N104" s="916"/>
      <c r="O104" s="1708"/>
      <c r="P104" s="1708"/>
      <c r="Q104" s="1708"/>
      <c r="R104" s="1709">
        <v>20500</v>
      </c>
      <c r="S104" s="1710">
        <f>R104/R106</f>
        <v>5.4722918908749182E-2</v>
      </c>
      <c r="T104" s="1706">
        <f t="shared" si="20"/>
        <v>82000</v>
      </c>
      <c r="U104" s="1767"/>
      <c r="V104" s="1769"/>
      <c r="W104" s="1769"/>
      <c r="X104" s="1769"/>
      <c r="Y104" s="1768">
        <f>T104</f>
        <v>82000</v>
      </c>
      <c r="Z104" s="1767"/>
      <c r="AA104" s="1768"/>
      <c r="AB104" s="1767"/>
      <c r="AC104" s="1769"/>
      <c r="AD104" s="1769"/>
      <c r="AE104" s="1769"/>
      <c r="AF104" s="1769"/>
      <c r="AG104" s="1770"/>
      <c r="AH104" s="1771"/>
    </row>
    <row r="105" spans="1:34" x14ac:dyDescent="0.3">
      <c r="A105" s="1812"/>
      <c r="B105" s="863"/>
      <c r="C105" s="863"/>
      <c r="D105" s="863"/>
      <c r="E105" s="863"/>
      <c r="F105" s="863"/>
      <c r="G105" s="863"/>
      <c r="H105" s="863"/>
      <c r="I105" s="863"/>
      <c r="J105" s="1917">
        <f>J106/$N$106</f>
        <v>0.51127819548872178</v>
      </c>
      <c r="K105" s="1917">
        <f t="shared" ref="K105:M105" si="22">K106/$N$106</f>
        <v>0.26315789473684209</v>
      </c>
      <c r="L105" s="1917">
        <f t="shared" si="22"/>
        <v>0.22556390977443608</v>
      </c>
      <c r="M105" s="863">
        <f t="shared" si="22"/>
        <v>0</v>
      </c>
      <c r="N105" s="863"/>
      <c r="O105" s="1813"/>
      <c r="P105" s="1813"/>
      <c r="Q105" s="1813"/>
      <c r="R105" s="1814"/>
      <c r="S105" s="1815"/>
      <c r="T105" s="1816"/>
      <c r="U105" s="1817"/>
      <c r="V105" s="1818"/>
      <c r="W105" s="1818"/>
      <c r="X105" s="1818"/>
      <c r="Y105" s="1814"/>
      <c r="Z105" s="1817"/>
      <c r="AA105" s="1814"/>
      <c r="AB105" s="1817"/>
      <c r="AC105" s="1818"/>
      <c r="AD105" s="1818"/>
      <c r="AE105" s="1818"/>
      <c r="AF105" s="1818"/>
      <c r="AG105" s="1819"/>
      <c r="AH105" s="1820"/>
    </row>
    <row r="106" spans="1:34" x14ac:dyDescent="0.3">
      <c r="A106" s="1821" t="s">
        <v>531</v>
      </c>
      <c r="B106" s="1822"/>
      <c r="C106" s="1822"/>
      <c r="D106" s="1822"/>
      <c r="E106" s="1822"/>
      <c r="F106" s="1822"/>
      <c r="G106" s="1822"/>
      <c r="H106" s="1822"/>
      <c r="I106" s="1822"/>
      <c r="J106" s="1823">
        <f>J101+J99+J98+J96</f>
        <v>68</v>
      </c>
      <c r="K106" s="1823">
        <f>K95+K100+K97</f>
        <v>35</v>
      </c>
      <c r="L106" s="1823">
        <f>L97+L95</f>
        <v>30</v>
      </c>
      <c r="M106" s="1823">
        <f>M95+M97</f>
        <v>0</v>
      </c>
      <c r="N106" s="1823">
        <f>SUM(J106:M106)</f>
        <v>133</v>
      </c>
      <c r="O106" s="1824"/>
      <c r="P106" s="1824"/>
      <c r="Q106" s="1824"/>
      <c r="R106" s="1825">
        <f>SUM(R95:R104)</f>
        <v>374614.52</v>
      </c>
      <c r="S106" s="1826">
        <f>SUM(S95:S104)</f>
        <v>0.99999999999999989</v>
      </c>
      <c r="T106" s="1827">
        <f>SUM(T94:T104)</f>
        <v>1498458.08</v>
      </c>
      <c r="U106" s="1828">
        <f>SUM(U94:U105)</f>
        <v>604041.6</v>
      </c>
      <c r="V106" s="1824">
        <f>SUM(V94:V105)</f>
        <v>658416.48</v>
      </c>
      <c r="W106" s="1824">
        <f t="shared" ref="W106:AF106" si="23">SUM(W94:W105)</f>
        <v>0</v>
      </c>
      <c r="X106" s="1824">
        <f t="shared" si="23"/>
        <v>154000</v>
      </c>
      <c r="Y106" s="1824">
        <f t="shared" si="23"/>
        <v>82000</v>
      </c>
      <c r="Z106" s="1828">
        <f t="shared" si="23"/>
        <v>676041.6</v>
      </c>
      <c r="AA106" s="1825">
        <f t="shared" si="23"/>
        <v>586416.48</v>
      </c>
      <c r="AB106" s="1828">
        <f t="shared" si="23"/>
        <v>138216.48000000001</v>
      </c>
      <c r="AC106" s="1824">
        <f t="shared" si="23"/>
        <v>340200</v>
      </c>
      <c r="AD106" s="1824">
        <f t="shared" si="23"/>
        <v>180000</v>
      </c>
      <c r="AE106" s="1824">
        <f t="shared" si="23"/>
        <v>352041.6</v>
      </c>
      <c r="AF106" s="1824">
        <f t="shared" si="23"/>
        <v>252000</v>
      </c>
      <c r="AG106" s="1829"/>
      <c r="AH106" s="1830"/>
    </row>
    <row r="107" spans="1:34" x14ac:dyDescent="0.3">
      <c r="A107" s="1821" t="s">
        <v>532</v>
      </c>
      <c r="B107" s="1822"/>
      <c r="C107" s="1822"/>
      <c r="D107" s="1822"/>
      <c r="E107" s="1822"/>
      <c r="F107" s="1822"/>
      <c r="G107" s="1822"/>
      <c r="H107" s="1822"/>
      <c r="I107" s="1822"/>
      <c r="J107" s="1823">
        <f>J101+J99+J98+J96</f>
        <v>68</v>
      </c>
      <c r="K107" s="1823">
        <f>J101+K100+J99+J98+K1075+K97+K95</f>
        <v>53</v>
      </c>
      <c r="L107" s="1823">
        <f>J101+K100+J99+L97+L95</f>
        <v>40</v>
      </c>
      <c r="M107" s="1823"/>
      <c r="N107" s="1831">
        <f>J107+K107+L107+M111+M107</f>
        <v>161</v>
      </c>
      <c r="O107" s="1824"/>
      <c r="P107" s="1824"/>
      <c r="Q107" s="1824"/>
      <c r="R107" s="1825"/>
      <c r="S107" s="1832"/>
      <c r="T107" s="1833"/>
      <c r="U107" s="1834">
        <f>U106/T106</f>
        <v>0.40310877432086717</v>
      </c>
      <c r="V107" s="1834">
        <f>V106/$T$106</f>
        <v>0.43939599564907411</v>
      </c>
      <c r="W107" s="1834">
        <f t="shared" ref="W107:Y107" si="24">W106/$T$106</f>
        <v>0</v>
      </c>
      <c r="X107" s="1834">
        <f t="shared" si="24"/>
        <v>0.10277231112130944</v>
      </c>
      <c r="Y107" s="1834">
        <f t="shared" si="24"/>
        <v>5.4722918908749182E-2</v>
      </c>
      <c r="Z107" s="1834">
        <f>Z106/T106</f>
        <v>0.45115816653342744</v>
      </c>
      <c r="AA107" s="1834">
        <f>AA106/T106</f>
        <v>0.39134660343651384</v>
      </c>
      <c r="AB107" s="1833"/>
      <c r="AC107" s="1833"/>
      <c r="AD107" s="1833"/>
      <c r="AE107" s="1833"/>
      <c r="AF107" s="1833"/>
      <c r="AG107" s="1835"/>
      <c r="AH107" s="1836"/>
    </row>
    <row r="108" spans="1:34" x14ac:dyDescent="0.3">
      <c r="A108" s="1837" t="s">
        <v>533</v>
      </c>
      <c r="B108" s="1838"/>
      <c r="C108" s="1838"/>
      <c r="D108" s="1838"/>
      <c r="E108" s="1838"/>
      <c r="F108" s="1838"/>
      <c r="G108" s="1838"/>
      <c r="H108" s="1838"/>
      <c r="I108" s="1838"/>
      <c r="J108" s="2202">
        <f>J107/$N$107</f>
        <v>0.42236024844720499</v>
      </c>
      <c r="K108" s="2202">
        <f t="shared" ref="K108:L108" si="25">K107/$N$107</f>
        <v>0.32919254658385094</v>
      </c>
      <c r="L108" s="2202">
        <f t="shared" si="25"/>
        <v>0.2484472049689441</v>
      </c>
      <c r="M108" s="1839"/>
      <c r="N108" s="1839"/>
      <c r="O108" s="1840"/>
      <c r="P108" s="1841"/>
      <c r="Q108" s="1841"/>
      <c r="R108" s="1842">
        <f>U106/4</f>
        <v>151010.4</v>
      </c>
      <c r="S108" s="1843">
        <f>R108/R113</f>
        <v>0.40310877432086717</v>
      </c>
      <c r="T108" s="1844"/>
      <c r="U108" s="1844"/>
      <c r="V108" s="1844"/>
      <c r="W108" s="1844"/>
      <c r="X108" s="1844"/>
      <c r="Y108" s="1845"/>
      <c r="Z108" s="1846">
        <f>K97+L97+J98+J99+J101</f>
        <v>48</v>
      </c>
      <c r="AA108" s="1847">
        <f>K95+L95+J96+K100</f>
        <v>85</v>
      </c>
      <c r="AB108" s="1844"/>
      <c r="AC108" s="1844"/>
      <c r="AD108" s="1844"/>
      <c r="AE108" s="1844"/>
      <c r="AF108" s="1844"/>
      <c r="AG108" s="1844"/>
      <c r="AH108" s="1844"/>
    </row>
    <row r="109" spans="1:34" x14ac:dyDescent="0.3">
      <c r="A109" s="1848" t="s">
        <v>11</v>
      </c>
      <c r="B109" s="924"/>
      <c r="C109" s="924"/>
      <c r="D109" s="1849"/>
      <c r="E109" s="1849"/>
      <c r="F109" s="924"/>
      <c r="G109" s="924"/>
      <c r="H109" s="924"/>
      <c r="I109" s="924"/>
      <c r="J109" s="924"/>
      <c r="K109" s="924"/>
      <c r="L109" s="924"/>
      <c r="M109" s="1850"/>
      <c r="N109" s="1850"/>
      <c r="O109" s="1851"/>
      <c r="P109" s="1852"/>
      <c r="Q109" s="1852"/>
      <c r="R109" s="1853">
        <f>V106/4</f>
        <v>164604.12</v>
      </c>
      <c r="S109" s="1843">
        <f>R109/R113</f>
        <v>0.43939599564907411</v>
      </c>
      <c r="T109" s="1854">
        <f>R106/N106</f>
        <v>2816.6505263157896</v>
      </c>
      <c r="U109" s="1855" t="s">
        <v>535</v>
      </c>
      <c r="V109" s="1844"/>
      <c r="W109" s="1844"/>
      <c r="X109" s="1844"/>
      <c r="Y109" s="1844"/>
      <c r="Z109" s="1856">
        <f>Z108/N106</f>
        <v>0.36090225563909772</v>
      </c>
      <c r="AA109" s="1857">
        <f>AA108/N106</f>
        <v>0.63909774436090228</v>
      </c>
      <c r="AB109" s="1844"/>
      <c r="AC109" s="1844"/>
      <c r="AD109" s="1844"/>
      <c r="AE109" s="1844"/>
      <c r="AF109" s="1844"/>
      <c r="AG109" s="1844"/>
      <c r="AH109" s="1844"/>
    </row>
    <row r="110" spans="1:34" x14ac:dyDescent="0.3">
      <c r="A110" s="1848" t="s">
        <v>536</v>
      </c>
      <c r="B110" s="924"/>
      <c r="C110" s="924"/>
      <c r="D110" s="1849"/>
      <c r="E110" s="1849"/>
      <c r="F110" s="1850"/>
      <c r="G110" s="924"/>
      <c r="H110" s="924"/>
      <c r="I110" s="924"/>
      <c r="J110" s="924"/>
      <c r="K110" s="924"/>
      <c r="L110" s="924"/>
      <c r="M110" s="924"/>
      <c r="N110" s="924"/>
      <c r="O110" s="1852"/>
      <c r="P110" s="1852"/>
      <c r="Q110" s="1852"/>
      <c r="R110" s="1853">
        <f>W106/4</f>
        <v>0</v>
      </c>
      <c r="S110" s="1843">
        <f>R110/R113</f>
        <v>0</v>
      </c>
      <c r="T110" s="1844"/>
      <c r="U110" s="1844"/>
      <c r="V110" s="1844"/>
      <c r="W110" s="1844"/>
      <c r="X110" s="1844"/>
      <c r="Y110" s="1844"/>
      <c r="Z110" s="2811" t="s">
        <v>537</v>
      </c>
      <c r="AA110" s="2811"/>
      <c r="AB110" s="1844"/>
      <c r="AC110" s="1844"/>
      <c r="AD110" s="1844"/>
      <c r="AE110" s="1844"/>
      <c r="AF110" s="1844"/>
      <c r="AG110" s="1844"/>
      <c r="AH110" s="1844"/>
    </row>
    <row r="111" spans="1:34" x14ac:dyDescent="0.3">
      <c r="A111" s="1848" t="s">
        <v>528</v>
      </c>
      <c r="B111" s="924"/>
      <c r="C111" s="924"/>
      <c r="D111" s="924"/>
      <c r="E111" s="924"/>
      <c r="F111" s="924"/>
      <c r="G111" s="924"/>
      <c r="H111" s="924"/>
      <c r="I111" s="924"/>
      <c r="J111" s="924"/>
      <c r="K111" s="924"/>
      <c r="L111" s="924"/>
      <c r="M111" s="924"/>
      <c r="N111" s="924"/>
      <c r="O111" s="1852"/>
      <c r="P111" s="1852"/>
      <c r="Q111" s="1852"/>
      <c r="R111" s="1853">
        <f>X106/4</f>
        <v>38500</v>
      </c>
      <c r="S111" s="1843">
        <f>R111/R113</f>
        <v>0.10277231112130944</v>
      </c>
      <c r="T111" s="1844"/>
      <c r="U111" s="1844"/>
      <c r="V111" s="1844"/>
      <c r="W111" s="1844"/>
      <c r="X111" s="1844"/>
      <c r="Y111" s="1844"/>
      <c r="Z111" s="1844"/>
      <c r="AA111" s="1844"/>
      <c r="AB111" s="1844"/>
      <c r="AC111" s="1844"/>
      <c r="AD111" s="1844"/>
      <c r="AE111" s="1844"/>
      <c r="AF111" s="1844"/>
      <c r="AG111" s="1844"/>
      <c r="AH111" s="1844"/>
    </row>
    <row r="112" spans="1:34" x14ac:dyDescent="0.3">
      <c r="A112" s="1848" t="s">
        <v>529</v>
      </c>
      <c r="B112" s="924"/>
      <c r="C112" s="924"/>
      <c r="D112" s="924"/>
      <c r="E112" s="924"/>
      <c r="F112" s="924"/>
      <c r="G112" s="924"/>
      <c r="H112" s="924"/>
      <c r="I112" s="924"/>
      <c r="J112" s="924"/>
      <c r="K112" s="924"/>
      <c r="L112" s="924"/>
      <c r="M112" s="924"/>
      <c r="N112" s="924"/>
      <c r="O112" s="1852"/>
      <c r="P112" s="1852"/>
      <c r="Q112" s="1852"/>
      <c r="R112" s="1853">
        <f>Y106/4</f>
        <v>20500</v>
      </c>
      <c r="S112" s="1843">
        <f>R112/R113</f>
        <v>5.4722918908749182E-2</v>
      </c>
      <c r="T112" s="1858"/>
      <c r="U112" s="1858"/>
      <c r="V112" s="1858"/>
      <c r="W112" s="1858"/>
      <c r="X112" s="1858"/>
      <c r="Y112" s="1858"/>
      <c r="Z112" s="1858"/>
      <c r="AA112" s="1858"/>
      <c r="AB112" s="1858"/>
      <c r="AC112" s="1858"/>
      <c r="AD112" s="1858"/>
      <c r="AE112" s="1858"/>
      <c r="AF112" s="1858"/>
      <c r="AG112" s="1858"/>
      <c r="AH112" s="1858"/>
    </row>
    <row r="113" spans="1:36" x14ac:dyDescent="0.3">
      <c r="A113" s="1848"/>
      <c r="B113" s="924"/>
      <c r="C113" s="924"/>
      <c r="D113" s="924"/>
      <c r="E113" s="924"/>
      <c r="F113" s="924"/>
      <c r="G113" s="924"/>
      <c r="H113" s="924"/>
      <c r="I113" s="924"/>
      <c r="J113" s="924"/>
      <c r="K113" s="924"/>
      <c r="L113" s="924"/>
      <c r="M113" s="924"/>
      <c r="N113" s="924"/>
      <c r="O113" s="1852"/>
      <c r="P113" s="1852"/>
      <c r="Q113" s="1852"/>
      <c r="R113" s="1853">
        <f>SUM(R108:R112)</f>
        <v>374614.52</v>
      </c>
      <c r="S113" s="1859">
        <f>SUM(S108:S112)</f>
        <v>0.99999999999999989</v>
      </c>
      <c r="T113" s="1858"/>
      <c r="U113" s="1858"/>
      <c r="V113" s="1858"/>
      <c r="W113" s="1858"/>
      <c r="X113" s="1858"/>
      <c r="Y113" s="1858"/>
      <c r="Z113" s="1858"/>
      <c r="AA113" s="1858"/>
      <c r="AB113" s="1858"/>
      <c r="AC113" s="1858"/>
      <c r="AD113" s="1858"/>
      <c r="AE113" s="1858"/>
      <c r="AF113" s="1858"/>
      <c r="AG113" s="1858"/>
      <c r="AH113" s="1858"/>
    </row>
    <row r="114" spans="1:36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860"/>
      <c r="P114" s="1860"/>
      <c r="Q114" s="1860"/>
      <c r="R114" s="1860"/>
      <c r="S114" s="1861"/>
      <c r="T114" s="1860"/>
      <c r="U114" s="1860"/>
      <c r="V114" s="1860"/>
      <c r="W114" s="1860"/>
      <c r="X114" s="1860"/>
      <c r="Y114" s="1860"/>
      <c r="Z114" s="1860"/>
      <c r="AA114" s="1860"/>
      <c r="AB114" s="1860"/>
      <c r="AC114" s="1860"/>
      <c r="AD114" s="1860"/>
      <c r="AE114" s="1860"/>
      <c r="AF114" s="1860"/>
      <c r="AG114" s="1858"/>
      <c r="AH114" s="1858"/>
    </row>
    <row r="115" spans="1:36" x14ac:dyDescent="0.3">
      <c r="A115" s="1704"/>
      <c r="O115" s="1860"/>
      <c r="P115" s="1860"/>
      <c r="Q115" s="1860"/>
      <c r="R115" s="1860"/>
      <c r="S115" s="1861"/>
      <c r="T115" s="1860"/>
      <c r="U115" s="1860"/>
      <c r="V115" s="1860"/>
      <c r="W115" s="1860"/>
      <c r="X115" s="1860"/>
      <c r="Y115" s="1860"/>
      <c r="Z115" s="1860"/>
      <c r="AA115" s="1860"/>
      <c r="AB115" s="1860"/>
      <c r="AC115" s="1860"/>
      <c r="AD115" s="1860"/>
      <c r="AE115" s="1860"/>
      <c r="AF115" s="1860"/>
      <c r="AG115" s="1860"/>
      <c r="AH115" s="1860"/>
    </row>
    <row r="116" spans="1:36" x14ac:dyDescent="0.3">
      <c r="A116" s="1703"/>
      <c r="K116" s="13"/>
      <c r="O116" s="1742"/>
      <c r="P116" s="1742"/>
      <c r="Q116" s="1742"/>
      <c r="R116" s="1742"/>
      <c r="S116" s="966"/>
      <c r="T116" s="1742"/>
      <c r="U116" s="1742"/>
      <c r="V116" s="1742"/>
      <c r="W116" s="1742"/>
      <c r="X116" s="1742"/>
      <c r="Y116" s="1742"/>
      <c r="Z116" s="1742"/>
      <c r="AA116" s="1742"/>
      <c r="AB116" s="1742"/>
      <c r="AC116" s="1742"/>
      <c r="AD116" s="1742"/>
      <c r="AE116" s="1742"/>
      <c r="AF116" s="1742"/>
      <c r="AG116" s="1742"/>
      <c r="AH116" s="1742"/>
    </row>
    <row r="117" spans="1:36" x14ac:dyDescent="0.3">
      <c r="A117" s="1703"/>
      <c r="K117" s="13"/>
      <c r="O117" s="1742"/>
      <c r="P117" s="1742"/>
      <c r="Q117" s="1742"/>
      <c r="R117" s="1742"/>
      <c r="S117" s="966"/>
      <c r="T117" s="1742"/>
      <c r="U117" s="1742"/>
      <c r="V117" s="1742"/>
      <c r="W117" s="1742"/>
      <c r="X117" s="1742"/>
      <c r="Y117" s="1742"/>
      <c r="Z117" s="1742"/>
      <c r="AA117" s="1742"/>
      <c r="AB117" s="1742"/>
      <c r="AC117" s="1742"/>
      <c r="AD117" s="1742"/>
      <c r="AE117" s="1742"/>
      <c r="AF117" s="1742"/>
      <c r="AG117" s="1742"/>
      <c r="AH117" s="1742"/>
    </row>
    <row r="118" spans="1:36" ht="18" x14ac:dyDescent="0.35">
      <c r="A118" s="1037" t="s">
        <v>554</v>
      </c>
      <c r="K118" s="13"/>
      <c r="O118" s="1742"/>
      <c r="P118" s="1742"/>
      <c r="Q118" s="1742"/>
      <c r="R118" s="1742"/>
      <c r="S118" s="966"/>
      <c r="T118" s="1742"/>
      <c r="U118" s="1742"/>
      <c r="V118" s="1742"/>
      <c r="W118" s="1742"/>
      <c r="X118" s="1742"/>
      <c r="Y118" s="1742"/>
      <c r="Z118" s="1742"/>
      <c r="AA118" s="1742"/>
      <c r="AB118" s="1742"/>
      <c r="AC118" s="1742"/>
      <c r="AD118" s="1742"/>
      <c r="AE118" s="1742"/>
      <c r="AF118" s="1742"/>
      <c r="AG118" s="1742"/>
      <c r="AH118" s="1742"/>
    </row>
    <row r="119" spans="1:36" x14ac:dyDescent="0.3">
      <c r="A119" s="1703"/>
      <c r="K119" s="13"/>
      <c r="O119" s="1742"/>
      <c r="P119" s="1742"/>
      <c r="Q119" s="1742"/>
      <c r="R119" s="1742"/>
      <c r="S119" s="966"/>
      <c r="T119" s="1742"/>
      <c r="U119" s="1742"/>
      <c r="V119" s="1742"/>
      <c r="W119" s="1742"/>
      <c r="X119" s="1742"/>
      <c r="Y119" s="1742"/>
      <c r="Z119" s="1742"/>
      <c r="AA119" s="1742"/>
      <c r="AB119" s="1742"/>
      <c r="AC119" s="1742"/>
      <c r="AD119" s="1742"/>
      <c r="AE119" s="1742"/>
      <c r="AF119" s="1742"/>
      <c r="AG119" s="1742"/>
      <c r="AH119" s="1742"/>
    </row>
    <row r="120" spans="1:36" x14ac:dyDescent="0.3">
      <c r="A120" s="2560" t="s">
        <v>480</v>
      </c>
      <c r="B120" s="2561"/>
      <c r="C120" s="2561"/>
      <c r="D120" s="2561"/>
      <c r="E120" s="2561"/>
      <c r="F120" s="2561"/>
      <c r="G120" s="2561"/>
      <c r="H120" s="2561"/>
      <c r="I120" s="2561"/>
      <c r="J120" s="2561"/>
      <c r="K120" s="2561"/>
      <c r="L120" s="2561"/>
      <c r="M120" s="2561"/>
      <c r="N120" s="2561"/>
      <c r="O120" s="2561"/>
      <c r="P120" s="2561"/>
      <c r="Q120" s="2561"/>
      <c r="R120" s="2561"/>
      <c r="S120" s="2562"/>
      <c r="T120" s="2850" t="s">
        <v>584</v>
      </c>
      <c r="U120" s="2851"/>
      <c r="V120" s="2851"/>
      <c r="W120" s="2851"/>
      <c r="X120" s="2851"/>
      <c r="Y120" s="2851"/>
      <c r="Z120" s="2851"/>
      <c r="AA120" s="2851"/>
      <c r="AB120" s="2851"/>
      <c r="AC120" s="2851"/>
      <c r="AD120" s="2851"/>
      <c r="AE120" s="2851"/>
      <c r="AF120" s="2851"/>
      <c r="AG120" s="2851"/>
      <c r="AH120" s="2852"/>
    </row>
    <row r="121" spans="1:36" ht="69" x14ac:dyDescent="0.3">
      <c r="A121" s="1862" t="s">
        <v>482</v>
      </c>
      <c r="B121" s="1862" t="s">
        <v>483</v>
      </c>
      <c r="C121" s="1862" t="s">
        <v>484</v>
      </c>
      <c r="D121" s="1862" t="s">
        <v>555</v>
      </c>
      <c r="E121" s="2853" t="s">
        <v>486</v>
      </c>
      <c r="F121" s="2854" t="s">
        <v>487</v>
      </c>
      <c r="G121" s="1862" t="s">
        <v>1121</v>
      </c>
      <c r="H121" s="2834" t="s">
        <v>1122</v>
      </c>
      <c r="I121" s="2845" t="s">
        <v>489</v>
      </c>
      <c r="J121" s="2847" t="s">
        <v>490</v>
      </c>
      <c r="K121" s="2847"/>
      <c r="L121" s="2847"/>
      <c r="M121" s="2847"/>
      <c r="N121" s="2848" t="s">
        <v>863</v>
      </c>
      <c r="O121" s="2832" t="s">
        <v>864</v>
      </c>
      <c r="P121" s="2832" t="s">
        <v>865</v>
      </c>
      <c r="Q121" s="2832" t="s">
        <v>866</v>
      </c>
      <c r="R121" s="2832" t="s">
        <v>867</v>
      </c>
      <c r="S121" s="2834" t="s">
        <v>495</v>
      </c>
      <c r="T121" s="1863" t="s">
        <v>496</v>
      </c>
      <c r="U121" s="2836" t="s">
        <v>497</v>
      </c>
      <c r="V121" s="2837"/>
      <c r="W121" s="2837"/>
      <c r="X121" s="2837"/>
      <c r="Y121" s="2838"/>
      <c r="Z121" s="2836" t="s">
        <v>498</v>
      </c>
      <c r="AA121" s="2838"/>
      <c r="AB121" s="2836" t="s">
        <v>499</v>
      </c>
      <c r="AC121" s="2837"/>
      <c r="AD121" s="2837"/>
      <c r="AE121" s="2837"/>
      <c r="AF121" s="2837"/>
      <c r="AG121" s="2837"/>
      <c r="AH121" s="2838"/>
    </row>
    <row r="122" spans="1:36" ht="18" x14ac:dyDescent="0.3">
      <c r="A122" s="1864"/>
      <c r="B122" s="1864"/>
      <c r="C122" s="1864"/>
      <c r="D122" s="1864"/>
      <c r="E122" s="2454"/>
      <c r="F122" s="2452"/>
      <c r="G122" s="1864" t="s">
        <v>1123</v>
      </c>
      <c r="H122" s="2835"/>
      <c r="I122" s="2846"/>
      <c r="J122" s="1865" t="s">
        <v>500</v>
      </c>
      <c r="K122" s="1865" t="s">
        <v>501</v>
      </c>
      <c r="L122" s="1866" t="s">
        <v>502</v>
      </c>
      <c r="M122" s="1866" t="s">
        <v>503</v>
      </c>
      <c r="N122" s="2849"/>
      <c r="O122" s="2833"/>
      <c r="P122" s="2833"/>
      <c r="Q122" s="2833"/>
      <c r="R122" s="2833"/>
      <c r="S122" s="2835"/>
      <c r="T122" s="1797" t="s">
        <v>508</v>
      </c>
      <c r="U122" s="2839"/>
      <c r="V122" s="2840"/>
      <c r="W122" s="2840"/>
      <c r="X122" s="2840"/>
      <c r="Y122" s="2841"/>
      <c r="Z122" s="2839"/>
      <c r="AA122" s="2841"/>
      <c r="AB122" s="2839"/>
      <c r="AC122" s="2840"/>
      <c r="AD122" s="2840"/>
      <c r="AE122" s="2840"/>
      <c r="AF122" s="2840"/>
      <c r="AG122" s="2840"/>
      <c r="AH122" s="2841"/>
    </row>
    <row r="123" spans="1:36" ht="15.6" x14ac:dyDescent="0.3">
      <c r="A123" s="2842" t="s">
        <v>1124</v>
      </c>
      <c r="B123" s="2843"/>
      <c r="C123" s="2843"/>
      <c r="D123" s="2843"/>
      <c r="E123" s="2843"/>
      <c r="F123" s="2843"/>
      <c r="G123" s="2843"/>
      <c r="H123" s="2843"/>
      <c r="I123" s="2843"/>
      <c r="J123" s="2843"/>
      <c r="K123" s="2843"/>
      <c r="L123" s="2843"/>
      <c r="M123" s="2843"/>
      <c r="N123" s="2843"/>
      <c r="O123" s="2843"/>
      <c r="P123" s="2843"/>
      <c r="Q123" s="2843"/>
      <c r="R123" s="2844"/>
      <c r="S123" s="1694"/>
      <c r="T123" s="1798"/>
      <c r="U123" s="1553" t="s">
        <v>510</v>
      </c>
      <c r="V123" s="1554" t="s">
        <v>11</v>
      </c>
      <c r="W123" s="1554" t="s">
        <v>511</v>
      </c>
      <c r="X123" s="1554" t="s">
        <v>512</v>
      </c>
      <c r="Y123" s="1578" t="s">
        <v>513</v>
      </c>
      <c r="Z123" s="1695" t="s">
        <v>514</v>
      </c>
      <c r="AA123" s="1696" t="s">
        <v>515</v>
      </c>
      <c r="AB123" s="1695" t="s">
        <v>1</v>
      </c>
      <c r="AC123" s="1697" t="s">
        <v>5</v>
      </c>
      <c r="AD123" s="1697" t="s">
        <v>156</v>
      </c>
      <c r="AE123" s="1697" t="s">
        <v>8</v>
      </c>
      <c r="AF123" s="1697" t="s">
        <v>9</v>
      </c>
      <c r="AG123" s="1697" t="s">
        <v>10</v>
      </c>
      <c r="AH123" s="1696" t="s">
        <v>140</v>
      </c>
      <c r="AI123" s="10"/>
      <c r="AJ123" s="10"/>
    </row>
    <row r="124" spans="1:36" ht="15.6" x14ac:dyDescent="0.3">
      <c r="A124" s="1754"/>
      <c r="B124" s="1754"/>
      <c r="C124" s="1754"/>
      <c r="D124" s="876"/>
      <c r="E124" s="876"/>
      <c r="F124" s="876"/>
      <c r="G124" s="876"/>
      <c r="H124" s="876"/>
      <c r="I124" s="876"/>
      <c r="J124" s="878"/>
      <c r="K124" s="878"/>
      <c r="L124" s="879"/>
      <c r="M124" s="880"/>
      <c r="N124" s="881"/>
      <c r="O124" s="1698"/>
      <c r="P124" s="1698"/>
      <c r="Q124" s="1699"/>
      <c r="R124" s="1700"/>
      <c r="S124" s="1701"/>
      <c r="T124" s="1805"/>
      <c r="U124" s="1809"/>
      <c r="V124" s="1810"/>
      <c r="W124" s="1810"/>
      <c r="X124" s="1810"/>
      <c r="Y124" s="1806"/>
      <c r="Z124" s="1774"/>
      <c r="AA124" s="1711"/>
      <c r="AB124" s="1774"/>
      <c r="AC124" s="1775"/>
      <c r="AD124" s="1775"/>
      <c r="AE124" s="1775"/>
      <c r="AF124" s="1775"/>
      <c r="AG124" s="1775"/>
      <c r="AH124" s="1711"/>
      <c r="AI124" s="10"/>
      <c r="AJ124" s="10"/>
    </row>
    <row r="125" spans="1:36" ht="15.6" x14ac:dyDescent="0.3">
      <c r="A125" s="891" t="s">
        <v>1115</v>
      </c>
      <c r="B125" s="891" t="s">
        <v>20</v>
      </c>
      <c r="C125" s="891" t="s">
        <v>1116</v>
      </c>
      <c r="D125" s="891" t="s">
        <v>257</v>
      </c>
      <c r="E125" s="891" t="s">
        <v>518</v>
      </c>
      <c r="F125" s="1762" t="s">
        <v>911</v>
      </c>
      <c r="G125" s="891">
        <v>46</v>
      </c>
      <c r="H125" s="893">
        <v>13</v>
      </c>
      <c r="I125" s="894" t="s">
        <v>22</v>
      </c>
      <c r="J125" s="878"/>
      <c r="K125" s="895">
        <v>13</v>
      </c>
      <c r="L125" s="895">
        <v>13</v>
      </c>
      <c r="M125" s="880"/>
      <c r="N125" s="896">
        <v>2</v>
      </c>
      <c r="O125" s="1702">
        <v>2851</v>
      </c>
      <c r="P125" s="1702">
        <v>0.59599999999999997</v>
      </c>
      <c r="Q125" s="1702">
        <f t="shared" ref="Q125:Q135" si="26">O125*(1-P125)</f>
        <v>1151.8040000000001</v>
      </c>
      <c r="R125" s="1702">
        <f t="shared" ref="R125:R135" si="27">Q125*H125*N125</f>
        <v>29946.904000000002</v>
      </c>
      <c r="S125" s="898">
        <f t="shared" ref="S125:S135" si="28">R125/$R$140</f>
        <v>8.0010899920345255E-2</v>
      </c>
      <c r="T125" s="1706">
        <f t="shared" ref="T125:T135" si="29">R125</f>
        <v>29946.904000000002</v>
      </c>
      <c r="U125" s="1765"/>
      <c r="V125" s="21">
        <f>T125</f>
        <v>29946.904000000002</v>
      </c>
      <c r="W125" s="21"/>
      <c r="X125" s="21"/>
      <c r="Y125" s="1766"/>
      <c r="Z125" s="1767">
        <f>T125</f>
        <v>29946.904000000002</v>
      </c>
      <c r="AA125" s="1768"/>
      <c r="AB125" s="1767">
        <f>T125</f>
        <v>29946.904000000002</v>
      </c>
      <c r="AC125" s="1769"/>
      <c r="AD125" s="1769"/>
      <c r="AE125" s="1769"/>
      <c r="AF125" s="1769"/>
      <c r="AG125" s="1770"/>
      <c r="AH125" s="1771"/>
      <c r="AI125" s="1704"/>
      <c r="AJ125" s="1704"/>
    </row>
    <row r="126" spans="1:36" x14ac:dyDescent="0.3">
      <c r="A126" s="891" t="s">
        <v>1115</v>
      </c>
      <c r="B126" s="902" t="s">
        <v>108</v>
      </c>
      <c r="C126" s="902" t="s">
        <v>1039</v>
      </c>
      <c r="D126" s="902" t="s">
        <v>258</v>
      </c>
      <c r="E126" s="902" t="s">
        <v>518</v>
      </c>
      <c r="F126" s="1762" t="s">
        <v>151</v>
      </c>
      <c r="G126" s="902">
        <v>70</v>
      </c>
      <c r="H126" s="902">
        <v>1</v>
      </c>
      <c r="I126" s="902" t="s">
        <v>22</v>
      </c>
      <c r="J126" s="906">
        <v>50</v>
      </c>
      <c r="K126" s="11"/>
      <c r="L126" s="11"/>
      <c r="M126" s="11"/>
      <c r="N126" s="896">
        <v>1</v>
      </c>
      <c r="O126" s="1702">
        <v>113400</v>
      </c>
      <c r="P126" s="1702">
        <v>0.25</v>
      </c>
      <c r="Q126" s="1702">
        <f t="shared" si="26"/>
        <v>85050</v>
      </c>
      <c r="R126" s="1702">
        <f t="shared" si="27"/>
        <v>85050</v>
      </c>
      <c r="S126" s="898">
        <f t="shared" si="28"/>
        <v>0.22723307351655997</v>
      </c>
      <c r="T126" s="1706">
        <f t="shared" si="29"/>
        <v>85050</v>
      </c>
      <c r="U126" s="1765"/>
      <c r="V126" s="21">
        <f>T126</f>
        <v>85050</v>
      </c>
      <c r="W126" s="21"/>
      <c r="X126" s="21"/>
      <c r="Y126" s="1766"/>
      <c r="Z126" s="1772">
        <f>T126</f>
        <v>85050</v>
      </c>
      <c r="AA126" s="1768"/>
      <c r="AB126" s="1767"/>
      <c r="AC126" s="1769">
        <f>T126</f>
        <v>85050</v>
      </c>
      <c r="AD126" s="1769"/>
      <c r="AE126" s="1769"/>
      <c r="AF126" s="1769"/>
      <c r="AG126" s="1770"/>
      <c r="AH126" s="1771"/>
    </row>
    <row r="127" spans="1:36" x14ac:dyDescent="0.3">
      <c r="A127" s="891" t="s">
        <v>1115</v>
      </c>
      <c r="B127" s="902" t="s">
        <v>158</v>
      </c>
      <c r="C127" s="902" t="s">
        <v>1116</v>
      </c>
      <c r="D127" s="902" t="s">
        <v>259</v>
      </c>
      <c r="E127" s="902" t="s">
        <v>520</v>
      </c>
      <c r="F127" s="1762" t="s">
        <v>552</v>
      </c>
      <c r="G127" s="902">
        <v>140</v>
      </c>
      <c r="H127" s="902">
        <v>13</v>
      </c>
      <c r="I127" s="902" t="s">
        <v>22</v>
      </c>
      <c r="J127" s="13"/>
      <c r="K127" s="895">
        <v>13</v>
      </c>
      <c r="L127" s="905">
        <v>13</v>
      </c>
      <c r="M127" s="11"/>
      <c r="N127" s="896">
        <v>2</v>
      </c>
      <c r="O127" s="1702">
        <v>2000</v>
      </c>
      <c r="P127" s="1702">
        <v>0.25</v>
      </c>
      <c r="Q127" s="1702">
        <f t="shared" si="26"/>
        <v>1500</v>
      </c>
      <c r="R127" s="1702">
        <f t="shared" si="27"/>
        <v>39000</v>
      </c>
      <c r="S127" s="1811">
        <f t="shared" si="28"/>
        <v>0.10419858750318446</v>
      </c>
      <c r="T127" s="1706">
        <f t="shared" si="29"/>
        <v>39000</v>
      </c>
      <c r="U127" s="1765"/>
      <c r="V127" s="21">
        <f>T127</f>
        <v>39000</v>
      </c>
      <c r="W127" s="21"/>
      <c r="X127" s="21"/>
      <c r="Y127" s="1766"/>
      <c r="Z127" s="1772"/>
      <c r="AA127" s="1768">
        <f>T127</f>
        <v>39000</v>
      </c>
      <c r="AB127" s="1767"/>
      <c r="AC127" s="1769"/>
      <c r="AD127" s="1769">
        <f>T127</f>
        <v>39000</v>
      </c>
      <c r="AE127" s="1769"/>
      <c r="AF127" s="1769"/>
      <c r="AG127" s="1770"/>
      <c r="AH127" s="1771"/>
    </row>
    <row r="128" spans="1:36" x14ac:dyDescent="0.3">
      <c r="A128" s="891" t="s">
        <v>1115</v>
      </c>
      <c r="B128" s="902" t="s">
        <v>250</v>
      </c>
      <c r="C128" s="902" t="s">
        <v>1117</v>
      </c>
      <c r="D128" s="902" t="s">
        <v>89</v>
      </c>
      <c r="E128" s="902" t="s">
        <v>520</v>
      </c>
      <c r="F128" s="1762" t="s">
        <v>796</v>
      </c>
      <c r="G128" s="902"/>
      <c r="H128" s="902">
        <v>15</v>
      </c>
      <c r="I128" s="902" t="s">
        <v>106</v>
      </c>
      <c r="J128" s="908">
        <v>15</v>
      </c>
      <c r="K128" s="895"/>
      <c r="L128" s="907"/>
      <c r="M128" s="907"/>
      <c r="N128" s="896">
        <v>1</v>
      </c>
      <c r="O128" s="1702">
        <f>1650*(1+50%)</f>
        <v>2475</v>
      </c>
      <c r="P128" s="1702">
        <v>0.2</v>
      </c>
      <c r="Q128" s="1702">
        <f t="shared" si="26"/>
        <v>1980</v>
      </c>
      <c r="R128" s="1702">
        <f t="shared" si="27"/>
        <v>29700</v>
      </c>
      <c r="S128" s="1811">
        <f t="shared" si="28"/>
        <v>7.9351232021655865E-2</v>
      </c>
      <c r="T128" s="1706">
        <f t="shared" si="29"/>
        <v>29700</v>
      </c>
      <c r="U128" s="1765">
        <f>T128</f>
        <v>29700</v>
      </c>
      <c r="V128" s="21"/>
      <c r="W128" s="21"/>
      <c r="X128" s="21"/>
      <c r="Y128" s="1766"/>
      <c r="Z128" s="1772"/>
      <c r="AA128" s="1768">
        <f t="shared" ref="AA128:AA129" si="30">T128</f>
        <v>29700</v>
      </c>
      <c r="AB128" s="1767"/>
      <c r="AC128" s="1769"/>
      <c r="AD128" s="1769"/>
      <c r="AE128" s="1769">
        <f>T128</f>
        <v>29700</v>
      </c>
      <c r="AF128" s="1769"/>
      <c r="AG128" s="1770"/>
      <c r="AH128" s="1771"/>
    </row>
    <row r="129" spans="1:36" x14ac:dyDescent="0.3">
      <c r="A129" s="891" t="s">
        <v>1115</v>
      </c>
      <c r="B129" s="902" t="s">
        <v>215</v>
      </c>
      <c r="C129" s="902" t="s">
        <v>1117</v>
      </c>
      <c r="D129" s="902" t="s">
        <v>27</v>
      </c>
      <c r="E129" s="902" t="s">
        <v>520</v>
      </c>
      <c r="F129" s="1762" t="s">
        <v>796</v>
      </c>
      <c r="G129" s="902"/>
      <c r="H129" s="902">
        <v>3</v>
      </c>
      <c r="I129" s="902" t="s">
        <v>106</v>
      </c>
      <c r="J129" s="908">
        <v>6</v>
      </c>
      <c r="K129" s="895"/>
      <c r="L129" s="907"/>
      <c r="M129" s="907"/>
      <c r="N129" s="896">
        <v>1</v>
      </c>
      <c r="O129" s="1702">
        <f>3969*(1+50%)</f>
        <v>5953.5</v>
      </c>
      <c r="P129" s="1702">
        <v>0.2</v>
      </c>
      <c r="Q129" s="1702">
        <f t="shared" si="26"/>
        <v>4762.8</v>
      </c>
      <c r="R129" s="1702">
        <f t="shared" si="27"/>
        <v>14288.400000000001</v>
      </c>
      <c r="S129" s="1811">
        <f t="shared" si="28"/>
        <v>3.8175156350782079E-2</v>
      </c>
      <c r="T129" s="1706">
        <f t="shared" si="29"/>
        <v>14288.400000000001</v>
      </c>
      <c r="U129" s="1765">
        <f>T129</f>
        <v>14288.400000000001</v>
      </c>
      <c r="V129" s="21"/>
      <c r="W129" s="21"/>
      <c r="X129" s="21"/>
      <c r="Y129" s="1766"/>
      <c r="Z129" s="1772"/>
      <c r="AA129" s="1768">
        <f t="shared" si="30"/>
        <v>14288.400000000001</v>
      </c>
      <c r="AB129" s="1767"/>
      <c r="AC129" s="1769"/>
      <c r="AD129" s="1769"/>
      <c r="AE129" s="1769"/>
      <c r="AF129" s="1769">
        <f>T129</f>
        <v>14288.400000000001</v>
      </c>
      <c r="AG129" s="1770"/>
      <c r="AH129" s="1771"/>
    </row>
    <row r="130" spans="1:36" x14ac:dyDescent="0.3">
      <c r="A130" s="891" t="s">
        <v>1115</v>
      </c>
      <c r="B130" s="902" t="s">
        <v>108</v>
      </c>
      <c r="C130" s="902" t="s">
        <v>1119</v>
      </c>
      <c r="D130" s="902" t="s">
        <v>262</v>
      </c>
      <c r="E130" s="902" t="s">
        <v>518</v>
      </c>
      <c r="F130" s="1762" t="s">
        <v>263</v>
      </c>
      <c r="G130" s="902">
        <v>7</v>
      </c>
      <c r="H130" s="902">
        <v>1</v>
      </c>
      <c r="I130" s="902" t="s">
        <v>22</v>
      </c>
      <c r="J130" s="13"/>
      <c r="K130" s="895">
        <v>7</v>
      </c>
      <c r="L130" s="895">
        <v>7</v>
      </c>
      <c r="M130" s="907"/>
      <c r="N130" s="896">
        <v>2</v>
      </c>
      <c r="O130" s="1706">
        <v>35000</v>
      </c>
      <c r="P130" s="1706">
        <v>0.25</v>
      </c>
      <c r="Q130" s="1706">
        <f t="shared" si="26"/>
        <v>26250</v>
      </c>
      <c r="R130" s="1702">
        <f t="shared" si="27"/>
        <v>52500</v>
      </c>
      <c r="S130" s="898">
        <f t="shared" si="28"/>
        <v>0.14026732933120986</v>
      </c>
      <c r="T130" s="1706">
        <f t="shared" si="29"/>
        <v>52500</v>
      </c>
      <c r="U130" s="1765"/>
      <c r="V130" s="21"/>
      <c r="W130" s="21">
        <f>T130</f>
        <v>52500</v>
      </c>
      <c r="X130" s="21"/>
      <c r="Y130" s="1766"/>
      <c r="Z130" s="1772">
        <f>T130</f>
        <v>52500</v>
      </c>
      <c r="AA130" s="1768"/>
      <c r="AB130" s="1767"/>
      <c r="AC130" s="1769">
        <f>T130</f>
        <v>52500</v>
      </c>
      <c r="AD130" s="1769"/>
      <c r="AE130" s="1769"/>
      <c r="AF130" s="1769"/>
      <c r="AG130" s="1770"/>
      <c r="AH130" s="1771"/>
    </row>
    <row r="131" spans="1:36" x14ac:dyDescent="0.3">
      <c r="A131" s="891" t="s">
        <v>1115</v>
      </c>
      <c r="B131" s="902" t="s">
        <v>215</v>
      </c>
      <c r="C131" s="902" t="s">
        <v>1037</v>
      </c>
      <c r="D131" s="902" t="s">
        <v>260</v>
      </c>
      <c r="E131" s="902" t="s">
        <v>524</v>
      </c>
      <c r="F131" s="1762" t="s">
        <v>591</v>
      </c>
      <c r="G131" s="902">
        <v>45</v>
      </c>
      <c r="H131" s="902">
        <v>2</v>
      </c>
      <c r="I131" s="902" t="s">
        <v>24</v>
      </c>
      <c r="J131" s="908">
        <v>2</v>
      </c>
      <c r="K131" s="895"/>
      <c r="L131" s="895"/>
      <c r="M131" s="2480"/>
      <c r="N131" s="896">
        <v>1</v>
      </c>
      <c r="O131" s="1706">
        <v>12000</v>
      </c>
      <c r="P131" s="1706">
        <v>0.25</v>
      </c>
      <c r="Q131" s="1706">
        <f t="shared" si="26"/>
        <v>9000</v>
      </c>
      <c r="R131" s="1702">
        <f t="shared" si="27"/>
        <v>18000</v>
      </c>
      <c r="S131" s="1811">
        <f t="shared" si="28"/>
        <v>4.8091655770700521E-2</v>
      </c>
      <c r="T131" s="1706">
        <f t="shared" si="29"/>
        <v>18000</v>
      </c>
      <c r="U131" s="1765">
        <f>T131</f>
        <v>18000</v>
      </c>
      <c r="V131" s="21"/>
      <c r="W131" s="21"/>
      <c r="X131" s="21"/>
      <c r="Y131" s="1766"/>
      <c r="Z131" s="1772"/>
      <c r="AA131" s="1768">
        <f>T131</f>
        <v>18000</v>
      </c>
      <c r="AB131" s="1767"/>
      <c r="AC131" s="1769"/>
      <c r="AD131" s="1769"/>
      <c r="AE131" s="1769"/>
      <c r="AF131" s="1769">
        <f>T131</f>
        <v>18000</v>
      </c>
      <c r="AG131" s="1770"/>
      <c r="AH131" s="1771"/>
      <c r="AI131" s="1704"/>
      <c r="AJ131" s="1704"/>
    </row>
    <row r="132" spans="1:36" x14ac:dyDescent="0.3">
      <c r="A132" s="891" t="s">
        <v>1115</v>
      </c>
      <c r="B132" s="902" t="s">
        <v>250</v>
      </c>
      <c r="C132" s="902" t="s">
        <v>1037</v>
      </c>
      <c r="D132" s="902" t="s">
        <v>261</v>
      </c>
      <c r="E132" s="902" t="s">
        <v>518</v>
      </c>
      <c r="F132" s="1762" t="s">
        <v>641</v>
      </c>
      <c r="G132" s="902">
        <v>25</v>
      </c>
      <c r="H132" s="902">
        <v>2</v>
      </c>
      <c r="I132" s="902" t="s">
        <v>22</v>
      </c>
      <c r="J132" s="13"/>
      <c r="K132" s="905">
        <v>2</v>
      </c>
      <c r="L132" s="895"/>
      <c r="M132" s="11"/>
      <c r="N132" s="896">
        <v>1</v>
      </c>
      <c r="O132" s="1706">
        <v>7200</v>
      </c>
      <c r="P132" s="1706">
        <v>0.25</v>
      </c>
      <c r="Q132" s="1706">
        <f t="shared" si="26"/>
        <v>5400</v>
      </c>
      <c r="R132" s="1702">
        <f t="shared" si="27"/>
        <v>10800</v>
      </c>
      <c r="S132" s="898">
        <f t="shared" si="28"/>
        <v>2.8854993462420313E-2</v>
      </c>
      <c r="T132" s="1706">
        <f t="shared" si="29"/>
        <v>10800</v>
      </c>
      <c r="U132" s="21">
        <f>T132</f>
        <v>10800</v>
      </c>
      <c r="V132" s="21"/>
      <c r="W132" s="21"/>
      <c r="X132" s="21"/>
      <c r="Y132" s="1766"/>
      <c r="Z132" s="1772">
        <f>T132</f>
        <v>10800</v>
      </c>
      <c r="AA132" s="1768"/>
      <c r="AB132" s="1769"/>
      <c r="AC132" s="1769"/>
      <c r="AD132" s="1769"/>
      <c r="AE132" s="1769">
        <f>T132</f>
        <v>10800</v>
      </c>
      <c r="AF132" s="1769"/>
      <c r="AG132" s="1770"/>
      <c r="AH132" s="1771"/>
      <c r="AI132" s="1704"/>
      <c r="AJ132" s="1704"/>
    </row>
    <row r="133" spans="1:36" x14ac:dyDescent="0.3">
      <c r="A133" s="891" t="s">
        <v>1115</v>
      </c>
      <c r="B133" s="902" t="s">
        <v>247</v>
      </c>
      <c r="C133" s="902" t="s">
        <v>1041</v>
      </c>
      <c r="D133" s="902" t="s">
        <v>50</v>
      </c>
      <c r="E133" s="902" t="s">
        <v>524</v>
      </c>
      <c r="F133" s="1762" t="s">
        <v>903</v>
      </c>
      <c r="G133" s="902"/>
      <c r="H133" s="902">
        <v>1</v>
      </c>
      <c r="I133" s="902" t="s">
        <v>24</v>
      </c>
      <c r="J133" s="908">
        <v>10</v>
      </c>
      <c r="K133" s="895"/>
      <c r="L133" s="895"/>
      <c r="M133" s="2480"/>
      <c r="N133" s="896">
        <v>1</v>
      </c>
      <c r="O133" s="1706">
        <v>25000</v>
      </c>
      <c r="P133" s="1706">
        <v>0.35</v>
      </c>
      <c r="Q133" s="1706">
        <f t="shared" si="26"/>
        <v>16250</v>
      </c>
      <c r="R133" s="1702">
        <f t="shared" si="27"/>
        <v>16250</v>
      </c>
      <c r="S133" s="1811">
        <f t="shared" si="28"/>
        <v>4.3416078126326862E-2</v>
      </c>
      <c r="T133" s="1706">
        <f t="shared" si="29"/>
        <v>16250</v>
      </c>
      <c r="U133" s="21"/>
      <c r="V133" s="21"/>
      <c r="W133" s="21">
        <f>T133</f>
        <v>16250</v>
      </c>
      <c r="X133" s="21"/>
      <c r="Y133" s="1766"/>
      <c r="Z133" s="21"/>
      <c r="AA133" s="1768">
        <f>T133</f>
        <v>16250</v>
      </c>
      <c r="AB133" s="1769"/>
      <c r="AC133" s="1769"/>
      <c r="AD133" s="1769"/>
      <c r="AE133" s="1769"/>
      <c r="AF133" s="1769"/>
      <c r="AG133" s="1770">
        <f>T133</f>
        <v>16250</v>
      </c>
      <c r="AH133" s="1771"/>
      <c r="AI133" s="1704"/>
      <c r="AJ133" s="1704"/>
    </row>
    <row r="134" spans="1:36" x14ac:dyDescent="0.3">
      <c r="A134" s="891" t="s">
        <v>1115</v>
      </c>
      <c r="B134" s="902" t="s">
        <v>247</v>
      </c>
      <c r="C134" s="902" t="s">
        <v>1041</v>
      </c>
      <c r="D134" s="902" t="s">
        <v>180</v>
      </c>
      <c r="E134" s="902" t="s">
        <v>524</v>
      </c>
      <c r="F134" s="1762" t="s">
        <v>903</v>
      </c>
      <c r="G134" s="902"/>
      <c r="H134" s="902">
        <v>1</v>
      </c>
      <c r="I134" s="902" t="s">
        <v>24</v>
      </c>
      <c r="J134" s="908">
        <v>10</v>
      </c>
      <c r="K134" s="895"/>
      <c r="L134" s="895"/>
      <c r="M134" s="2480"/>
      <c r="N134" s="896">
        <v>1</v>
      </c>
      <c r="O134" s="1706">
        <v>35000</v>
      </c>
      <c r="P134" s="1706">
        <v>0.35</v>
      </c>
      <c r="Q134" s="1706">
        <f t="shared" si="26"/>
        <v>22750</v>
      </c>
      <c r="R134" s="1702">
        <f t="shared" si="27"/>
        <v>22750</v>
      </c>
      <c r="S134" s="1811">
        <f t="shared" si="28"/>
        <v>6.0782509376857606E-2</v>
      </c>
      <c r="T134" s="1706">
        <f t="shared" si="29"/>
        <v>22750</v>
      </c>
      <c r="U134" s="1769"/>
      <c r="V134" s="1769"/>
      <c r="W134" s="1769">
        <f>T134</f>
        <v>22750</v>
      </c>
      <c r="X134" s="1769"/>
      <c r="Y134" s="1768"/>
      <c r="Z134" s="1769"/>
      <c r="AA134" s="1768">
        <f t="shared" ref="AA134:AA135" si="31">T134</f>
        <v>22750</v>
      </c>
      <c r="AB134" s="1769"/>
      <c r="AC134" s="1769"/>
      <c r="AD134" s="1769"/>
      <c r="AE134" s="1769"/>
      <c r="AF134" s="1769"/>
      <c r="AG134" s="1770">
        <f>T134</f>
        <v>22750</v>
      </c>
      <c r="AH134" s="1771"/>
      <c r="AI134" s="1704"/>
      <c r="AJ134" s="1704"/>
    </row>
    <row r="135" spans="1:36" x14ac:dyDescent="0.3">
      <c r="A135" s="891" t="s">
        <v>1115</v>
      </c>
      <c r="B135" s="902" t="s">
        <v>130</v>
      </c>
      <c r="C135" s="902" t="s">
        <v>1042</v>
      </c>
      <c r="D135" s="902" t="s">
        <v>131</v>
      </c>
      <c r="E135" s="902" t="s">
        <v>524</v>
      </c>
      <c r="F135" s="1762" t="s">
        <v>903</v>
      </c>
      <c r="G135" s="902"/>
      <c r="H135" s="902">
        <v>10</v>
      </c>
      <c r="I135" s="902" t="s">
        <v>24</v>
      </c>
      <c r="J135" s="908">
        <v>10</v>
      </c>
      <c r="K135" s="895"/>
      <c r="L135" s="895"/>
      <c r="M135" s="2480"/>
      <c r="N135" s="896">
        <v>1</v>
      </c>
      <c r="O135" s="1706">
        <v>4000</v>
      </c>
      <c r="P135" s="1706">
        <v>0.35</v>
      </c>
      <c r="Q135" s="1706">
        <f t="shared" si="26"/>
        <v>2600</v>
      </c>
      <c r="R135" s="1702">
        <f t="shared" si="27"/>
        <v>26000</v>
      </c>
      <c r="S135" s="1811">
        <f t="shared" si="28"/>
        <v>6.9465725002122974E-2</v>
      </c>
      <c r="T135" s="1706">
        <f t="shared" si="29"/>
        <v>26000</v>
      </c>
      <c r="U135" s="1818"/>
      <c r="V135" s="1818"/>
      <c r="W135" s="1818">
        <f>T135</f>
        <v>26000</v>
      </c>
      <c r="X135" s="1818"/>
      <c r="Y135" s="1814"/>
      <c r="Z135" s="1818"/>
      <c r="AA135" s="1768">
        <f t="shared" si="31"/>
        <v>26000</v>
      </c>
      <c r="AB135" s="1818"/>
      <c r="AC135" s="1818"/>
      <c r="AD135" s="1818"/>
      <c r="AE135" s="1818"/>
      <c r="AF135" s="1818"/>
      <c r="AG135" s="1819"/>
      <c r="AH135" s="1820">
        <f>T135</f>
        <v>26000</v>
      </c>
      <c r="AI135" s="1681"/>
      <c r="AJ135" s="1681"/>
    </row>
    <row r="136" spans="1:36" x14ac:dyDescent="0.3">
      <c r="A136" s="891"/>
      <c r="B136" s="902"/>
      <c r="C136" s="902"/>
      <c r="D136" s="902"/>
      <c r="E136" s="902"/>
      <c r="F136" s="902"/>
      <c r="G136" s="902"/>
      <c r="H136" s="902"/>
      <c r="I136" s="902"/>
      <c r="J136" s="914"/>
      <c r="K136" s="914"/>
      <c r="L136" s="912"/>
      <c r="M136" s="912"/>
      <c r="N136" s="896"/>
      <c r="O136" s="1706"/>
      <c r="P136" s="1706"/>
      <c r="Q136" s="1706"/>
      <c r="R136" s="1706"/>
      <c r="S136" s="910"/>
      <c r="T136" s="1867"/>
      <c r="Y136" s="1868"/>
      <c r="AA136" s="1868"/>
      <c r="AH136" s="1868"/>
    </row>
    <row r="137" spans="1:36" x14ac:dyDescent="0.3">
      <c r="A137" s="915" t="s">
        <v>1115</v>
      </c>
      <c r="B137" s="916" t="s">
        <v>528</v>
      </c>
      <c r="C137" s="916" t="s">
        <v>1118</v>
      </c>
      <c r="D137" s="916"/>
      <c r="E137" s="916"/>
      <c r="F137" s="916"/>
      <c r="G137" s="916"/>
      <c r="H137" s="916"/>
      <c r="I137" s="916"/>
      <c r="J137" s="918"/>
      <c r="K137" s="918"/>
      <c r="L137" s="919"/>
      <c r="M137" s="919"/>
      <c r="N137" s="920"/>
      <c r="O137" s="1707"/>
      <c r="P137" s="1707"/>
      <c r="Q137" s="1707"/>
      <c r="R137" s="1707">
        <v>12000</v>
      </c>
      <c r="S137" s="922">
        <f>R137/R140</f>
        <v>3.2061103847133683E-2</v>
      </c>
      <c r="T137" s="1706">
        <f>R137</f>
        <v>12000</v>
      </c>
      <c r="X137" s="1869">
        <f>T137</f>
        <v>12000</v>
      </c>
      <c r="Y137" s="1868"/>
      <c r="AA137" s="1868"/>
      <c r="AH137" s="1868"/>
    </row>
    <row r="138" spans="1:36" x14ac:dyDescent="0.3">
      <c r="A138" s="915" t="s">
        <v>1115</v>
      </c>
      <c r="B138" s="916" t="s">
        <v>529</v>
      </c>
      <c r="C138" s="916"/>
      <c r="D138" s="916"/>
      <c r="E138" s="916"/>
      <c r="F138" s="916"/>
      <c r="G138" s="916"/>
      <c r="H138" s="916"/>
      <c r="I138" s="916"/>
      <c r="J138" s="924"/>
      <c r="K138" s="924"/>
      <c r="L138" s="924"/>
      <c r="M138" s="924"/>
      <c r="N138" s="916"/>
      <c r="O138" s="1708"/>
      <c r="P138" s="1708"/>
      <c r="Q138" s="1708"/>
      <c r="R138" s="1709">
        <v>18000</v>
      </c>
      <c r="S138" s="1710">
        <f>R138/R140</f>
        <v>4.8091655770700521E-2</v>
      </c>
      <c r="T138" s="1706">
        <f>R138</f>
        <v>18000</v>
      </c>
      <c r="Y138" s="1870">
        <f>T138</f>
        <v>18000</v>
      </c>
      <c r="AA138" s="1871"/>
      <c r="AH138" s="1871"/>
    </row>
    <row r="139" spans="1:36" x14ac:dyDescent="0.3">
      <c r="A139" s="929"/>
      <c r="J139" s="1684">
        <f>J140/$N$140</f>
        <v>0.57763975155279501</v>
      </c>
      <c r="K139" s="1684">
        <f t="shared" ref="K139:M139" si="32">K140/$N$140</f>
        <v>0.21739130434782608</v>
      </c>
      <c r="L139" s="1684">
        <f t="shared" si="32"/>
        <v>0.20496894409937888</v>
      </c>
      <c r="M139" s="10">
        <f t="shared" si="32"/>
        <v>0</v>
      </c>
      <c r="R139" s="1711"/>
      <c r="S139" s="898"/>
      <c r="T139" s="1872"/>
      <c r="Y139" s="1873"/>
      <c r="AA139" s="1873"/>
      <c r="AH139" s="1777"/>
    </row>
    <row r="140" spans="1:36" x14ac:dyDescent="0.3">
      <c r="A140" s="1821" t="s">
        <v>531</v>
      </c>
      <c r="B140" s="1822"/>
      <c r="C140" s="1822"/>
      <c r="D140" s="1822"/>
      <c r="E140" s="1822"/>
      <c r="F140" s="1822"/>
      <c r="G140" s="1822"/>
      <c r="H140" s="1822"/>
      <c r="I140" s="1822"/>
      <c r="J140" s="1823">
        <f>J135+J133+J131+J128+J126+J129</f>
        <v>93</v>
      </c>
      <c r="K140" s="1874">
        <f>K132+K130+K125+K127</f>
        <v>35</v>
      </c>
      <c r="L140" s="1823">
        <f>L127+L125+L130</f>
        <v>33</v>
      </c>
      <c r="M140" s="1823">
        <f>M130+M127+M125</f>
        <v>0</v>
      </c>
      <c r="N140" s="1823">
        <f>SUM(J140:M140)</f>
        <v>161</v>
      </c>
      <c r="O140" s="1824"/>
      <c r="P140" s="1824"/>
      <c r="Q140" s="1824"/>
      <c r="R140" s="1825">
        <f>SUM(R125:R138)</f>
        <v>374285.304</v>
      </c>
      <c r="S140" s="1826">
        <f>SUM(S124:S138)</f>
        <v>0.99999999999999989</v>
      </c>
      <c r="T140" s="1827">
        <f>SUM(T124:T139)</f>
        <v>374285.304</v>
      </c>
      <c r="U140" s="1828">
        <f>SUM(U124:U135)</f>
        <v>72788.399999999994</v>
      </c>
      <c r="V140" s="1824">
        <f>SUM(V124:V135)</f>
        <v>153996.90400000001</v>
      </c>
      <c r="W140" s="1824">
        <f>SUM(W124:W135)</f>
        <v>117500</v>
      </c>
      <c r="X140" s="1824">
        <f>SUM(X124:X139)</f>
        <v>12000</v>
      </c>
      <c r="Y140" s="1824">
        <f>SUM(Y124:Y139)</f>
        <v>18000</v>
      </c>
      <c r="Z140" s="1828">
        <f t="shared" ref="Z140:AG140" si="33">SUM(Z124:Z135)</f>
        <v>178296.90400000001</v>
      </c>
      <c r="AA140" s="1825">
        <f t="shared" si="33"/>
        <v>165988.4</v>
      </c>
      <c r="AB140" s="1828">
        <f t="shared" si="33"/>
        <v>29946.904000000002</v>
      </c>
      <c r="AC140" s="1824">
        <f t="shared" si="33"/>
        <v>137550</v>
      </c>
      <c r="AD140" s="1824">
        <f t="shared" si="33"/>
        <v>39000</v>
      </c>
      <c r="AE140" s="1824">
        <f t="shared" si="33"/>
        <v>40500</v>
      </c>
      <c r="AF140" s="1824">
        <f t="shared" si="33"/>
        <v>32288.400000000001</v>
      </c>
      <c r="AG140" s="1824">
        <f t="shared" si="33"/>
        <v>39000</v>
      </c>
      <c r="AH140" s="1830">
        <f>SUM(AH124:AH138)</f>
        <v>26000</v>
      </c>
    </row>
    <row r="141" spans="1:36" x14ac:dyDescent="0.3">
      <c r="A141" s="1821" t="s">
        <v>532</v>
      </c>
      <c r="B141" s="1822"/>
      <c r="C141" s="1822"/>
      <c r="D141" s="1822"/>
      <c r="E141" s="1822"/>
      <c r="F141" s="1822"/>
      <c r="G141" s="1822"/>
      <c r="H141" s="1822"/>
      <c r="I141" s="1822"/>
      <c r="J141" s="1823">
        <f>J133+J131+J128+J126+J129+J134+J135</f>
        <v>103</v>
      </c>
      <c r="K141" s="1823">
        <f>J133+K132+J131+K130+J128+K125+J134+J135+K127</f>
        <v>82</v>
      </c>
      <c r="L141" s="1823">
        <f>J133+K132+J131+L127+L125+L130+J134+J135</f>
        <v>67</v>
      </c>
      <c r="M141" s="1823"/>
      <c r="N141" s="1823">
        <f>SUM(J141:M141)</f>
        <v>252</v>
      </c>
      <c r="O141" s="1824"/>
      <c r="P141" s="1824"/>
      <c r="Q141" s="1824"/>
      <c r="R141" s="1825"/>
      <c r="S141" s="1875"/>
      <c r="T141" s="1833"/>
      <c r="U141" s="1834">
        <f>U140/T140</f>
        <v>0.19447303760555876</v>
      </c>
      <c r="V141" s="1834">
        <f>V140/$T$106</f>
        <v>0.1027702449974443</v>
      </c>
      <c r="W141" s="1834">
        <f t="shared" ref="W141:Y141" si="34">W140/$T$106</f>
        <v>7.8413938680219869E-2</v>
      </c>
      <c r="X141" s="1834">
        <f t="shared" si="34"/>
        <v>8.008232035426709E-3</v>
      </c>
      <c r="Y141" s="1834">
        <f t="shared" si="34"/>
        <v>1.2012348053140064E-2</v>
      </c>
      <c r="Z141" s="1834">
        <f>Z140/T140</f>
        <v>0.47636629623053545</v>
      </c>
      <c r="AA141" s="1834">
        <f>AA140/T140</f>
        <v>0.44348094415163036</v>
      </c>
      <c r="AB141" s="1833"/>
      <c r="AC141" s="1833"/>
      <c r="AD141" s="1833"/>
      <c r="AE141" s="1833"/>
      <c r="AF141" s="1833"/>
      <c r="AG141" s="1835"/>
      <c r="AH141" s="1836"/>
    </row>
    <row r="142" spans="1:36" x14ac:dyDescent="0.3">
      <c r="A142" s="1837" t="s">
        <v>533</v>
      </c>
      <c r="B142" s="1838"/>
      <c r="C142" s="1838"/>
      <c r="D142" s="1838"/>
      <c r="E142" s="1838"/>
      <c r="F142" s="1838"/>
      <c r="G142" s="1838"/>
      <c r="H142" s="1838"/>
      <c r="I142" s="1838"/>
      <c r="J142" s="2202">
        <f>J141/$N$141</f>
        <v>0.40873015873015872</v>
      </c>
      <c r="K142" s="2202">
        <f t="shared" ref="K142:M142" si="35">K141/$N$141</f>
        <v>0.32539682539682541</v>
      </c>
      <c r="L142" s="2202">
        <f t="shared" si="35"/>
        <v>0.26587301587301587</v>
      </c>
      <c r="M142" s="2202">
        <f t="shared" si="35"/>
        <v>0</v>
      </c>
      <c r="N142" s="1839"/>
      <c r="O142" s="1840"/>
      <c r="P142" s="1841"/>
      <c r="Q142" s="1841"/>
      <c r="R142" s="1842">
        <f>U140</f>
        <v>72788.399999999994</v>
      </c>
      <c r="S142" s="1843">
        <f>R142/R147</f>
        <v>0.19447303760555876</v>
      </c>
      <c r="T142" s="1844"/>
      <c r="U142" s="1844"/>
      <c r="V142" s="1844"/>
      <c r="W142" s="1844"/>
      <c r="X142" s="1844"/>
      <c r="Y142" s="1845"/>
      <c r="Z142" s="1846">
        <f>K131+L131+J132+J133+J135</f>
        <v>20</v>
      </c>
      <c r="AA142" s="1847">
        <f>K129+L129+J130+K134</f>
        <v>0</v>
      </c>
      <c r="AB142" s="1844"/>
      <c r="AC142" s="1844"/>
      <c r="AD142" s="1844"/>
      <c r="AE142" s="1844"/>
      <c r="AF142" s="1844"/>
      <c r="AG142" s="1844"/>
      <c r="AH142" s="1844"/>
    </row>
    <row r="143" spans="1:36" x14ac:dyDescent="0.3">
      <c r="A143" s="1848" t="s">
        <v>11</v>
      </c>
      <c r="B143" s="924"/>
      <c r="C143" s="924"/>
      <c r="D143" s="1849"/>
      <c r="E143" s="1849"/>
      <c r="F143" s="924"/>
      <c r="G143" s="924"/>
      <c r="H143" s="924"/>
      <c r="I143" s="924"/>
      <c r="J143" s="924"/>
      <c r="K143" s="924"/>
      <c r="L143" s="924"/>
      <c r="M143" s="1850"/>
      <c r="N143" s="1850"/>
      <c r="O143" s="1851"/>
      <c r="P143" s="1852"/>
      <c r="Q143" s="1852"/>
      <c r="R143" s="1853">
        <f>V140</f>
        <v>153996.90400000001</v>
      </c>
      <c r="S143" s="1843">
        <f>R143/R147</f>
        <v>0.41144256094008974</v>
      </c>
      <c r="T143" s="1854">
        <f>R140/N140</f>
        <v>2324.7534409937889</v>
      </c>
      <c r="U143" s="1855" t="s">
        <v>535</v>
      </c>
      <c r="V143" s="1844"/>
      <c r="W143" s="1844"/>
      <c r="X143" s="1844"/>
      <c r="Y143" s="1844"/>
      <c r="Z143" s="1856">
        <f>Z142/N140</f>
        <v>0.12422360248447205</v>
      </c>
      <c r="AA143" s="1857">
        <f>AA142/N140</f>
        <v>0</v>
      </c>
      <c r="AB143" s="1844"/>
      <c r="AC143" s="1844"/>
      <c r="AD143" s="1844"/>
      <c r="AE143" s="1844"/>
      <c r="AF143" s="1844"/>
      <c r="AG143" s="1844"/>
      <c r="AH143" s="1844"/>
    </row>
    <row r="144" spans="1:36" x14ac:dyDescent="0.3">
      <c r="A144" s="1848" t="s">
        <v>536</v>
      </c>
      <c r="B144" s="924"/>
      <c r="C144" s="924"/>
      <c r="D144" s="1849"/>
      <c r="E144" s="1849"/>
      <c r="F144" s="1850"/>
      <c r="G144" s="924"/>
      <c r="H144" s="924"/>
      <c r="I144" s="924"/>
      <c r="J144" s="924"/>
      <c r="K144" s="924"/>
      <c r="L144" s="924"/>
      <c r="M144" s="924"/>
      <c r="N144" s="924"/>
      <c r="O144" s="1852"/>
      <c r="P144" s="1852"/>
      <c r="Q144" s="1852"/>
      <c r="R144" s="1853">
        <f>W140</f>
        <v>117500</v>
      </c>
      <c r="S144" s="1843">
        <f>R144/R147</f>
        <v>0.31393164183651728</v>
      </c>
      <c r="T144" s="1844"/>
      <c r="U144" s="1844"/>
      <c r="V144" s="1844"/>
      <c r="W144" s="1844"/>
      <c r="X144" s="1844"/>
      <c r="Y144" s="1844"/>
      <c r="Z144" s="2811" t="s">
        <v>537</v>
      </c>
      <c r="AA144" s="2811"/>
      <c r="AB144" s="1844"/>
      <c r="AC144" s="1844"/>
      <c r="AD144" s="1844"/>
      <c r="AE144" s="1844"/>
      <c r="AF144" s="1844"/>
      <c r="AG144" s="1844"/>
      <c r="AH144" s="1844"/>
    </row>
    <row r="145" spans="1:36" x14ac:dyDescent="0.3">
      <c r="A145" s="1848" t="s">
        <v>528</v>
      </c>
      <c r="B145" s="924"/>
      <c r="C145" s="924"/>
      <c r="D145" s="924"/>
      <c r="E145" s="924"/>
      <c r="F145" s="924"/>
      <c r="G145" s="924"/>
      <c r="H145" s="924"/>
      <c r="I145" s="924"/>
      <c r="J145" s="924"/>
      <c r="K145" s="924"/>
      <c r="L145" s="924"/>
      <c r="M145" s="924"/>
      <c r="N145" s="924"/>
      <c r="O145" s="1852"/>
      <c r="P145" s="1852"/>
      <c r="Q145" s="1852"/>
      <c r="R145" s="1853">
        <f>X140</f>
        <v>12000</v>
      </c>
      <c r="S145" s="1843">
        <f>R145/R147</f>
        <v>3.2061103847133683E-2</v>
      </c>
      <c r="T145" s="1844"/>
      <c r="U145" s="1844"/>
      <c r="V145" s="1844"/>
      <c r="W145" s="1844"/>
      <c r="X145" s="1844"/>
      <c r="Y145" s="1844"/>
      <c r="Z145" s="1844"/>
      <c r="AA145" s="1844"/>
      <c r="AB145" s="1844"/>
      <c r="AC145" s="1844"/>
      <c r="AD145" s="1844"/>
      <c r="AE145" s="1844"/>
      <c r="AF145" s="1844"/>
      <c r="AG145" s="1844"/>
      <c r="AH145" s="1844"/>
    </row>
    <row r="146" spans="1:36" x14ac:dyDescent="0.3">
      <c r="A146" s="1848" t="s">
        <v>529</v>
      </c>
      <c r="B146" s="924"/>
      <c r="C146" s="924"/>
      <c r="D146" s="924"/>
      <c r="E146" s="924"/>
      <c r="F146" s="924"/>
      <c r="G146" s="924"/>
      <c r="H146" s="924"/>
      <c r="I146" s="924"/>
      <c r="J146" s="924"/>
      <c r="K146" s="924"/>
      <c r="L146" s="924"/>
      <c r="M146" s="924"/>
      <c r="N146" s="924"/>
      <c r="O146" s="1852"/>
      <c r="P146" s="1852"/>
      <c r="Q146" s="1852"/>
      <c r="R146" s="1853">
        <f>Y140</f>
        <v>18000</v>
      </c>
      <c r="S146" s="1843">
        <f>R146/R147</f>
        <v>4.8091655770700521E-2</v>
      </c>
      <c r="T146" s="1858"/>
      <c r="U146" s="1858"/>
      <c r="V146" s="1858"/>
      <c r="W146" s="1858"/>
      <c r="X146" s="1858"/>
      <c r="Y146" s="1858"/>
      <c r="Z146" s="1858"/>
      <c r="AA146" s="1858"/>
      <c r="AB146" s="1858"/>
      <c r="AC146" s="1858"/>
      <c r="AD146" s="1858"/>
      <c r="AE146" s="1858"/>
      <c r="AF146" s="1858"/>
      <c r="AG146" s="1858"/>
      <c r="AH146" s="1858"/>
    </row>
    <row r="147" spans="1:36" x14ac:dyDescent="0.3">
      <c r="A147" s="1848"/>
      <c r="B147" s="924"/>
      <c r="C147" s="924"/>
      <c r="D147" s="924"/>
      <c r="E147" s="924"/>
      <c r="F147" s="924"/>
      <c r="G147" s="924"/>
      <c r="H147" s="924"/>
      <c r="I147" s="924"/>
      <c r="J147" s="924"/>
      <c r="K147" s="924"/>
      <c r="L147" s="924"/>
      <c r="M147" s="924"/>
      <c r="N147" s="924"/>
      <c r="O147" s="1852"/>
      <c r="P147" s="1852"/>
      <c r="Q147" s="1852"/>
      <c r="R147" s="1853">
        <f>SUM(R142:R146)</f>
        <v>374285.304</v>
      </c>
      <c r="S147" s="1859">
        <f>SUM(S142:S146)</f>
        <v>1</v>
      </c>
      <c r="T147" s="1858"/>
      <c r="U147" s="1858"/>
      <c r="V147" s="1858"/>
      <c r="W147" s="1858"/>
      <c r="X147" s="1858"/>
      <c r="Y147" s="1858"/>
      <c r="Z147" s="1858"/>
      <c r="AA147" s="1858"/>
      <c r="AB147" s="1858"/>
      <c r="AC147" s="1858"/>
      <c r="AD147" s="1858"/>
      <c r="AE147" s="1858"/>
      <c r="AF147" s="1858"/>
      <c r="AG147" s="1858"/>
      <c r="AH147" s="1858"/>
    </row>
    <row r="148" spans="1:36" x14ac:dyDescent="0.3">
      <c r="A148" s="1876"/>
      <c r="K148" s="13"/>
      <c r="O148" s="1742"/>
      <c r="P148" s="1742"/>
      <c r="Q148" s="1742"/>
      <c r="R148" s="1742"/>
      <c r="T148" s="1742"/>
      <c r="U148" s="1742"/>
      <c r="V148" s="1742"/>
      <c r="W148" s="1742"/>
      <c r="X148" s="1742"/>
      <c r="Y148" s="1742"/>
      <c r="Z148" s="1742"/>
      <c r="AA148" s="1742"/>
      <c r="AB148" s="1742"/>
      <c r="AC148" s="1742"/>
      <c r="AD148" s="1742"/>
      <c r="AE148" s="1742"/>
      <c r="AF148" s="1742"/>
      <c r="AG148" s="1742"/>
      <c r="AH148" s="1742"/>
    </row>
    <row r="149" spans="1:36" x14ac:dyDescent="0.3">
      <c r="A149" s="1703"/>
      <c r="B149" s="11"/>
      <c r="C149" s="11"/>
      <c r="K149" s="863"/>
      <c r="O149" s="851"/>
      <c r="P149" s="851"/>
      <c r="Q149" s="851"/>
      <c r="R149" s="851"/>
      <c r="S149" s="1692"/>
      <c r="T149" s="851"/>
      <c r="U149" s="851"/>
      <c r="V149" s="851"/>
      <c r="W149" s="851"/>
      <c r="X149" s="851"/>
      <c r="Y149" s="851"/>
      <c r="Z149" s="851"/>
      <c r="AA149" s="851"/>
      <c r="AB149" s="851"/>
      <c r="AC149" s="851"/>
      <c r="AD149" s="851"/>
      <c r="AE149" s="851"/>
      <c r="AF149" s="851"/>
      <c r="AG149" s="851"/>
      <c r="AH149" s="851"/>
    </row>
    <row r="150" spans="1:36" x14ac:dyDescent="0.3">
      <c r="A150" s="1703"/>
      <c r="B150" s="11"/>
      <c r="C150" s="11"/>
      <c r="E150" s="10" t="s">
        <v>1005</v>
      </c>
      <c r="F150" s="859">
        <v>0.71</v>
      </c>
      <c r="K150" s="863"/>
      <c r="O150" s="851"/>
      <c r="P150" s="851"/>
      <c r="Q150" s="851"/>
      <c r="R150" s="851"/>
      <c r="S150" s="1692"/>
      <c r="T150" s="851"/>
      <c r="U150" s="851"/>
      <c r="V150" s="851"/>
      <c r="W150" s="851"/>
      <c r="X150" s="851"/>
      <c r="Y150" s="851"/>
      <c r="Z150" s="851"/>
      <c r="AA150" s="851"/>
      <c r="AB150" s="851"/>
      <c r="AC150" s="851"/>
      <c r="AD150" s="851"/>
      <c r="AE150" s="851"/>
      <c r="AF150" s="851"/>
      <c r="AG150" s="851"/>
      <c r="AH150" s="851"/>
    </row>
    <row r="151" spans="1:36" x14ac:dyDescent="0.3">
      <c r="A151" s="1703"/>
      <c r="B151" s="11"/>
      <c r="C151" s="11"/>
      <c r="E151" s="10" t="s">
        <v>861</v>
      </c>
      <c r="F151" s="10">
        <v>22</v>
      </c>
      <c r="O151" s="851"/>
      <c r="P151" s="851"/>
      <c r="Q151" s="851"/>
      <c r="R151" s="851"/>
      <c r="T151" s="851"/>
      <c r="U151" s="851"/>
      <c r="V151" s="851"/>
      <c r="W151" s="851"/>
      <c r="X151" s="851"/>
      <c r="Y151" s="851"/>
      <c r="Z151" s="851"/>
      <c r="AA151" s="851"/>
      <c r="AB151" s="851"/>
      <c r="AC151" s="851"/>
      <c r="AD151" s="851"/>
      <c r="AE151" s="851"/>
      <c r="AF151" s="851"/>
      <c r="AG151" s="851"/>
      <c r="AH151" s="851"/>
    </row>
    <row r="152" spans="1:36" ht="18" x14ac:dyDescent="0.35">
      <c r="A152" s="1037" t="s">
        <v>567</v>
      </c>
      <c r="B152" s="11"/>
      <c r="C152" s="11"/>
      <c r="E152" s="10" t="s">
        <v>475</v>
      </c>
      <c r="F152" s="10">
        <v>1584</v>
      </c>
      <c r="O152" s="851"/>
      <c r="P152" s="851"/>
      <c r="Q152" s="851"/>
      <c r="R152" s="851"/>
      <c r="T152" s="851"/>
      <c r="U152" s="851"/>
      <c r="V152" s="851"/>
      <c r="W152" s="851"/>
      <c r="X152" s="851"/>
      <c r="Y152" s="851"/>
      <c r="Z152" s="851"/>
      <c r="AA152" s="851"/>
      <c r="AB152" s="851"/>
      <c r="AC152" s="851"/>
      <c r="AD152" s="851"/>
      <c r="AE152" s="851"/>
      <c r="AF152" s="851"/>
      <c r="AG152" s="851"/>
      <c r="AH152" s="851"/>
    </row>
    <row r="153" spans="1:36" x14ac:dyDescent="0.3">
      <c r="A153" s="850"/>
      <c r="E153" s="10" t="s">
        <v>477</v>
      </c>
      <c r="F153" s="864">
        <v>33495354</v>
      </c>
      <c r="K153" s="863"/>
      <c r="O153" s="851"/>
      <c r="P153" s="851"/>
      <c r="Q153" s="851"/>
      <c r="R153" s="851"/>
      <c r="T153" s="851"/>
      <c r="U153" s="851"/>
      <c r="V153" s="851"/>
      <c r="W153" s="851"/>
      <c r="X153" s="851"/>
      <c r="Y153" s="851"/>
      <c r="Z153" s="851"/>
      <c r="AA153" s="851"/>
      <c r="AB153" s="851"/>
      <c r="AC153" s="851"/>
      <c r="AD153" s="851"/>
      <c r="AE153" s="851"/>
      <c r="AF153" s="851"/>
      <c r="AG153" s="851"/>
      <c r="AH153" s="851"/>
    </row>
    <row r="154" spans="1:36" x14ac:dyDescent="0.3">
      <c r="A154" s="850"/>
      <c r="F154" s="864"/>
      <c r="K154" s="863"/>
      <c r="O154" s="851"/>
      <c r="P154" s="851"/>
      <c r="Q154" s="851"/>
      <c r="R154" s="851"/>
      <c r="T154" s="851"/>
      <c r="U154" s="851"/>
      <c r="V154" s="851"/>
      <c r="W154" s="851"/>
      <c r="X154" s="851"/>
      <c r="Y154" s="851"/>
      <c r="Z154" s="851"/>
      <c r="AA154" s="851"/>
      <c r="AB154" s="851"/>
      <c r="AC154" s="851"/>
      <c r="AD154" s="851"/>
      <c r="AE154" s="851"/>
      <c r="AF154" s="851"/>
      <c r="AG154" s="851"/>
      <c r="AH154" s="851"/>
    </row>
    <row r="155" spans="1:36" ht="69" x14ac:dyDescent="0.3">
      <c r="A155" s="1877" t="s">
        <v>482</v>
      </c>
      <c r="B155" s="1877" t="s">
        <v>483</v>
      </c>
      <c r="C155" s="1877" t="s">
        <v>484</v>
      </c>
      <c r="D155" s="1877" t="s">
        <v>555</v>
      </c>
      <c r="E155" s="2828" t="s">
        <v>486</v>
      </c>
      <c r="F155" s="2829" t="s">
        <v>487</v>
      </c>
      <c r="G155" s="1877" t="s">
        <v>1121</v>
      </c>
      <c r="H155" s="2812" t="s">
        <v>1122</v>
      </c>
      <c r="I155" s="2830" t="s">
        <v>489</v>
      </c>
      <c r="J155" s="2823" t="s">
        <v>490</v>
      </c>
      <c r="K155" s="2823"/>
      <c r="L155" s="2823"/>
      <c r="M155" s="2823"/>
      <c r="N155" s="2824" t="s">
        <v>863</v>
      </c>
      <c r="O155" s="2826" t="s">
        <v>864</v>
      </c>
      <c r="P155" s="2826" t="s">
        <v>865</v>
      </c>
      <c r="Q155" s="2826" t="s">
        <v>866</v>
      </c>
      <c r="R155" s="2826" t="s">
        <v>867</v>
      </c>
      <c r="S155" s="2812" t="s">
        <v>495</v>
      </c>
      <c r="T155" s="1878" t="s">
        <v>496</v>
      </c>
      <c r="U155" s="2814" t="s">
        <v>497</v>
      </c>
      <c r="V155" s="2815"/>
      <c r="W155" s="2815"/>
      <c r="X155" s="2815"/>
      <c r="Y155" s="2816"/>
      <c r="Z155" s="2814" t="s">
        <v>498</v>
      </c>
      <c r="AA155" s="2816"/>
      <c r="AB155" s="2814" t="s">
        <v>499</v>
      </c>
      <c r="AC155" s="2815"/>
      <c r="AD155" s="2815"/>
      <c r="AE155" s="2815"/>
      <c r="AF155" s="2815"/>
      <c r="AG155" s="2815"/>
      <c r="AH155" s="2816"/>
    </row>
    <row r="156" spans="1:36" ht="18" x14ac:dyDescent="0.3">
      <c r="A156" s="1879"/>
      <c r="B156" s="1879"/>
      <c r="C156" s="1879"/>
      <c r="D156" s="1879"/>
      <c r="E156" s="2216"/>
      <c r="F156" s="2214"/>
      <c r="G156" s="1879" t="s">
        <v>1123</v>
      </c>
      <c r="H156" s="2813"/>
      <c r="I156" s="2831"/>
      <c r="J156" s="1880" t="s">
        <v>500</v>
      </c>
      <c r="K156" s="1880" t="s">
        <v>501</v>
      </c>
      <c r="L156" s="1881" t="s">
        <v>502</v>
      </c>
      <c r="M156" s="1881" t="s">
        <v>503</v>
      </c>
      <c r="N156" s="2825"/>
      <c r="O156" s="2827"/>
      <c r="P156" s="2827"/>
      <c r="Q156" s="2827"/>
      <c r="R156" s="2827"/>
      <c r="S156" s="2813"/>
      <c r="T156" s="1882" t="s">
        <v>508</v>
      </c>
      <c r="U156" s="2817"/>
      <c r="V156" s="2818"/>
      <c r="W156" s="2818"/>
      <c r="X156" s="2818"/>
      <c r="Y156" s="2819"/>
      <c r="Z156" s="2817"/>
      <c r="AA156" s="2819"/>
      <c r="AB156" s="2817"/>
      <c r="AC156" s="2818"/>
      <c r="AD156" s="2818"/>
      <c r="AE156" s="2818"/>
      <c r="AF156" s="2818"/>
      <c r="AG156" s="2818"/>
      <c r="AH156" s="2819"/>
    </row>
    <row r="157" spans="1:36" ht="15.6" x14ac:dyDescent="0.3">
      <c r="A157" s="2820" t="s">
        <v>1124</v>
      </c>
      <c r="B157" s="2821"/>
      <c r="C157" s="2821"/>
      <c r="D157" s="2821"/>
      <c r="E157" s="2821"/>
      <c r="F157" s="2821"/>
      <c r="G157" s="2821"/>
      <c r="H157" s="2821"/>
      <c r="I157" s="2821"/>
      <c r="J157" s="2821"/>
      <c r="K157" s="2821"/>
      <c r="L157" s="2821"/>
      <c r="M157" s="2821"/>
      <c r="N157" s="2821"/>
      <c r="O157" s="2821"/>
      <c r="P157" s="2821"/>
      <c r="Q157" s="2821"/>
      <c r="R157" s="2822"/>
      <c r="S157" s="1694"/>
      <c r="T157" s="1798"/>
      <c r="U157" s="1553" t="s">
        <v>510</v>
      </c>
      <c r="V157" s="1554" t="s">
        <v>11</v>
      </c>
      <c r="W157" s="1554" t="s">
        <v>511</v>
      </c>
      <c r="X157" s="1554" t="s">
        <v>512</v>
      </c>
      <c r="Y157" s="1578" t="s">
        <v>513</v>
      </c>
      <c r="Z157" s="1695" t="s">
        <v>514</v>
      </c>
      <c r="AA157" s="1696" t="s">
        <v>515</v>
      </c>
      <c r="AB157" s="1695" t="s">
        <v>1</v>
      </c>
      <c r="AC157" s="1697" t="s">
        <v>5</v>
      </c>
      <c r="AD157" s="1697" t="s">
        <v>156</v>
      </c>
      <c r="AE157" s="1697" t="s">
        <v>8</v>
      </c>
      <c r="AF157" s="1697" t="s">
        <v>9</v>
      </c>
      <c r="AG157" s="1697" t="s">
        <v>10</v>
      </c>
      <c r="AH157" s="1696" t="s">
        <v>140</v>
      </c>
      <c r="AI157" s="10"/>
      <c r="AJ157" s="10"/>
    </row>
    <row r="158" spans="1:36" x14ac:dyDescent="0.3">
      <c r="A158" s="1883"/>
      <c r="B158" s="1883"/>
      <c r="C158" s="1883"/>
      <c r="D158" s="1884"/>
      <c r="E158" s="1884"/>
      <c r="F158" s="1884"/>
      <c r="G158" s="1884"/>
      <c r="H158" s="1884"/>
      <c r="I158" s="1884"/>
      <c r="J158" s="1763"/>
      <c r="K158" s="1763"/>
      <c r="L158" s="1764"/>
      <c r="M158" s="1885"/>
      <c r="N158" s="896"/>
      <c r="O158" s="1886"/>
      <c r="P158" s="1886"/>
      <c r="Q158" s="1887"/>
      <c r="R158" s="1888"/>
      <c r="S158" s="1889"/>
      <c r="T158" s="1890"/>
      <c r="U158" s="1891"/>
      <c r="V158" s="1892"/>
      <c r="W158" s="1892"/>
      <c r="X158" s="1892"/>
      <c r="Y158" s="1893"/>
      <c r="Z158" s="1894"/>
      <c r="AA158" s="1895"/>
      <c r="AB158" s="1894"/>
      <c r="AC158" s="1896"/>
      <c r="AD158" s="1896"/>
      <c r="AE158" s="1896"/>
      <c r="AF158" s="1896"/>
      <c r="AG158" s="1897"/>
      <c r="AH158" s="1898"/>
    </row>
    <row r="159" spans="1:36" x14ac:dyDescent="0.3">
      <c r="A159" s="891" t="s">
        <v>1115</v>
      </c>
      <c r="B159" s="891" t="s">
        <v>20</v>
      </c>
      <c r="C159" s="891" t="s">
        <v>1116</v>
      </c>
      <c r="D159" s="891" t="s">
        <v>257</v>
      </c>
      <c r="E159" s="891" t="s">
        <v>518</v>
      </c>
      <c r="F159" s="891"/>
      <c r="G159" s="891">
        <v>46</v>
      </c>
      <c r="H159" s="893">
        <v>10</v>
      </c>
      <c r="I159" s="894" t="s">
        <v>22</v>
      </c>
      <c r="J159" s="1763"/>
      <c r="K159" s="895">
        <v>10</v>
      </c>
      <c r="L159" s="895">
        <v>10</v>
      </c>
      <c r="M159" s="1885"/>
      <c r="N159" s="896">
        <v>2</v>
      </c>
      <c r="O159" s="1702">
        <v>2851</v>
      </c>
      <c r="P159" s="1702">
        <v>0.59599999999999997</v>
      </c>
      <c r="Q159" s="1702">
        <f t="shared" ref="Q159:Q167" si="36">O159*(1-P159)</f>
        <v>1151.8040000000001</v>
      </c>
      <c r="R159" s="1702">
        <f t="shared" ref="R159:R167" si="37">Q159*H159*N159</f>
        <v>23036.080000000002</v>
      </c>
      <c r="S159" s="898">
        <f t="shared" ref="S159:S167" si="38">R159/$R$172</f>
        <v>8.3140388822528888E-2</v>
      </c>
      <c r="T159" s="1706">
        <f>R159*3</f>
        <v>69108.240000000005</v>
      </c>
      <c r="U159" s="1765"/>
      <c r="V159" s="21">
        <f>T159</f>
        <v>69108.240000000005</v>
      </c>
      <c r="W159" s="21"/>
      <c r="X159" s="21"/>
      <c r="Y159" s="1766"/>
      <c r="Z159" s="1767"/>
      <c r="AA159" s="1768">
        <f>T159</f>
        <v>69108.240000000005</v>
      </c>
      <c r="AB159" s="1767">
        <f>T159</f>
        <v>69108.240000000005</v>
      </c>
      <c r="AC159" s="1769"/>
      <c r="AD159" s="1769"/>
      <c r="AE159" s="1769"/>
      <c r="AF159" s="1769"/>
      <c r="AG159" s="1770"/>
      <c r="AH159" s="1771"/>
    </row>
    <row r="160" spans="1:36" x14ac:dyDescent="0.3">
      <c r="A160" s="891" t="s">
        <v>1115</v>
      </c>
      <c r="B160" s="902" t="s">
        <v>108</v>
      </c>
      <c r="C160" s="902" t="s">
        <v>1039</v>
      </c>
      <c r="D160" s="902" t="s">
        <v>258</v>
      </c>
      <c r="E160" s="902" t="s">
        <v>518</v>
      </c>
      <c r="F160" s="902"/>
      <c r="G160" s="902">
        <v>70</v>
      </c>
      <c r="H160" s="902">
        <v>1</v>
      </c>
      <c r="I160" s="902" t="s">
        <v>22</v>
      </c>
      <c r="J160" s="906">
        <v>50</v>
      </c>
      <c r="K160" s="13"/>
      <c r="L160" s="13"/>
      <c r="M160" s="13"/>
      <c r="N160" s="896">
        <v>1</v>
      </c>
      <c r="O160" s="1702">
        <v>113400</v>
      </c>
      <c r="P160" s="1702">
        <v>0.25</v>
      </c>
      <c r="Q160" s="1702">
        <f t="shared" si="36"/>
        <v>85050</v>
      </c>
      <c r="R160" s="1702">
        <f t="shared" si="37"/>
        <v>85050</v>
      </c>
      <c r="S160" s="898">
        <f t="shared" si="38"/>
        <v>0.30695717627982194</v>
      </c>
      <c r="T160" s="1706">
        <f t="shared" ref="T160:T170" si="39">R160*3</f>
        <v>255150</v>
      </c>
      <c r="U160" s="1765"/>
      <c r="V160" s="21">
        <f>T160</f>
        <v>255150</v>
      </c>
      <c r="W160" s="21"/>
      <c r="X160" s="21"/>
      <c r="Y160" s="1766"/>
      <c r="Z160" s="1772"/>
      <c r="AA160" s="1768">
        <f>T160</f>
        <v>255150</v>
      </c>
      <c r="AB160" s="1767"/>
      <c r="AC160" s="1769">
        <f>T160</f>
        <v>255150</v>
      </c>
      <c r="AD160" s="1769"/>
      <c r="AE160" s="1769"/>
      <c r="AF160" s="1769"/>
      <c r="AG160" s="1770"/>
      <c r="AH160" s="1771"/>
    </row>
    <row r="161" spans="1:34" x14ac:dyDescent="0.3">
      <c r="A161" s="891" t="s">
        <v>1115</v>
      </c>
      <c r="B161" s="902" t="s">
        <v>158</v>
      </c>
      <c r="C161" s="902" t="s">
        <v>1116</v>
      </c>
      <c r="D161" s="902" t="s">
        <v>259</v>
      </c>
      <c r="E161" s="902" t="s">
        <v>520</v>
      </c>
      <c r="F161" s="902"/>
      <c r="G161" s="902">
        <v>140</v>
      </c>
      <c r="H161" s="902">
        <v>10</v>
      </c>
      <c r="I161" s="902" t="s">
        <v>22</v>
      </c>
      <c r="J161" s="13"/>
      <c r="K161" s="895">
        <v>10</v>
      </c>
      <c r="L161" s="905">
        <v>10</v>
      </c>
      <c r="M161" s="13"/>
      <c r="N161" s="896">
        <v>2</v>
      </c>
      <c r="O161" s="1702">
        <v>2000</v>
      </c>
      <c r="P161" s="1702">
        <v>0.25</v>
      </c>
      <c r="Q161" s="1702">
        <f t="shared" si="36"/>
        <v>1500</v>
      </c>
      <c r="R161" s="1702">
        <f t="shared" si="37"/>
        <v>30000</v>
      </c>
      <c r="S161" s="1811">
        <f t="shared" si="38"/>
        <v>0.10827413625390546</v>
      </c>
      <c r="T161" s="1706">
        <f t="shared" si="39"/>
        <v>90000</v>
      </c>
      <c r="U161" s="1765"/>
      <c r="V161" s="21">
        <f>T161</f>
        <v>90000</v>
      </c>
      <c r="W161" s="21"/>
      <c r="X161" s="21"/>
      <c r="Y161" s="1766"/>
      <c r="Z161" s="1772">
        <f>T161</f>
        <v>90000</v>
      </c>
      <c r="AA161" s="1768"/>
      <c r="AB161" s="1767"/>
      <c r="AC161" s="1769"/>
      <c r="AD161" s="1769">
        <f>T161</f>
        <v>90000</v>
      </c>
      <c r="AE161" s="1769"/>
      <c r="AF161" s="1769"/>
      <c r="AG161" s="1770"/>
      <c r="AH161" s="1771"/>
    </row>
    <row r="162" spans="1:34" x14ac:dyDescent="0.3">
      <c r="A162" s="891" t="s">
        <v>1115</v>
      </c>
      <c r="B162" s="902" t="s">
        <v>215</v>
      </c>
      <c r="C162" s="902" t="s">
        <v>1117</v>
      </c>
      <c r="D162" s="902" t="s">
        <v>89</v>
      </c>
      <c r="E162" s="902" t="s">
        <v>520</v>
      </c>
      <c r="F162" s="902"/>
      <c r="G162" s="902"/>
      <c r="H162" s="902">
        <v>10</v>
      </c>
      <c r="I162" s="902" t="s">
        <v>106</v>
      </c>
      <c r="J162" s="908">
        <v>10</v>
      </c>
      <c r="K162" s="895"/>
      <c r="L162" s="907"/>
      <c r="M162" s="907"/>
      <c r="N162" s="896">
        <v>1</v>
      </c>
      <c r="O162" s="1702">
        <f>1650*(1+50%)</f>
        <v>2475</v>
      </c>
      <c r="P162" s="1702">
        <v>0.2</v>
      </c>
      <c r="Q162" s="1702">
        <f t="shared" si="36"/>
        <v>1980</v>
      </c>
      <c r="R162" s="1702">
        <f t="shared" si="37"/>
        <v>19800</v>
      </c>
      <c r="S162" s="1811">
        <f t="shared" si="38"/>
        <v>7.1460929927577604E-2</v>
      </c>
      <c r="T162" s="1706">
        <f t="shared" si="39"/>
        <v>59400</v>
      </c>
      <c r="U162" s="1765">
        <f>T162</f>
        <v>59400</v>
      </c>
      <c r="V162" s="21"/>
      <c r="W162" s="21"/>
      <c r="X162" s="21"/>
      <c r="Y162" s="1766"/>
      <c r="Z162" s="1772">
        <f>T162</f>
        <v>59400</v>
      </c>
      <c r="AA162" s="1768"/>
      <c r="AB162" s="1767"/>
      <c r="AC162" s="1769"/>
      <c r="AD162" s="1769"/>
      <c r="AE162" s="1769"/>
      <c r="AF162" s="1769">
        <f>T162</f>
        <v>59400</v>
      </c>
      <c r="AG162" s="1770"/>
      <c r="AH162" s="1771"/>
    </row>
    <row r="163" spans="1:34" x14ac:dyDescent="0.3">
      <c r="A163" s="891" t="s">
        <v>1115</v>
      </c>
      <c r="B163" s="902" t="s">
        <v>250</v>
      </c>
      <c r="C163" s="902" t="s">
        <v>1117</v>
      </c>
      <c r="D163" s="902" t="s">
        <v>27</v>
      </c>
      <c r="E163" s="902" t="s">
        <v>520</v>
      </c>
      <c r="F163" s="902"/>
      <c r="G163" s="902"/>
      <c r="H163" s="902">
        <v>3</v>
      </c>
      <c r="I163" s="902" t="s">
        <v>106</v>
      </c>
      <c r="J163" s="908">
        <v>3</v>
      </c>
      <c r="K163" s="895"/>
      <c r="L163" s="907"/>
      <c r="M163" s="907"/>
      <c r="N163" s="896">
        <v>1</v>
      </c>
      <c r="O163" s="1702">
        <f>3969*(1+50%)</f>
        <v>5953.5</v>
      </c>
      <c r="P163" s="1702">
        <v>0.2</v>
      </c>
      <c r="Q163" s="1702">
        <f t="shared" si="36"/>
        <v>4762.8</v>
      </c>
      <c r="R163" s="1702">
        <f t="shared" si="37"/>
        <v>14288.400000000001</v>
      </c>
      <c r="S163" s="1811">
        <f t="shared" si="38"/>
        <v>5.1568805615010094E-2</v>
      </c>
      <c r="T163" s="1706">
        <f t="shared" si="39"/>
        <v>42865.200000000004</v>
      </c>
      <c r="U163" s="1765">
        <f>T163</f>
        <v>42865.200000000004</v>
      </c>
      <c r="V163" s="21"/>
      <c r="W163" s="21"/>
      <c r="X163" s="21"/>
      <c r="Y163" s="1766"/>
      <c r="Z163" s="1772">
        <f>T163</f>
        <v>42865.200000000004</v>
      </c>
      <c r="AA163" s="1768"/>
      <c r="AB163" s="1767"/>
      <c r="AC163" s="1769"/>
      <c r="AD163" s="1769"/>
      <c r="AE163" s="1769">
        <f>T163</f>
        <v>42865.200000000004</v>
      </c>
      <c r="AF163" s="1769"/>
      <c r="AG163" s="1770"/>
      <c r="AH163" s="1771"/>
    </row>
    <row r="164" spans="1:34" x14ac:dyDescent="0.3">
      <c r="A164" s="891" t="s">
        <v>1115</v>
      </c>
      <c r="B164" s="902" t="s">
        <v>108</v>
      </c>
      <c r="C164" s="902" t="s">
        <v>1119</v>
      </c>
      <c r="D164" s="902" t="s">
        <v>262</v>
      </c>
      <c r="E164" s="902" t="s">
        <v>518</v>
      </c>
      <c r="F164" s="902"/>
      <c r="G164" s="902">
        <v>7</v>
      </c>
      <c r="H164" s="902">
        <v>1</v>
      </c>
      <c r="I164" s="902" t="s">
        <v>22</v>
      </c>
      <c r="J164" s="13"/>
      <c r="K164" s="895">
        <v>7</v>
      </c>
      <c r="L164" s="907"/>
      <c r="M164" s="907"/>
      <c r="N164" s="896">
        <v>1</v>
      </c>
      <c r="O164" s="1706">
        <v>35000</v>
      </c>
      <c r="P164" s="1706">
        <v>0.25</v>
      </c>
      <c r="Q164" s="1706">
        <f t="shared" si="36"/>
        <v>26250</v>
      </c>
      <c r="R164" s="1702">
        <f t="shared" si="37"/>
        <v>26250</v>
      </c>
      <c r="S164" s="898">
        <f t="shared" si="38"/>
        <v>9.4739869222167275E-2</v>
      </c>
      <c r="T164" s="1706">
        <f t="shared" si="39"/>
        <v>78750</v>
      </c>
      <c r="U164" s="1765"/>
      <c r="V164" s="21"/>
      <c r="W164" s="21">
        <f>T164</f>
        <v>78750</v>
      </c>
      <c r="X164" s="21"/>
      <c r="Y164" s="1766"/>
      <c r="Z164" s="1772"/>
      <c r="AA164" s="1768">
        <f>T164</f>
        <v>78750</v>
      </c>
      <c r="AB164" s="1767"/>
      <c r="AC164" s="1769">
        <f>T164</f>
        <v>78750</v>
      </c>
      <c r="AD164" s="1769"/>
      <c r="AE164" s="1769"/>
      <c r="AF164" s="1769"/>
      <c r="AG164" s="1770"/>
      <c r="AH164" s="1771"/>
    </row>
    <row r="165" spans="1:34" x14ac:dyDescent="0.3">
      <c r="A165" s="891" t="s">
        <v>1115</v>
      </c>
      <c r="B165" s="902" t="s">
        <v>215</v>
      </c>
      <c r="C165" s="902" t="s">
        <v>1037</v>
      </c>
      <c r="D165" s="902" t="s">
        <v>260</v>
      </c>
      <c r="E165" s="902" t="s">
        <v>524</v>
      </c>
      <c r="F165" s="902"/>
      <c r="G165" s="902">
        <v>45</v>
      </c>
      <c r="H165" s="902">
        <v>1</v>
      </c>
      <c r="I165" s="902" t="s">
        <v>24</v>
      </c>
      <c r="J165" s="908">
        <v>1</v>
      </c>
      <c r="K165" s="895"/>
      <c r="L165" s="895"/>
      <c r="M165" s="2480"/>
      <c r="N165" s="896">
        <v>1</v>
      </c>
      <c r="O165" s="1706">
        <v>12000</v>
      </c>
      <c r="P165" s="1706">
        <v>0.25</v>
      </c>
      <c r="Q165" s="1706">
        <f t="shared" si="36"/>
        <v>9000</v>
      </c>
      <c r="R165" s="1702">
        <f t="shared" si="37"/>
        <v>9000</v>
      </c>
      <c r="S165" s="1811">
        <f t="shared" si="38"/>
        <v>3.2482240876171638E-2</v>
      </c>
      <c r="T165" s="1706">
        <f t="shared" si="39"/>
        <v>27000</v>
      </c>
      <c r="U165" s="1765">
        <f>T165</f>
        <v>27000</v>
      </c>
      <c r="V165" s="21"/>
      <c r="W165" s="21"/>
      <c r="X165" s="21"/>
      <c r="Y165" s="1766"/>
      <c r="Z165" s="1772">
        <f>T165</f>
        <v>27000</v>
      </c>
      <c r="AA165" s="1768"/>
      <c r="AB165" s="1767"/>
      <c r="AC165" s="1769"/>
      <c r="AD165" s="1769"/>
      <c r="AE165" s="1769"/>
      <c r="AF165" s="1769">
        <f>T165</f>
        <v>27000</v>
      </c>
      <c r="AG165" s="1770"/>
      <c r="AH165" s="1771"/>
    </row>
    <row r="166" spans="1:34" x14ac:dyDescent="0.3">
      <c r="A166" s="891" t="s">
        <v>1115</v>
      </c>
      <c r="B166" s="902" t="s">
        <v>250</v>
      </c>
      <c r="C166" s="902" t="s">
        <v>1037</v>
      </c>
      <c r="D166" s="902" t="s">
        <v>261</v>
      </c>
      <c r="E166" s="902" t="s">
        <v>518</v>
      </c>
      <c r="F166" s="902"/>
      <c r="G166" s="902">
        <v>25</v>
      </c>
      <c r="H166" s="902">
        <v>1</v>
      </c>
      <c r="I166" s="902" t="s">
        <v>22</v>
      </c>
      <c r="J166" s="13"/>
      <c r="K166" s="905">
        <v>1</v>
      </c>
      <c r="L166" s="895"/>
      <c r="M166" s="13"/>
      <c r="N166" s="896">
        <v>1</v>
      </c>
      <c r="O166" s="1706">
        <v>7200</v>
      </c>
      <c r="P166" s="1706">
        <v>0.25</v>
      </c>
      <c r="Q166" s="1706">
        <f t="shared" si="36"/>
        <v>5400</v>
      </c>
      <c r="R166" s="1702">
        <f t="shared" si="37"/>
        <v>5400</v>
      </c>
      <c r="S166" s="898">
        <f t="shared" si="38"/>
        <v>1.9489344525702983E-2</v>
      </c>
      <c r="T166" s="1706">
        <f t="shared" si="39"/>
        <v>16200</v>
      </c>
      <c r="U166" s="1765">
        <f>T166</f>
        <v>16200</v>
      </c>
      <c r="V166" s="21"/>
      <c r="W166" s="21"/>
      <c r="X166" s="21"/>
      <c r="Y166" s="1766"/>
      <c r="Z166" s="1772"/>
      <c r="AA166" s="1768">
        <f>T166</f>
        <v>16200</v>
      </c>
      <c r="AB166" s="1767"/>
      <c r="AC166" s="1769"/>
      <c r="AD166" s="1769"/>
      <c r="AE166" s="1769">
        <f>T166</f>
        <v>16200</v>
      </c>
      <c r="AF166" s="1769"/>
      <c r="AG166" s="1770"/>
      <c r="AH166" s="1771"/>
    </row>
    <row r="167" spans="1:34" x14ac:dyDescent="0.3">
      <c r="A167" s="891" t="s">
        <v>1115</v>
      </c>
      <c r="B167" s="902" t="s">
        <v>247</v>
      </c>
      <c r="C167" s="902" t="s">
        <v>1041</v>
      </c>
      <c r="D167" s="902" t="s">
        <v>180</v>
      </c>
      <c r="E167" s="902" t="s">
        <v>524</v>
      </c>
      <c r="F167" s="902"/>
      <c r="G167" s="902"/>
      <c r="H167" s="902">
        <v>1</v>
      </c>
      <c r="I167" s="902" t="s">
        <v>24</v>
      </c>
      <c r="J167" s="908">
        <v>10</v>
      </c>
      <c r="K167" s="895"/>
      <c r="L167" s="895"/>
      <c r="M167" s="2480"/>
      <c r="N167" s="896">
        <v>1</v>
      </c>
      <c r="O167" s="1706">
        <v>35000</v>
      </c>
      <c r="P167" s="1706">
        <v>0.35</v>
      </c>
      <c r="Q167" s="1706">
        <f t="shared" si="36"/>
        <v>22750</v>
      </c>
      <c r="R167" s="1702">
        <f t="shared" si="37"/>
        <v>22750</v>
      </c>
      <c r="S167" s="1811">
        <f t="shared" si="38"/>
        <v>8.2107886659211635E-2</v>
      </c>
      <c r="T167" s="1706">
        <f t="shared" si="39"/>
        <v>68250</v>
      </c>
      <c r="U167" s="1765"/>
      <c r="V167" s="21"/>
      <c r="W167" s="21">
        <f>T167</f>
        <v>68250</v>
      </c>
      <c r="X167" s="21"/>
      <c r="Y167" s="1766"/>
      <c r="Z167" s="1772">
        <f>T167</f>
        <v>68250</v>
      </c>
      <c r="AA167" s="1768"/>
      <c r="AB167" s="1767"/>
      <c r="AC167" s="1769"/>
      <c r="AD167" s="1769"/>
      <c r="AE167" s="1769"/>
      <c r="AF167" s="1769"/>
      <c r="AG167" s="1770">
        <f>T167</f>
        <v>68250</v>
      </c>
      <c r="AH167" s="1771"/>
    </row>
    <row r="168" spans="1:34" x14ac:dyDescent="0.3">
      <c r="A168" s="891"/>
      <c r="B168" s="902"/>
      <c r="C168" s="902"/>
      <c r="D168" s="902"/>
      <c r="E168" s="902"/>
      <c r="F168" s="902"/>
      <c r="G168" s="902"/>
      <c r="H168" s="902"/>
      <c r="I168" s="902"/>
      <c r="J168" s="914"/>
      <c r="K168" s="914"/>
      <c r="L168" s="912"/>
      <c r="M168" s="912"/>
      <c r="N168" s="896"/>
      <c r="O168" s="1706"/>
      <c r="P168" s="1706"/>
      <c r="Q168" s="1706"/>
      <c r="R168" s="1706"/>
      <c r="S168" s="910"/>
      <c r="T168" s="1706"/>
      <c r="U168" s="1765"/>
      <c r="V168" s="21"/>
      <c r="W168" s="21"/>
      <c r="X168" s="21"/>
      <c r="Y168" s="1766"/>
      <c r="Z168" s="1765"/>
      <c r="AA168" s="1768"/>
      <c r="AB168" s="1767"/>
      <c r="AC168" s="1769"/>
      <c r="AD168" s="1769"/>
      <c r="AE168" s="1769"/>
      <c r="AF168" s="1769"/>
      <c r="AG168" s="1770"/>
      <c r="AH168" s="1771"/>
    </row>
    <row r="169" spans="1:34" x14ac:dyDescent="0.3">
      <c r="A169" s="915" t="s">
        <v>1115</v>
      </c>
      <c r="B169" s="916" t="s">
        <v>528</v>
      </c>
      <c r="C169" s="916" t="s">
        <v>1118</v>
      </c>
      <c r="D169" s="916"/>
      <c r="E169" s="916"/>
      <c r="F169" s="916"/>
      <c r="G169" s="916"/>
      <c r="H169" s="916"/>
      <c r="I169" s="916"/>
      <c r="J169" s="918"/>
      <c r="K169" s="918"/>
      <c r="L169" s="919"/>
      <c r="M169" s="919"/>
      <c r="N169" s="920"/>
      <c r="O169" s="1707"/>
      <c r="P169" s="1707"/>
      <c r="Q169" s="1707"/>
      <c r="R169" s="1707">
        <v>16000</v>
      </c>
      <c r="S169" s="922">
        <f>R169/R172</f>
        <v>5.7746206002082912E-2</v>
      </c>
      <c r="T169" s="1706">
        <f t="shared" si="39"/>
        <v>48000</v>
      </c>
      <c r="U169" s="1765"/>
      <c r="V169" s="21"/>
      <c r="W169" s="21"/>
      <c r="X169" s="21">
        <f>T169</f>
        <v>48000</v>
      </c>
      <c r="Y169" s="1766"/>
      <c r="Z169" s="1765"/>
      <c r="AA169" s="1768"/>
      <c r="AB169" s="1767"/>
      <c r="AC169" s="1769"/>
      <c r="AD169" s="1769"/>
      <c r="AE169" s="1769"/>
      <c r="AF169" s="1769"/>
      <c r="AG169" s="1770"/>
      <c r="AH169" s="1771"/>
    </row>
    <row r="170" spans="1:34" x14ac:dyDescent="0.3">
      <c r="A170" s="915" t="s">
        <v>1115</v>
      </c>
      <c r="B170" s="916" t="s">
        <v>529</v>
      </c>
      <c r="C170" s="916"/>
      <c r="D170" s="916"/>
      <c r="E170" s="916"/>
      <c r="F170" s="916"/>
      <c r="G170" s="916"/>
      <c r="H170" s="916"/>
      <c r="I170" s="916"/>
      <c r="J170" s="924"/>
      <c r="K170" s="924"/>
      <c r="L170" s="924"/>
      <c r="M170" s="924"/>
      <c r="N170" s="916"/>
      <c r="O170" s="1708"/>
      <c r="P170" s="1708"/>
      <c r="Q170" s="1708"/>
      <c r="R170" s="1709">
        <v>25500</v>
      </c>
      <c r="S170" s="1710">
        <f>R170/R172</f>
        <v>9.2033015815819644E-2</v>
      </c>
      <c r="T170" s="1706">
        <f t="shared" si="39"/>
        <v>76500</v>
      </c>
      <c r="U170" s="1767"/>
      <c r="V170" s="1769"/>
      <c r="W170" s="1769"/>
      <c r="X170" s="1769"/>
      <c r="Y170" s="1768">
        <f>T170</f>
        <v>76500</v>
      </c>
      <c r="Z170" s="1767"/>
      <c r="AA170" s="1768"/>
      <c r="AB170" s="1767"/>
      <c r="AC170" s="1769"/>
      <c r="AD170" s="1769"/>
      <c r="AE170" s="1769"/>
      <c r="AF170" s="1769"/>
      <c r="AG170" s="1770"/>
      <c r="AH170" s="1771"/>
    </row>
    <row r="171" spans="1:34" x14ac:dyDescent="0.3">
      <c r="A171" s="1812"/>
      <c r="B171" s="863"/>
      <c r="C171" s="863"/>
      <c r="D171" s="863"/>
      <c r="E171" s="863"/>
      <c r="F171" s="863"/>
      <c r="G171" s="863"/>
      <c r="H171" s="863"/>
      <c r="I171" s="863"/>
      <c r="J171" s="1917">
        <f>J172/$N$172</f>
        <v>0.60655737704918034</v>
      </c>
      <c r="K171" s="1917">
        <f t="shared" ref="K171:L171" si="40">K172/$N$172</f>
        <v>0.22950819672131148</v>
      </c>
      <c r="L171" s="1917">
        <f t="shared" si="40"/>
        <v>0.16393442622950818</v>
      </c>
      <c r="M171" s="863"/>
      <c r="N171" s="863"/>
      <c r="O171" s="1813"/>
      <c r="P171" s="1813"/>
      <c r="Q171" s="1813"/>
      <c r="R171" s="1814"/>
      <c r="S171" s="898"/>
      <c r="T171" s="1899"/>
      <c r="U171" s="1817"/>
      <c r="V171" s="1818"/>
      <c r="W171" s="1818"/>
      <c r="X171" s="1818"/>
      <c r="Y171" s="1814"/>
      <c r="Z171" s="1817"/>
      <c r="AA171" s="1814"/>
      <c r="AB171" s="1817"/>
      <c r="AC171" s="1818"/>
      <c r="AD171" s="1818"/>
      <c r="AE171" s="1818"/>
      <c r="AF171" s="1818"/>
      <c r="AG171" s="1819"/>
      <c r="AH171" s="1820"/>
    </row>
    <row r="172" spans="1:34" x14ac:dyDescent="0.3">
      <c r="A172" s="1900" t="s">
        <v>531</v>
      </c>
      <c r="B172" s="1901"/>
      <c r="C172" s="1901"/>
      <c r="D172" s="1901"/>
      <c r="E172" s="1901"/>
      <c r="F172" s="1901"/>
      <c r="G172" s="1901"/>
      <c r="H172" s="1901"/>
      <c r="I172" s="1901"/>
      <c r="J172" s="1902">
        <f>J167+J165+J163+J162+J160</f>
        <v>74</v>
      </c>
      <c r="K172" s="1902">
        <f>K166+K164+K161+K159</f>
        <v>28</v>
      </c>
      <c r="L172" s="1902">
        <f>L161+L159</f>
        <v>20</v>
      </c>
      <c r="M172" s="1902"/>
      <c r="N172" s="1902">
        <f>SUM(J172:M172)</f>
        <v>122</v>
      </c>
      <c r="O172" s="1903"/>
      <c r="P172" s="1903"/>
      <c r="Q172" s="1903"/>
      <c r="R172" s="1904">
        <f>SUM(R159:R170)</f>
        <v>277074.48</v>
      </c>
      <c r="S172" s="1905">
        <f>SUM(S158:S170)</f>
        <v>1</v>
      </c>
      <c r="T172" s="1906">
        <f>SUM(T156:T171)</f>
        <v>831223.44</v>
      </c>
      <c r="U172" s="1907">
        <f>SUM(U158:U171)</f>
        <v>145465.20000000001</v>
      </c>
      <c r="V172" s="1903">
        <f>SUM(V158:V171)</f>
        <v>414258.24</v>
      </c>
      <c r="W172" s="1903">
        <f>SUM(W158:W171)</f>
        <v>147000</v>
      </c>
      <c r="X172" s="1903">
        <f>SUM(X156:X171)</f>
        <v>48000</v>
      </c>
      <c r="Y172" s="1903">
        <f>SUM(Y156:Y171)</f>
        <v>76500</v>
      </c>
      <c r="Z172" s="1907">
        <f>SUM(Z158:Z168)</f>
        <v>287515.2</v>
      </c>
      <c r="AA172" s="1904">
        <f>SUM(AA158:AA168)</f>
        <v>419208.24</v>
      </c>
      <c r="AB172" s="1907">
        <f t="shared" ref="AB172:AG172" si="41">SUM(AB156:AB167)</f>
        <v>69108.240000000005</v>
      </c>
      <c r="AC172" s="1903">
        <f t="shared" si="41"/>
        <v>333900</v>
      </c>
      <c r="AD172" s="1903">
        <f t="shared" si="41"/>
        <v>90000</v>
      </c>
      <c r="AE172" s="1903">
        <f t="shared" si="41"/>
        <v>59065.200000000004</v>
      </c>
      <c r="AF172" s="1903">
        <f t="shared" si="41"/>
        <v>86400</v>
      </c>
      <c r="AG172" s="1903">
        <f t="shared" si="41"/>
        <v>68250</v>
      </c>
      <c r="AH172" s="1908">
        <f>SUM(AH156:AH170)</f>
        <v>0</v>
      </c>
    </row>
    <row r="173" spans="1:34" x14ac:dyDescent="0.3">
      <c r="A173" s="1900" t="s">
        <v>532</v>
      </c>
      <c r="B173" s="1901"/>
      <c r="C173" s="1901"/>
      <c r="D173" s="1901"/>
      <c r="E173" s="1901"/>
      <c r="F173" s="1901"/>
      <c r="G173" s="1901"/>
      <c r="H173" s="1901"/>
      <c r="I173" s="1901"/>
      <c r="J173" s="1902">
        <f>J167+J165+J163+J162+J160</f>
        <v>74</v>
      </c>
      <c r="K173" s="1902">
        <f>J167+K166+J165+K164+J163+J165+J162+K161+K159</f>
        <v>53</v>
      </c>
      <c r="L173" s="1902">
        <f>J167+K166+J165+L161+L159</f>
        <v>32</v>
      </c>
      <c r="M173" s="1902"/>
      <c r="N173" s="1902">
        <f>SUM(J173:M173)</f>
        <v>159</v>
      </c>
      <c r="O173" s="1903"/>
      <c r="P173" s="1903"/>
      <c r="Q173" s="1903"/>
      <c r="R173" s="1904"/>
      <c r="S173" s="1909"/>
      <c r="T173" s="1910"/>
      <c r="U173" s="1911">
        <f>U172/T172</f>
        <v>0.17500132094446233</v>
      </c>
      <c r="V173" s="1911">
        <f>V172/$T$106</f>
        <v>0.27645634237562389</v>
      </c>
      <c r="W173" s="1911">
        <f t="shared" ref="W173:Y173" si="42">W172/$T$106</f>
        <v>9.8100842433977195E-2</v>
      </c>
      <c r="X173" s="1911">
        <f t="shared" si="42"/>
        <v>3.2032928141706836E-2</v>
      </c>
      <c r="Y173" s="1911">
        <f t="shared" si="42"/>
        <v>5.1052479225845278E-2</v>
      </c>
      <c r="Z173" s="1911">
        <f>Z172/T172</f>
        <v>0.34589399933187642</v>
      </c>
      <c r="AA173" s="1911">
        <f>AA172/T172</f>
        <v>0.50432677885022104</v>
      </c>
      <c r="AB173" s="1910"/>
      <c r="AC173" s="1910"/>
      <c r="AD173" s="1910"/>
      <c r="AE173" s="1910"/>
      <c r="AF173" s="1910"/>
      <c r="AG173" s="1912"/>
      <c r="AH173" s="1913"/>
    </row>
    <row r="174" spans="1:34" x14ac:dyDescent="0.3">
      <c r="A174" s="1837" t="s">
        <v>533</v>
      </c>
      <c r="B174" s="1838"/>
      <c r="C174" s="1838"/>
      <c r="D174" s="1838"/>
      <c r="E174" s="1838"/>
      <c r="F174" s="1838"/>
      <c r="G174" s="1838"/>
      <c r="H174" s="1838"/>
      <c r="I174" s="1838"/>
      <c r="J174" s="2202">
        <f>J173/$N$173</f>
        <v>0.46540880503144655</v>
      </c>
      <c r="K174" s="2202">
        <f t="shared" ref="K174:M174" si="43">K173/$N$173</f>
        <v>0.33333333333333331</v>
      </c>
      <c r="L174" s="2202">
        <f t="shared" si="43"/>
        <v>0.20125786163522014</v>
      </c>
      <c r="M174" s="1838">
        <f t="shared" si="43"/>
        <v>0</v>
      </c>
      <c r="N174" s="1839"/>
      <c r="O174" s="1840"/>
      <c r="P174" s="1841"/>
      <c r="Q174" s="1841"/>
      <c r="R174" s="1842">
        <f>U172/3</f>
        <v>48488.4</v>
      </c>
      <c r="S174" s="1843">
        <f>R174/R179</f>
        <v>0.1750013209444623</v>
      </c>
      <c r="T174" s="1844"/>
      <c r="U174" s="1844"/>
      <c r="V174" s="1844"/>
      <c r="W174" s="1844"/>
      <c r="X174" s="1844"/>
      <c r="Y174" s="1845"/>
      <c r="Z174" s="1846">
        <f>L161+K161+J162+J163+J165+J167</f>
        <v>44</v>
      </c>
      <c r="AA174" s="1847">
        <f>K159+L159+J160+K164+K166</f>
        <v>78</v>
      </c>
      <c r="AB174" s="1844"/>
      <c r="AC174" s="1844"/>
      <c r="AD174" s="1844"/>
      <c r="AE174" s="1844"/>
      <c r="AF174" s="1844"/>
      <c r="AG174" s="1844"/>
      <c r="AH174" s="1844"/>
    </row>
    <row r="175" spans="1:34" x14ac:dyDescent="0.3">
      <c r="A175" s="1848" t="s">
        <v>11</v>
      </c>
      <c r="B175" s="924"/>
      <c r="C175" s="924"/>
      <c r="D175" s="1849"/>
      <c r="E175" s="1849"/>
      <c r="F175" s="924"/>
      <c r="G175" s="924"/>
      <c r="H175" s="924"/>
      <c r="I175" s="924"/>
      <c r="J175" s="924"/>
      <c r="K175" s="924"/>
      <c r="L175" s="924"/>
      <c r="M175" s="1850"/>
      <c r="N175" s="1850"/>
      <c r="O175" s="1851"/>
      <c r="P175" s="1852"/>
      <c r="Q175" s="1852"/>
      <c r="R175" s="1853">
        <f>V172/3</f>
        <v>138086.07999999999</v>
      </c>
      <c r="S175" s="1843">
        <f>R175/R179</f>
        <v>0.49837170135625625</v>
      </c>
      <c r="T175" s="1914">
        <f>R172/N172</f>
        <v>2271.102295081967</v>
      </c>
      <c r="U175" s="1915" t="s">
        <v>535</v>
      </c>
      <c r="V175" s="1844"/>
      <c r="W175" s="1844"/>
      <c r="X175" s="1844"/>
      <c r="Y175" s="1844"/>
      <c r="Z175" s="1856">
        <f>Z174/N172</f>
        <v>0.36065573770491804</v>
      </c>
      <c r="AA175" s="1857">
        <f>AA174/N172</f>
        <v>0.63934426229508201</v>
      </c>
      <c r="AB175" s="1844"/>
      <c r="AC175" s="1844"/>
      <c r="AD175" s="1844"/>
      <c r="AE175" s="1844"/>
      <c r="AF175" s="1844"/>
      <c r="AG175" s="1844"/>
      <c r="AH175" s="1844"/>
    </row>
    <row r="176" spans="1:34" x14ac:dyDescent="0.3">
      <c r="A176" s="1848" t="s">
        <v>536</v>
      </c>
      <c r="B176" s="924"/>
      <c r="C176" s="924"/>
      <c r="D176" s="1849"/>
      <c r="E176" s="1849"/>
      <c r="F176" s="1850"/>
      <c r="G176" s="924"/>
      <c r="H176" s="924"/>
      <c r="I176" s="924"/>
      <c r="J176" s="924"/>
      <c r="K176" s="924"/>
      <c r="L176" s="924"/>
      <c r="M176" s="924"/>
      <c r="N176" s="924"/>
      <c r="O176" s="1852"/>
      <c r="P176" s="1852"/>
      <c r="Q176" s="1852"/>
      <c r="R176" s="1853">
        <f>W172/3</f>
        <v>49000</v>
      </c>
      <c r="S176" s="1843">
        <f>R176/R179</f>
        <v>0.17684775588137891</v>
      </c>
      <c r="T176" s="1844"/>
      <c r="U176" s="1844"/>
      <c r="V176" s="1844"/>
      <c r="W176" s="1844"/>
      <c r="X176" s="1844"/>
      <c r="Y176" s="1844"/>
      <c r="Z176" s="2811" t="s">
        <v>537</v>
      </c>
      <c r="AA176" s="2811"/>
      <c r="AB176" s="1844"/>
      <c r="AC176" s="1844"/>
      <c r="AD176" s="1844"/>
      <c r="AE176" s="1844"/>
      <c r="AF176" s="1844"/>
      <c r="AG176" s="1844"/>
      <c r="AH176" s="1844"/>
    </row>
    <row r="177" spans="1:34" x14ac:dyDescent="0.3">
      <c r="A177" s="1848" t="s">
        <v>528</v>
      </c>
      <c r="B177" s="924"/>
      <c r="C177" s="924"/>
      <c r="D177" s="924"/>
      <c r="E177" s="924"/>
      <c r="F177" s="924"/>
      <c r="G177" s="924"/>
      <c r="H177" s="924"/>
      <c r="I177" s="924"/>
      <c r="J177" s="924"/>
      <c r="K177" s="924"/>
      <c r="L177" s="924"/>
      <c r="M177" s="924"/>
      <c r="N177" s="924"/>
      <c r="O177" s="1852"/>
      <c r="P177" s="1852"/>
      <c r="Q177" s="1852"/>
      <c r="R177" s="1853">
        <f>X172/3</f>
        <v>16000</v>
      </c>
      <c r="S177" s="1843">
        <f>R177/R179</f>
        <v>5.7746206002082912E-2</v>
      </c>
      <c r="T177" s="1844"/>
      <c r="U177" s="1844"/>
      <c r="V177" s="1844"/>
      <c r="W177" s="1844"/>
      <c r="X177" s="1844"/>
      <c r="Y177" s="1844"/>
      <c r="Z177" s="1844"/>
      <c r="AA177" s="1844"/>
      <c r="AB177" s="1844"/>
      <c r="AC177" s="1844"/>
      <c r="AD177" s="1844"/>
      <c r="AE177" s="1844"/>
      <c r="AF177" s="1844"/>
      <c r="AG177" s="1844"/>
      <c r="AH177" s="1844"/>
    </row>
    <row r="178" spans="1:34" x14ac:dyDescent="0.3">
      <c r="A178" s="1848" t="s">
        <v>529</v>
      </c>
      <c r="B178" s="924"/>
      <c r="C178" s="924"/>
      <c r="D178" s="924"/>
      <c r="E178" s="924"/>
      <c r="F178" s="924"/>
      <c r="G178" s="924"/>
      <c r="H178" s="924"/>
      <c r="I178" s="924"/>
      <c r="J178" s="924"/>
      <c r="K178" s="924"/>
      <c r="L178" s="924"/>
      <c r="M178" s="924"/>
      <c r="N178" s="924"/>
      <c r="O178" s="1852"/>
      <c r="P178" s="1852"/>
      <c r="Q178" s="1852"/>
      <c r="R178" s="1853">
        <f>Y172/3</f>
        <v>25500</v>
      </c>
      <c r="S178" s="1843">
        <f>R178/R179</f>
        <v>9.2033015815819644E-2</v>
      </c>
      <c r="T178" s="1858"/>
      <c r="U178" s="1858"/>
      <c r="V178" s="1858"/>
      <c r="W178" s="1858"/>
      <c r="X178" s="1858"/>
      <c r="Y178" s="1858"/>
      <c r="Z178" s="1858"/>
      <c r="AA178" s="1858"/>
      <c r="AB178" s="1858"/>
      <c r="AC178" s="1858"/>
      <c r="AD178" s="1858"/>
      <c r="AE178" s="1858"/>
      <c r="AF178" s="1858"/>
      <c r="AG178" s="1858"/>
      <c r="AH178" s="1858"/>
    </row>
    <row r="179" spans="1:34" x14ac:dyDescent="0.3">
      <c r="A179" s="1848"/>
      <c r="B179" s="924"/>
      <c r="C179" s="924"/>
      <c r="D179" s="924"/>
      <c r="E179" s="924"/>
      <c r="F179" s="924"/>
      <c r="G179" s="924"/>
      <c r="H179" s="924"/>
      <c r="I179" s="924"/>
      <c r="J179" s="924"/>
      <c r="K179" s="924"/>
      <c r="L179" s="924"/>
      <c r="M179" s="924"/>
      <c r="N179" s="924"/>
      <c r="O179" s="1852"/>
      <c r="P179" s="1852"/>
      <c r="Q179" s="1852"/>
      <c r="R179" s="1853">
        <f>SUM(R174:R178)</f>
        <v>277074.48</v>
      </c>
      <c r="S179" s="1859">
        <f>SUM(S174:S178)</f>
        <v>1</v>
      </c>
      <c r="T179" s="1858"/>
      <c r="U179" s="1858"/>
      <c r="V179" s="1858"/>
      <c r="W179" s="1858"/>
      <c r="X179" s="1858"/>
      <c r="Y179" s="1858"/>
      <c r="Z179" s="1858"/>
      <c r="AA179" s="1858"/>
      <c r="AB179" s="1858"/>
      <c r="AC179" s="1858"/>
      <c r="AD179" s="1858"/>
      <c r="AE179" s="1858"/>
      <c r="AF179" s="1858"/>
      <c r="AG179" s="1858"/>
      <c r="AH179" s="1858"/>
    </row>
    <row r="180" spans="1:34" x14ac:dyDescent="0.3">
      <c r="A180" s="1876"/>
      <c r="K180" s="13"/>
      <c r="O180" s="1742"/>
      <c r="P180" s="1742"/>
      <c r="Q180" s="1742"/>
      <c r="R180" s="1742"/>
      <c r="T180" s="1742"/>
      <c r="U180" s="1742"/>
      <c r="V180" s="1742"/>
      <c r="W180" s="1742"/>
      <c r="X180" s="1742"/>
      <c r="Y180" s="1742"/>
      <c r="Z180" s="1742"/>
      <c r="AA180" s="1742"/>
      <c r="AB180" s="1742"/>
      <c r="AC180" s="1742"/>
      <c r="AD180" s="1742"/>
      <c r="AE180" s="1742"/>
      <c r="AF180" s="1742"/>
      <c r="AG180" s="1742"/>
      <c r="AH180" s="1742"/>
    </row>
    <row r="181" spans="1:34" ht="15.6" x14ac:dyDescent="0.3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742"/>
      <c r="P181" s="1742"/>
      <c r="Q181" s="1742"/>
      <c r="R181" s="1742"/>
      <c r="S181" s="11"/>
      <c r="T181" s="1742"/>
      <c r="U181" s="1742"/>
      <c r="V181" s="1742"/>
      <c r="W181" s="1742"/>
      <c r="X181" s="1742"/>
      <c r="Y181" s="1742"/>
      <c r="Z181" s="1742"/>
      <c r="AA181" s="1742">
        <f>SUM(AB182:AH182)</f>
        <v>3551984.0989999999</v>
      </c>
      <c r="AB181" s="1695" t="s">
        <v>1</v>
      </c>
      <c r="AC181" s="1697" t="s">
        <v>5</v>
      </c>
      <c r="AD181" s="1697" t="s">
        <v>156</v>
      </c>
      <c r="AE181" s="1697" t="s">
        <v>8</v>
      </c>
      <c r="AF181" s="1697" t="s">
        <v>9</v>
      </c>
      <c r="AG181" s="1697" t="s">
        <v>10</v>
      </c>
      <c r="AH181" s="1696" t="s">
        <v>140</v>
      </c>
    </row>
    <row r="182" spans="1:34" x14ac:dyDescent="0.3">
      <c r="A182" s="1568" t="s">
        <v>878</v>
      </c>
      <c r="B182" s="1641"/>
      <c r="C182" s="1641"/>
      <c r="D182" s="1641"/>
      <c r="E182" s="1641"/>
      <c r="F182" s="1642"/>
      <c r="G182" s="1641"/>
      <c r="H182" s="1641"/>
      <c r="I182" s="1643"/>
      <c r="J182" s="1643"/>
      <c r="K182" s="1643"/>
      <c r="L182" s="1643"/>
      <c r="M182" s="1641"/>
      <c r="N182" s="1035"/>
      <c r="O182" s="1644"/>
      <c r="P182" s="1035"/>
      <c r="Q182" s="1645"/>
      <c r="R182" s="1646"/>
      <c r="S182" s="1647"/>
      <c r="T182" s="1916">
        <f>T172+T140+T106+T72+T40</f>
        <v>4159484.0990000004</v>
      </c>
      <c r="AA182" t="s">
        <v>601</v>
      </c>
      <c r="AB182" s="1655">
        <f>AB172+AB140+AB106+AB72+AB40</f>
        <v>352452.02399999998</v>
      </c>
      <c r="AC182" s="1655">
        <f t="shared" ref="AC182:AH182" si="44">AC172+AC140+AC106+AC72+AC40</f>
        <v>1119300</v>
      </c>
      <c r="AD182" s="1655">
        <f t="shared" si="44"/>
        <v>474000</v>
      </c>
      <c r="AE182" s="1655">
        <f t="shared" si="44"/>
        <v>776287.42500000005</v>
      </c>
      <c r="AF182" s="1655">
        <f t="shared" si="44"/>
        <v>608944.65</v>
      </c>
      <c r="AG182" s="1655">
        <f t="shared" si="44"/>
        <v>169000</v>
      </c>
      <c r="AH182" s="1655">
        <f t="shared" si="44"/>
        <v>52000</v>
      </c>
    </row>
    <row r="183" spans="1:34" x14ac:dyDescent="0.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742"/>
      <c r="P183" s="1742"/>
      <c r="Q183" s="1742"/>
      <c r="R183" s="1742"/>
      <c r="S183" s="11" t="s">
        <v>571</v>
      </c>
      <c r="T183" s="1742">
        <f>D15-T182</f>
        <v>-2855.5365000003949</v>
      </c>
      <c r="U183" s="1742"/>
      <c r="V183" s="1742"/>
      <c r="W183" s="1742"/>
      <c r="X183" s="1742"/>
      <c r="Y183" s="1742"/>
      <c r="Z183" s="1742"/>
      <c r="AA183" s="1742"/>
      <c r="AB183" s="1742"/>
      <c r="AC183" s="1742"/>
      <c r="AD183" s="1742"/>
      <c r="AE183" s="1742"/>
      <c r="AF183" s="1742"/>
      <c r="AG183" s="1743"/>
      <c r="AH183" s="1743"/>
    </row>
    <row r="184" spans="1:34" x14ac:dyDescent="0.3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742"/>
      <c r="P184" s="1742"/>
      <c r="Q184" s="1742"/>
      <c r="R184" s="1742"/>
      <c r="S184" s="11"/>
      <c r="T184" s="1742"/>
      <c r="U184" s="1742"/>
      <c r="V184" s="1742"/>
      <c r="W184" s="1742"/>
      <c r="X184" s="1742"/>
      <c r="Y184" s="1742"/>
      <c r="Z184" s="1742"/>
      <c r="AA184" s="1742"/>
      <c r="AB184" s="1742"/>
      <c r="AC184" s="1742"/>
      <c r="AD184" s="1742"/>
      <c r="AE184" s="1742"/>
      <c r="AF184" s="1742"/>
      <c r="AG184" s="1743"/>
      <c r="AH184" s="1743"/>
    </row>
    <row r="185" spans="1:34" x14ac:dyDescent="0.3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742"/>
      <c r="P185" s="1742"/>
      <c r="Q185" s="1742"/>
      <c r="R185" s="1742"/>
      <c r="S185" s="11"/>
      <c r="T185" s="1742"/>
      <c r="U185" s="1742"/>
      <c r="V185" s="1742"/>
      <c r="W185" s="1742"/>
      <c r="X185" s="1742"/>
      <c r="Y185" s="1742"/>
      <c r="Z185" s="1742"/>
      <c r="AA185" s="1742"/>
      <c r="AB185" s="1742"/>
      <c r="AC185" s="1742"/>
      <c r="AD185" s="1742"/>
      <c r="AE185" s="1742"/>
      <c r="AF185" s="1742"/>
      <c r="AG185" s="1743"/>
      <c r="AH185" s="1743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F76"/>
  <sheetViews>
    <sheetView topLeftCell="A29" workbookViewId="0">
      <selection activeCell="H42" sqref="H42:H50"/>
    </sheetView>
  </sheetViews>
  <sheetFormatPr defaultRowHeight="14.4" x14ac:dyDescent="0.3"/>
  <sheetData>
    <row r="1" spans="1:32" x14ac:dyDescent="0.3">
      <c r="A1" s="17" t="s">
        <v>309</v>
      </c>
      <c r="B1" s="17" t="s">
        <v>334</v>
      </c>
      <c r="C1" s="17" t="s">
        <v>310</v>
      </c>
      <c r="D1" s="17" t="s">
        <v>311</v>
      </c>
      <c r="E1" s="17" t="s">
        <v>312</v>
      </c>
      <c r="F1" s="17" t="s">
        <v>313</v>
      </c>
      <c r="G1" s="2185" t="s">
        <v>1167</v>
      </c>
      <c r="H1" s="2185" t="s">
        <v>1169</v>
      </c>
      <c r="I1" s="17" t="s">
        <v>314</v>
      </c>
      <c r="J1" s="17" t="s">
        <v>315</v>
      </c>
      <c r="K1" s="17" t="s">
        <v>335</v>
      </c>
      <c r="L1" s="17" t="s">
        <v>336</v>
      </c>
      <c r="M1" s="17" t="s">
        <v>316</v>
      </c>
      <c r="N1" s="17" t="s">
        <v>317</v>
      </c>
      <c r="O1" s="17" t="s">
        <v>318</v>
      </c>
      <c r="P1" s="17" t="s">
        <v>319</v>
      </c>
      <c r="Q1" s="17" t="s">
        <v>320</v>
      </c>
      <c r="R1" s="17" t="s">
        <v>321</v>
      </c>
      <c r="S1" s="17" t="s">
        <v>341</v>
      </c>
      <c r="T1" s="27" t="s">
        <v>337</v>
      </c>
      <c r="U1" s="17" t="s">
        <v>322</v>
      </c>
      <c r="V1" s="27" t="s">
        <v>338</v>
      </c>
      <c r="W1" s="27" t="s">
        <v>339</v>
      </c>
      <c r="X1" s="23"/>
      <c r="Y1" s="23"/>
      <c r="AB1" s="17"/>
      <c r="AD1" s="17"/>
    </row>
    <row r="2" spans="1:32" x14ac:dyDescent="0.3">
      <c r="A2" t="s">
        <v>327</v>
      </c>
      <c r="B2" t="s">
        <v>360</v>
      </c>
      <c r="C2" t="s">
        <v>373</v>
      </c>
      <c r="D2" t="s">
        <v>374</v>
      </c>
      <c r="E2" s="32" t="s">
        <v>20</v>
      </c>
      <c r="F2" s="32" t="s">
        <v>257</v>
      </c>
      <c r="G2" s="2191">
        <v>6</v>
      </c>
      <c r="H2" s="2186">
        <f>VLOOKUP(G2,Pesos!A:B,2,0)</f>
        <v>0.4</v>
      </c>
      <c r="I2" s="1"/>
      <c r="J2" s="1" t="s">
        <v>305</v>
      </c>
      <c r="K2" s="32">
        <v>10</v>
      </c>
      <c r="L2" s="1">
        <v>25</v>
      </c>
      <c r="M2" s="33">
        <v>15</v>
      </c>
      <c r="N2" s="34" t="s">
        <v>22</v>
      </c>
      <c r="O2" s="1"/>
      <c r="P2" s="1">
        <v>15</v>
      </c>
      <c r="Q2" s="1"/>
      <c r="R2" s="1">
        <v>15</v>
      </c>
      <c r="S2" s="1">
        <v>2</v>
      </c>
      <c r="T2" s="35">
        <v>2851</v>
      </c>
      <c r="U2" s="36">
        <v>0.59599999999999997</v>
      </c>
      <c r="V2" s="25">
        <f>T2*(1-U2)</f>
        <v>1151.8040000000001</v>
      </c>
      <c r="W2" s="25">
        <f>V2*S2*M2</f>
        <v>34554.120000000003</v>
      </c>
      <c r="X2" s="18"/>
      <c r="Y2" s="16"/>
      <c r="Z2" s="1"/>
      <c r="AB2" s="17"/>
      <c r="AC2" s="17"/>
      <c r="AD2" s="17"/>
      <c r="AE2" s="17"/>
      <c r="AF2" s="17"/>
    </row>
    <row r="3" spans="1:32" x14ac:dyDescent="0.3">
      <c r="A3" t="s">
        <v>327</v>
      </c>
      <c r="B3" t="s">
        <v>360</v>
      </c>
      <c r="C3" t="s">
        <v>373</v>
      </c>
      <c r="D3" t="s">
        <v>374</v>
      </c>
      <c r="E3" s="13" t="s">
        <v>108</v>
      </c>
      <c r="F3" s="13" t="s">
        <v>258</v>
      </c>
      <c r="G3" s="2192">
        <v>5</v>
      </c>
      <c r="H3" s="2186">
        <f>VLOOKUP(G3,Pesos!A:B,2,0)</f>
        <v>0.5</v>
      </c>
      <c r="J3" s="1" t="s">
        <v>305</v>
      </c>
      <c r="K3" s="13">
        <v>50</v>
      </c>
      <c r="L3" s="1">
        <v>50</v>
      </c>
      <c r="M3" s="13">
        <v>1</v>
      </c>
      <c r="N3" s="13" t="s">
        <v>22</v>
      </c>
      <c r="O3" s="1">
        <v>50</v>
      </c>
      <c r="S3" s="1">
        <v>1</v>
      </c>
      <c r="T3" s="35">
        <v>113400</v>
      </c>
      <c r="U3" s="37">
        <v>0.25</v>
      </c>
      <c r="V3" s="25">
        <f t="shared" ref="V3:V8" si="0">T3*(1-U3)</f>
        <v>85050</v>
      </c>
      <c r="W3" s="25">
        <f t="shared" ref="W3:W17" si="1">V3*S3*M3</f>
        <v>85050</v>
      </c>
      <c r="X3" s="6"/>
      <c r="Y3" s="22"/>
      <c r="Z3" s="1"/>
    </row>
    <row r="4" spans="1:32" x14ac:dyDescent="0.3">
      <c r="A4" t="s">
        <v>327</v>
      </c>
      <c r="B4" t="s">
        <v>360</v>
      </c>
      <c r="C4" t="s">
        <v>373</v>
      </c>
      <c r="D4" t="s">
        <v>374</v>
      </c>
      <c r="E4" s="13" t="s">
        <v>158</v>
      </c>
      <c r="F4" s="13" t="s">
        <v>259</v>
      </c>
      <c r="G4" s="2192">
        <v>4</v>
      </c>
      <c r="H4" s="2186">
        <f>VLOOKUP(G4,Pesos!A:B,2,0)</f>
        <v>0.6</v>
      </c>
      <c r="I4" s="1" t="s">
        <v>305</v>
      </c>
      <c r="K4" s="13">
        <v>15</v>
      </c>
      <c r="L4" s="1">
        <v>30</v>
      </c>
      <c r="M4" s="13">
        <v>20</v>
      </c>
      <c r="N4" s="13" t="s">
        <v>22</v>
      </c>
      <c r="Q4" s="1">
        <v>20</v>
      </c>
      <c r="R4" s="1">
        <v>20</v>
      </c>
      <c r="S4" s="1">
        <v>2</v>
      </c>
      <c r="T4" s="35">
        <v>2000</v>
      </c>
      <c r="U4" s="37">
        <v>0.25</v>
      </c>
      <c r="V4" s="25">
        <f t="shared" si="0"/>
        <v>1500</v>
      </c>
      <c r="W4" s="25">
        <f t="shared" si="1"/>
        <v>60000</v>
      </c>
      <c r="X4" s="6"/>
      <c r="Y4" s="22"/>
      <c r="Z4" s="1"/>
    </row>
    <row r="5" spans="1:32" x14ac:dyDescent="0.3">
      <c r="A5" t="s">
        <v>327</v>
      </c>
      <c r="B5" t="s">
        <v>360</v>
      </c>
      <c r="C5" t="s">
        <v>373</v>
      </c>
      <c r="D5" t="s">
        <v>374</v>
      </c>
      <c r="E5" s="13" t="s">
        <v>250</v>
      </c>
      <c r="F5" s="13" t="s">
        <v>27</v>
      </c>
      <c r="G5" s="2192">
        <v>1</v>
      </c>
      <c r="H5" s="2186">
        <f>VLOOKUP(G5,Pesos!A:B,2,0)</f>
        <v>0.9</v>
      </c>
      <c r="I5" s="1" t="s">
        <v>305</v>
      </c>
      <c r="K5" s="13">
        <v>20</v>
      </c>
      <c r="L5" s="2" t="s">
        <v>152</v>
      </c>
      <c r="M5" s="13">
        <v>20</v>
      </c>
      <c r="N5" s="13" t="s">
        <v>106</v>
      </c>
      <c r="O5" s="1">
        <v>20</v>
      </c>
      <c r="S5" s="1">
        <v>1</v>
      </c>
      <c r="T5" s="35">
        <f>3959*(1+50%)</f>
        <v>5938.5</v>
      </c>
      <c r="U5" s="37">
        <v>0.25</v>
      </c>
      <c r="V5" s="25">
        <f t="shared" si="0"/>
        <v>4453.875</v>
      </c>
      <c r="W5" s="25">
        <f t="shared" si="1"/>
        <v>89077.5</v>
      </c>
      <c r="X5" s="18"/>
      <c r="Y5" s="22"/>
      <c r="Z5" s="1"/>
    </row>
    <row r="6" spans="1:32" x14ac:dyDescent="0.3">
      <c r="A6" t="s">
        <v>327</v>
      </c>
      <c r="B6" t="s">
        <v>360</v>
      </c>
      <c r="C6" t="s">
        <v>373</v>
      </c>
      <c r="D6" t="s">
        <v>374</v>
      </c>
      <c r="E6" s="13" t="s">
        <v>250</v>
      </c>
      <c r="F6" s="13" t="s">
        <v>260</v>
      </c>
      <c r="G6" s="2192">
        <v>3</v>
      </c>
      <c r="H6" s="2186">
        <f>VLOOKUP(G6,Pesos!A:B,2,0)</f>
        <v>0.7</v>
      </c>
      <c r="I6" s="1" t="s">
        <v>305</v>
      </c>
      <c r="K6" s="13">
        <v>4</v>
      </c>
      <c r="L6" s="2" t="s">
        <v>203</v>
      </c>
      <c r="M6" s="13">
        <v>6</v>
      </c>
      <c r="N6" s="13" t="s">
        <v>24</v>
      </c>
      <c r="O6" s="1">
        <v>6</v>
      </c>
      <c r="S6" s="1">
        <v>1</v>
      </c>
      <c r="T6" s="21">
        <v>12000</v>
      </c>
      <c r="U6" s="38">
        <v>0.25</v>
      </c>
      <c r="V6" s="25">
        <f t="shared" si="0"/>
        <v>9000</v>
      </c>
      <c r="W6" s="25">
        <f t="shared" si="1"/>
        <v>54000</v>
      </c>
      <c r="X6" s="6"/>
      <c r="Y6" s="22"/>
      <c r="Z6" s="1"/>
    </row>
    <row r="7" spans="1:32" x14ac:dyDescent="0.3">
      <c r="A7" t="s">
        <v>327</v>
      </c>
      <c r="B7" t="s">
        <v>360</v>
      </c>
      <c r="C7" t="s">
        <v>373</v>
      </c>
      <c r="D7" t="s">
        <v>374</v>
      </c>
      <c r="E7" s="13" t="s">
        <v>215</v>
      </c>
      <c r="F7" s="13" t="s">
        <v>261</v>
      </c>
      <c r="G7" s="2192">
        <v>2</v>
      </c>
      <c r="H7" s="2186">
        <f>VLOOKUP(G7,Pesos!A:B,2,0)</f>
        <v>0.8</v>
      </c>
      <c r="J7" s="1" t="s">
        <v>305</v>
      </c>
      <c r="K7" s="13">
        <v>5</v>
      </c>
      <c r="L7" s="2" t="s">
        <v>331</v>
      </c>
      <c r="M7" s="13">
        <v>4</v>
      </c>
      <c r="N7" s="13" t="s">
        <v>22</v>
      </c>
      <c r="Q7" s="1">
        <v>4</v>
      </c>
      <c r="S7" s="1">
        <v>1</v>
      </c>
      <c r="T7" s="21">
        <v>7200</v>
      </c>
      <c r="U7" s="38">
        <v>0.25</v>
      </c>
      <c r="V7" s="25">
        <f t="shared" si="0"/>
        <v>5400</v>
      </c>
      <c r="W7" s="25">
        <f t="shared" si="1"/>
        <v>21600</v>
      </c>
      <c r="X7" s="6"/>
      <c r="Y7" s="22"/>
      <c r="Z7" s="1"/>
    </row>
    <row r="8" spans="1:32" x14ac:dyDescent="0.3">
      <c r="A8" t="s">
        <v>327</v>
      </c>
      <c r="B8" t="s">
        <v>360</v>
      </c>
      <c r="C8" t="s">
        <v>373</v>
      </c>
      <c r="D8" t="s">
        <v>374</v>
      </c>
      <c r="E8" s="13" t="s">
        <v>215</v>
      </c>
      <c r="F8" s="13" t="s">
        <v>29</v>
      </c>
      <c r="G8" s="2192">
        <v>3</v>
      </c>
      <c r="H8" s="2186">
        <f>VLOOKUP(G8,Pesos!A:B,2,0)</f>
        <v>0.7</v>
      </c>
      <c r="I8" s="1" t="s">
        <v>305</v>
      </c>
      <c r="K8" s="13">
        <v>3</v>
      </c>
      <c r="L8" s="2" t="s">
        <v>354</v>
      </c>
      <c r="M8" s="13">
        <v>3</v>
      </c>
      <c r="N8" s="13" t="s">
        <v>24</v>
      </c>
      <c r="O8" s="1">
        <v>3</v>
      </c>
      <c r="S8" s="1">
        <v>1</v>
      </c>
      <c r="T8" s="21">
        <v>35000</v>
      </c>
      <c r="U8" s="38">
        <v>0.35</v>
      </c>
      <c r="V8" s="25">
        <f t="shared" si="0"/>
        <v>22750</v>
      </c>
      <c r="W8" s="25">
        <f t="shared" si="1"/>
        <v>68250</v>
      </c>
      <c r="X8" s="6"/>
      <c r="Y8" s="22"/>
      <c r="Z8" s="1"/>
    </row>
    <row r="9" spans="1:32" x14ac:dyDescent="0.3">
      <c r="G9" s="2186"/>
      <c r="H9" s="2186"/>
      <c r="L9" s="2"/>
      <c r="M9" s="1"/>
      <c r="T9" s="9"/>
      <c r="U9" s="31"/>
      <c r="V9" s="26"/>
      <c r="X9" s="6"/>
      <c r="Y9" s="22"/>
      <c r="Z9" s="1"/>
    </row>
    <row r="10" spans="1:32" x14ac:dyDescent="0.3">
      <c r="A10" t="s">
        <v>340</v>
      </c>
      <c r="B10" t="s">
        <v>360</v>
      </c>
      <c r="C10" t="s">
        <v>373</v>
      </c>
      <c r="D10" t="s">
        <v>374</v>
      </c>
      <c r="E10" s="32" t="s">
        <v>20</v>
      </c>
      <c r="F10" s="32" t="s">
        <v>257</v>
      </c>
      <c r="G10" s="2191">
        <v>11</v>
      </c>
      <c r="H10" s="2186">
        <f>VLOOKUP(G10,Pesos!A:B,2,0)</f>
        <v>0.03</v>
      </c>
      <c r="J10" s="1" t="s">
        <v>305</v>
      </c>
      <c r="K10" s="32">
        <v>10</v>
      </c>
      <c r="L10" s="2" t="s">
        <v>83</v>
      </c>
      <c r="M10" s="39" t="s">
        <v>51</v>
      </c>
      <c r="N10" s="34" t="s">
        <v>22</v>
      </c>
      <c r="P10" s="1">
        <v>20</v>
      </c>
      <c r="R10" s="1">
        <v>20</v>
      </c>
      <c r="S10" s="1">
        <v>2</v>
      </c>
      <c r="T10" s="35">
        <v>2851</v>
      </c>
      <c r="U10" s="40">
        <v>0.59599999999999997</v>
      </c>
      <c r="V10" s="25">
        <f t="shared" ref="V10:V15" si="2">T10*(1-U10)</f>
        <v>1151.8040000000001</v>
      </c>
      <c r="W10" s="25">
        <f t="shared" si="1"/>
        <v>46072.160000000003</v>
      </c>
      <c r="X10" s="6"/>
      <c r="Y10" s="22"/>
      <c r="Z10" s="1"/>
    </row>
    <row r="11" spans="1:32" x14ac:dyDescent="0.3">
      <c r="A11" t="s">
        <v>340</v>
      </c>
      <c r="B11" t="s">
        <v>360</v>
      </c>
      <c r="C11" t="s">
        <v>373</v>
      </c>
      <c r="D11" t="s">
        <v>374</v>
      </c>
      <c r="E11" s="13" t="s">
        <v>108</v>
      </c>
      <c r="F11" s="13" t="s">
        <v>258</v>
      </c>
      <c r="G11" s="2192">
        <v>8</v>
      </c>
      <c r="H11" s="2186">
        <f>VLOOKUP(G11,Pesos!A:B,2,0)</f>
        <v>0.2</v>
      </c>
      <c r="J11" s="1" t="s">
        <v>305</v>
      </c>
      <c r="K11" s="13">
        <v>50</v>
      </c>
      <c r="L11" s="2" t="s">
        <v>151</v>
      </c>
      <c r="M11" s="39" t="s">
        <v>151</v>
      </c>
      <c r="N11" s="13" t="s">
        <v>22</v>
      </c>
      <c r="O11" s="1">
        <v>50</v>
      </c>
      <c r="S11" s="1">
        <v>1</v>
      </c>
      <c r="T11" s="35">
        <v>113400</v>
      </c>
      <c r="U11" s="41">
        <v>0.25</v>
      </c>
      <c r="V11" s="26">
        <f t="shared" si="2"/>
        <v>85050</v>
      </c>
      <c r="W11" s="25">
        <f t="shared" si="1"/>
        <v>4252500</v>
      </c>
      <c r="X11" s="6"/>
      <c r="Y11" s="22"/>
      <c r="Z11" s="1"/>
    </row>
    <row r="12" spans="1:32" x14ac:dyDescent="0.3">
      <c r="A12" t="s">
        <v>340</v>
      </c>
      <c r="B12" t="s">
        <v>360</v>
      </c>
      <c r="C12" t="s">
        <v>373</v>
      </c>
      <c r="D12" t="s">
        <v>374</v>
      </c>
      <c r="E12" s="13" t="s">
        <v>158</v>
      </c>
      <c r="F12" s="13" t="s">
        <v>259</v>
      </c>
      <c r="G12" s="2192">
        <v>7</v>
      </c>
      <c r="H12" s="2186">
        <f>VLOOKUP(G12,Pesos!A:B,2,0)</f>
        <v>0.3</v>
      </c>
      <c r="I12" s="1" t="s">
        <v>305</v>
      </c>
      <c r="K12" s="13">
        <v>15</v>
      </c>
      <c r="L12" s="2" t="s">
        <v>185</v>
      </c>
      <c r="M12" s="39" t="s">
        <v>256</v>
      </c>
      <c r="N12" s="13" t="s">
        <v>22</v>
      </c>
      <c r="Q12" s="1">
        <v>15</v>
      </c>
      <c r="R12" s="1">
        <v>15</v>
      </c>
      <c r="S12" s="1">
        <v>2</v>
      </c>
      <c r="T12" s="35">
        <v>2000</v>
      </c>
      <c r="U12" s="41">
        <v>0.25</v>
      </c>
      <c r="V12" s="26">
        <f t="shared" si="2"/>
        <v>1500</v>
      </c>
      <c r="W12" s="25">
        <f t="shared" si="1"/>
        <v>45000</v>
      </c>
      <c r="X12" s="6"/>
      <c r="Y12" s="22"/>
      <c r="Z12" s="1"/>
    </row>
    <row r="13" spans="1:32" x14ac:dyDescent="0.3">
      <c r="A13" t="s">
        <v>340</v>
      </c>
      <c r="B13" t="s">
        <v>360</v>
      </c>
      <c r="C13" t="s">
        <v>373</v>
      </c>
      <c r="D13" t="s">
        <v>374</v>
      </c>
      <c r="E13" s="13" t="s">
        <v>215</v>
      </c>
      <c r="F13" s="13" t="s">
        <v>89</v>
      </c>
      <c r="G13" s="2192">
        <v>3</v>
      </c>
      <c r="H13" s="2186">
        <f>VLOOKUP(G13,Pesos!A:B,2,0)</f>
        <v>0.7</v>
      </c>
      <c r="I13" s="1" t="s">
        <v>305</v>
      </c>
      <c r="K13" s="13">
        <v>20</v>
      </c>
      <c r="L13" s="2" t="s">
        <v>152</v>
      </c>
      <c r="M13" s="39" t="s">
        <v>59</v>
      </c>
      <c r="N13" s="13" t="s">
        <v>106</v>
      </c>
      <c r="O13" s="1">
        <v>17</v>
      </c>
      <c r="S13" s="1">
        <v>1</v>
      </c>
      <c r="T13" s="35">
        <f>1650*(1+50%)</f>
        <v>2475</v>
      </c>
      <c r="U13" s="41">
        <v>0.25</v>
      </c>
      <c r="V13" s="26">
        <f t="shared" ref="V13" si="3">T13*(1-U13)</f>
        <v>1856.25</v>
      </c>
      <c r="W13" s="25">
        <f t="shared" ref="W13" si="4">V13*S13*M13</f>
        <v>31556.25</v>
      </c>
      <c r="X13" s="6"/>
      <c r="Y13" s="22"/>
      <c r="Z13" s="1"/>
    </row>
    <row r="14" spans="1:32" x14ac:dyDescent="0.3">
      <c r="A14" t="s">
        <v>340</v>
      </c>
      <c r="B14" t="s">
        <v>360</v>
      </c>
      <c r="C14" t="s">
        <v>373</v>
      </c>
      <c r="D14" t="s">
        <v>374</v>
      </c>
      <c r="E14" s="13" t="s">
        <v>250</v>
      </c>
      <c r="F14" s="13" t="s">
        <v>27</v>
      </c>
      <c r="G14" s="2192">
        <v>2</v>
      </c>
      <c r="H14" s="2186">
        <f>VLOOKUP(G14,Pesos!A:B,2,0)</f>
        <v>0.8</v>
      </c>
      <c r="I14" s="1" t="s">
        <v>305</v>
      </c>
      <c r="K14" s="13">
        <v>20</v>
      </c>
      <c r="L14" s="2" t="s">
        <v>152</v>
      </c>
      <c r="M14" s="39" t="s">
        <v>229</v>
      </c>
      <c r="N14" s="13" t="s">
        <v>106</v>
      </c>
      <c r="O14" s="1">
        <v>5</v>
      </c>
      <c r="S14" s="1">
        <v>1</v>
      </c>
      <c r="T14" s="35">
        <f>3969*(1+50%)</f>
        <v>5953.5</v>
      </c>
      <c r="U14" s="41">
        <v>0.25</v>
      </c>
      <c r="V14" s="26">
        <f t="shared" si="2"/>
        <v>4465.125</v>
      </c>
      <c r="W14" s="25">
        <f t="shared" si="1"/>
        <v>22325.625</v>
      </c>
      <c r="X14" s="6"/>
      <c r="Y14" s="22"/>
      <c r="Z14" s="1"/>
    </row>
    <row r="15" spans="1:32" x14ac:dyDescent="0.3">
      <c r="A15" t="s">
        <v>340</v>
      </c>
      <c r="B15" t="s">
        <v>360</v>
      </c>
      <c r="C15" t="s">
        <v>373</v>
      </c>
      <c r="D15" t="s">
        <v>374</v>
      </c>
      <c r="E15" s="13" t="s">
        <v>108</v>
      </c>
      <c r="F15" s="13" t="s">
        <v>262</v>
      </c>
      <c r="G15" s="2192">
        <v>4</v>
      </c>
      <c r="H15" s="2186">
        <f>VLOOKUP(G15,Pesos!A:B,2,0)</f>
        <v>0.6</v>
      </c>
      <c r="J15" s="1" t="s">
        <v>305</v>
      </c>
      <c r="K15" s="13">
        <v>7</v>
      </c>
      <c r="L15" s="2" t="s">
        <v>263</v>
      </c>
      <c r="M15" s="39" t="s">
        <v>263</v>
      </c>
      <c r="N15" s="13" t="s">
        <v>22</v>
      </c>
      <c r="P15" s="1">
        <v>7</v>
      </c>
      <c r="R15" s="1">
        <v>7</v>
      </c>
      <c r="S15" s="1">
        <v>2</v>
      </c>
      <c r="T15" s="21">
        <v>35000</v>
      </c>
      <c r="U15" s="42">
        <v>0.25</v>
      </c>
      <c r="V15" s="26">
        <f t="shared" si="2"/>
        <v>26250</v>
      </c>
      <c r="W15" s="25">
        <f t="shared" si="1"/>
        <v>367500</v>
      </c>
      <c r="X15" s="6"/>
    </row>
    <row r="16" spans="1:32" x14ac:dyDescent="0.3">
      <c r="A16" t="s">
        <v>340</v>
      </c>
      <c r="B16" t="s">
        <v>360</v>
      </c>
      <c r="C16" t="s">
        <v>373</v>
      </c>
      <c r="D16" t="s">
        <v>374</v>
      </c>
      <c r="E16" s="13" t="s">
        <v>215</v>
      </c>
      <c r="F16" s="13" t="s">
        <v>260</v>
      </c>
      <c r="G16" s="2192">
        <v>9</v>
      </c>
      <c r="H16" s="2186">
        <f>VLOOKUP(G16,Pesos!A:B,2,0)</f>
        <v>0.1</v>
      </c>
      <c r="I16" s="1" t="s">
        <v>305</v>
      </c>
      <c r="K16" s="13">
        <v>4</v>
      </c>
      <c r="L16" s="2" t="s">
        <v>203</v>
      </c>
      <c r="M16" s="39" t="s">
        <v>333</v>
      </c>
      <c r="N16" s="13" t="s">
        <v>24</v>
      </c>
      <c r="O16" s="1">
        <v>3</v>
      </c>
      <c r="S16" s="1">
        <v>1</v>
      </c>
      <c r="T16" s="21">
        <v>12000</v>
      </c>
      <c r="U16" s="42">
        <v>0.25</v>
      </c>
      <c r="V16" s="26">
        <f>T16*(1-U16)</f>
        <v>9000</v>
      </c>
      <c r="W16" s="25">
        <f t="shared" si="1"/>
        <v>27000</v>
      </c>
      <c r="X16" s="6"/>
    </row>
    <row r="17" spans="1:24" x14ac:dyDescent="0.3">
      <c r="A17" t="s">
        <v>340</v>
      </c>
      <c r="B17" t="s">
        <v>360</v>
      </c>
      <c r="C17" t="s">
        <v>373</v>
      </c>
      <c r="D17" t="s">
        <v>374</v>
      </c>
      <c r="E17" s="13" t="s">
        <v>250</v>
      </c>
      <c r="F17" s="13" t="s">
        <v>261</v>
      </c>
      <c r="G17" s="2192">
        <v>1</v>
      </c>
      <c r="H17" s="2186">
        <f>VLOOKUP(G17,Pesos!A:B,2,0)</f>
        <v>0.9</v>
      </c>
      <c r="J17" s="1" t="s">
        <v>305</v>
      </c>
      <c r="K17" s="13">
        <v>5</v>
      </c>
      <c r="L17" s="1">
        <v>12</v>
      </c>
      <c r="M17" s="39" t="s">
        <v>333</v>
      </c>
      <c r="N17" s="13" t="s">
        <v>22</v>
      </c>
      <c r="P17" s="1">
        <v>3</v>
      </c>
      <c r="S17" s="1">
        <v>1</v>
      </c>
      <c r="T17" s="21">
        <v>7200</v>
      </c>
      <c r="U17" s="42">
        <v>0.25</v>
      </c>
      <c r="V17" s="26">
        <f t="shared" ref="V17:V38" si="5">T17*(1-U17)</f>
        <v>5400</v>
      </c>
      <c r="W17" s="25">
        <f t="shared" si="1"/>
        <v>16200</v>
      </c>
      <c r="X17" s="6"/>
    </row>
    <row r="18" spans="1:24" x14ac:dyDescent="0.3">
      <c r="A18" t="s">
        <v>340</v>
      </c>
      <c r="B18" t="s">
        <v>360</v>
      </c>
      <c r="C18" t="s">
        <v>373</v>
      </c>
      <c r="D18" t="s">
        <v>374</v>
      </c>
      <c r="E18" s="13" t="s">
        <v>247</v>
      </c>
      <c r="F18" s="13" t="s">
        <v>50</v>
      </c>
      <c r="G18" s="2192">
        <v>6</v>
      </c>
      <c r="H18" s="2186">
        <f>VLOOKUP(G18,Pesos!A:B,2,0)</f>
        <v>0.4</v>
      </c>
      <c r="I18" s="1" t="s">
        <v>305</v>
      </c>
      <c r="K18" s="13">
        <v>10</v>
      </c>
      <c r="L18" s="1">
        <v>25</v>
      </c>
      <c r="M18" s="39" t="s">
        <v>203</v>
      </c>
      <c r="N18" s="13" t="s">
        <v>24</v>
      </c>
      <c r="O18" s="1">
        <v>10</v>
      </c>
      <c r="S18" s="1">
        <v>1</v>
      </c>
      <c r="T18" s="21">
        <v>25000</v>
      </c>
      <c r="U18" s="42">
        <v>0.35</v>
      </c>
      <c r="V18" s="26">
        <f t="shared" si="5"/>
        <v>16250</v>
      </c>
      <c r="W18" s="25">
        <f>V18*S18*M18</f>
        <v>162500</v>
      </c>
      <c r="X18" s="6"/>
    </row>
    <row r="19" spans="1:24" x14ac:dyDescent="0.3">
      <c r="A19" t="s">
        <v>340</v>
      </c>
      <c r="B19" t="s">
        <v>360</v>
      </c>
      <c r="C19" t="s">
        <v>373</v>
      </c>
      <c r="D19" t="s">
        <v>374</v>
      </c>
      <c r="E19" s="13" t="s">
        <v>247</v>
      </c>
      <c r="F19" s="13" t="s">
        <v>180</v>
      </c>
      <c r="G19" s="2192">
        <v>5</v>
      </c>
      <c r="H19" s="2186">
        <f>VLOOKUP(G19,Pesos!A:B,2,0)</f>
        <v>0.5</v>
      </c>
      <c r="I19" s="1" t="s">
        <v>305</v>
      </c>
      <c r="K19" s="13">
        <v>8</v>
      </c>
      <c r="L19" s="1">
        <v>20</v>
      </c>
      <c r="M19" s="39" t="s">
        <v>51</v>
      </c>
      <c r="N19" s="13" t="s">
        <v>24</v>
      </c>
      <c r="O19" s="1">
        <v>20</v>
      </c>
      <c r="R19" s="18"/>
      <c r="S19" s="1">
        <v>1</v>
      </c>
      <c r="T19" s="21">
        <v>35000</v>
      </c>
      <c r="U19" s="42">
        <v>0.35</v>
      </c>
      <c r="V19" s="26">
        <f t="shared" si="5"/>
        <v>22750</v>
      </c>
      <c r="W19" s="25">
        <f>V19*S19*M19</f>
        <v>455000</v>
      </c>
      <c r="X19" s="6"/>
    </row>
    <row r="20" spans="1:24" x14ac:dyDescent="0.3">
      <c r="A20" t="s">
        <v>340</v>
      </c>
      <c r="B20" t="s">
        <v>360</v>
      </c>
      <c r="C20" t="s">
        <v>373</v>
      </c>
      <c r="D20" t="s">
        <v>374</v>
      </c>
      <c r="E20" s="13" t="s">
        <v>130</v>
      </c>
      <c r="F20" s="13" t="s">
        <v>131</v>
      </c>
      <c r="G20" s="2192">
        <v>10</v>
      </c>
      <c r="H20" s="2186">
        <f>VLOOKUP(G20,Pesos!A:B,2,0)</f>
        <v>0.05</v>
      </c>
      <c r="I20" s="1" t="s">
        <v>305</v>
      </c>
      <c r="K20" s="13">
        <v>8</v>
      </c>
      <c r="L20" s="1">
        <v>25</v>
      </c>
      <c r="M20" s="39" t="s">
        <v>203</v>
      </c>
      <c r="N20" s="13" t="s">
        <v>24</v>
      </c>
      <c r="O20" s="1">
        <v>10</v>
      </c>
      <c r="R20" s="6"/>
      <c r="S20" s="1">
        <v>1</v>
      </c>
      <c r="T20" s="21">
        <v>4000</v>
      </c>
      <c r="U20" s="42">
        <v>0.35</v>
      </c>
      <c r="V20" s="26">
        <f t="shared" si="5"/>
        <v>2600</v>
      </c>
      <c r="W20" s="26">
        <f t="shared" ref="W20:W38" si="6">V20*S20*M20</f>
        <v>26000</v>
      </c>
      <c r="X20" s="6"/>
    </row>
    <row r="21" spans="1:24" x14ac:dyDescent="0.3">
      <c r="G21" s="2186"/>
      <c r="H21" s="2186"/>
      <c r="M21" s="2"/>
      <c r="R21" s="6"/>
      <c r="T21" s="9"/>
      <c r="U21" s="31"/>
      <c r="V21" s="26"/>
      <c r="W21" s="26"/>
      <c r="X21" s="6"/>
    </row>
    <row r="22" spans="1:24" x14ac:dyDescent="0.3">
      <c r="A22" t="s">
        <v>342</v>
      </c>
      <c r="B22" t="s">
        <v>360</v>
      </c>
      <c r="C22" t="s">
        <v>373</v>
      </c>
      <c r="D22" t="s">
        <v>374</v>
      </c>
      <c r="E22" s="32" t="s">
        <v>20</v>
      </c>
      <c r="F22" s="32" t="s">
        <v>257</v>
      </c>
      <c r="G22" s="2191">
        <v>6</v>
      </c>
      <c r="H22" s="2186">
        <f>VLOOKUP(G22,Pesos!A:B,2,0)</f>
        <v>0.4</v>
      </c>
      <c r="J22" s="1" t="s">
        <v>305</v>
      </c>
      <c r="K22" s="1">
        <v>7</v>
      </c>
      <c r="L22" s="1">
        <v>20</v>
      </c>
      <c r="M22" s="33">
        <v>15</v>
      </c>
      <c r="N22" s="34" t="s">
        <v>22</v>
      </c>
      <c r="P22" s="1">
        <v>15</v>
      </c>
      <c r="Q22" s="1">
        <v>15</v>
      </c>
      <c r="R22" s="18"/>
      <c r="S22" s="1">
        <v>2</v>
      </c>
      <c r="T22" s="35">
        <v>2851</v>
      </c>
      <c r="U22" s="36">
        <v>0.59599999999999997</v>
      </c>
      <c r="V22" s="26">
        <f t="shared" si="5"/>
        <v>1151.8040000000001</v>
      </c>
      <c r="W22" s="26">
        <f t="shared" si="6"/>
        <v>34554.120000000003</v>
      </c>
      <c r="X22" s="6"/>
    </row>
    <row r="23" spans="1:24" x14ac:dyDescent="0.3">
      <c r="A23" t="s">
        <v>342</v>
      </c>
      <c r="B23" t="s">
        <v>360</v>
      </c>
      <c r="C23" t="s">
        <v>373</v>
      </c>
      <c r="D23" t="s">
        <v>374</v>
      </c>
      <c r="E23" s="13" t="s">
        <v>108</v>
      </c>
      <c r="F23" s="13" t="s">
        <v>258</v>
      </c>
      <c r="G23" s="2192">
        <v>5</v>
      </c>
      <c r="H23" s="2186">
        <f>VLOOKUP(G23,Pesos!A:B,2,0)</f>
        <v>0.5</v>
      </c>
      <c r="J23" s="1" t="s">
        <v>305</v>
      </c>
      <c r="K23" s="1">
        <v>50</v>
      </c>
      <c r="L23" s="1">
        <v>50</v>
      </c>
      <c r="M23" s="13">
        <v>1</v>
      </c>
      <c r="N23" s="13" t="s">
        <v>22</v>
      </c>
      <c r="O23" s="1">
        <v>50</v>
      </c>
      <c r="R23" s="18"/>
      <c r="S23" s="1">
        <v>1</v>
      </c>
      <c r="T23" s="35">
        <v>113400</v>
      </c>
      <c r="U23" s="37">
        <v>0.25</v>
      </c>
      <c r="V23" s="26">
        <f t="shared" si="5"/>
        <v>85050</v>
      </c>
      <c r="W23" s="26">
        <f t="shared" si="6"/>
        <v>85050</v>
      </c>
      <c r="X23" s="6"/>
    </row>
    <row r="24" spans="1:24" x14ac:dyDescent="0.3">
      <c r="A24" t="s">
        <v>342</v>
      </c>
      <c r="B24" t="s">
        <v>360</v>
      </c>
      <c r="C24" t="s">
        <v>373</v>
      </c>
      <c r="D24" t="s">
        <v>374</v>
      </c>
      <c r="E24" s="13" t="s">
        <v>158</v>
      </c>
      <c r="F24" s="13" t="s">
        <v>259</v>
      </c>
      <c r="G24" s="2192">
        <v>3</v>
      </c>
      <c r="H24" s="2186">
        <f>VLOOKUP(G24,Pesos!A:B,2,0)</f>
        <v>0.7</v>
      </c>
      <c r="I24" s="1" t="s">
        <v>305</v>
      </c>
      <c r="K24" s="2" t="s">
        <v>203</v>
      </c>
      <c r="L24" s="1">
        <v>20</v>
      </c>
      <c r="M24" s="13">
        <v>15</v>
      </c>
      <c r="N24" s="13" t="s">
        <v>22</v>
      </c>
      <c r="P24" s="1">
        <v>15</v>
      </c>
      <c r="Q24" s="1">
        <v>15</v>
      </c>
      <c r="S24" s="1">
        <v>2</v>
      </c>
      <c r="T24" s="35">
        <v>2000</v>
      </c>
      <c r="U24" s="37">
        <v>0.25</v>
      </c>
      <c r="V24" s="26">
        <f t="shared" ref="V24" si="7">T24*(1-U24)</f>
        <v>1500</v>
      </c>
      <c r="W24" s="26">
        <f t="shared" ref="W24" si="8">V24*S24*M24</f>
        <v>45000</v>
      </c>
    </row>
    <row r="25" spans="1:24" x14ac:dyDescent="0.3">
      <c r="A25" t="s">
        <v>342</v>
      </c>
      <c r="B25" t="s">
        <v>360</v>
      </c>
      <c r="C25" t="s">
        <v>373</v>
      </c>
      <c r="D25" t="s">
        <v>374</v>
      </c>
      <c r="E25" s="13" t="s">
        <v>250</v>
      </c>
      <c r="F25" s="13" t="s">
        <v>27</v>
      </c>
      <c r="G25" s="2192">
        <v>1</v>
      </c>
      <c r="H25" s="2186">
        <f>VLOOKUP(G25,Pesos!A:B,2,0)</f>
        <v>0.9</v>
      </c>
      <c r="I25" s="1" t="s">
        <v>305</v>
      </c>
      <c r="K25" s="2" t="s">
        <v>256</v>
      </c>
      <c r="L25" s="1">
        <v>25</v>
      </c>
      <c r="M25" s="13">
        <v>13</v>
      </c>
      <c r="N25" s="13" t="s">
        <v>106</v>
      </c>
      <c r="O25" s="1">
        <v>13</v>
      </c>
      <c r="S25" s="1">
        <v>1</v>
      </c>
      <c r="T25" s="35">
        <f>3959*(1+50%)</f>
        <v>5938.5</v>
      </c>
      <c r="U25" s="37">
        <v>0.2</v>
      </c>
      <c r="V25" s="26">
        <f t="shared" si="5"/>
        <v>4750.8</v>
      </c>
      <c r="W25" s="26">
        <f t="shared" si="6"/>
        <v>61760.4</v>
      </c>
    </row>
    <row r="26" spans="1:24" x14ac:dyDescent="0.3">
      <c r="A26" t="s">
        <v>342</v>
      </c>
      <c r="B26" t="s">
        <v>360</v>
      </c>
      <c r="C26" t="s">
        <v>373</v>
      </c>
      <c r="D26" t="s">
        <v>374</v>
      </c>
      <c r="E26" s="13" t="s">
        <v>215</v>
      </c>
      <c r="F26" s="13" t="s">
        <v>260</v>
      </c>
      <c r="G26" s="2192">
        <v>4</v>
      </c>
      <c r="H26" s="2186">
        <f>VLOOKUP(G26,Pesos!A:B,2,0)</f>
        <v>0.6</v>
      </c>
      <c r="I26" s="1" t="s">
        <v>305</v>
      </c>
      <c r="K26" s="2" t="s">
        <v>333</v>
      </c>
      <c r="L26" s="1">
        <v>8</v>
      </c>
      <c r="M26" s="13">
        <v>4</v>
      </c>
      <c r="N26" s="13" t="s">
        <v>24</v>
      </c>
      <c r="O26" s="1">
        <v>4</v>
      </c>
      <c r="S26" s="1">
        <v>1</v>
      </c>
      <c r="T26" s="21">
        <v>12000</v>
      </c>
      <c r="U26" s="38">
        <v>0.25</v>
      </c>
      <c r="V26" s="26">
        <f t="shared" si="5"/>
        <v>9000</v>
      </c>
      <c r="W26" s="26">
        <f t="shared" si="6"/>
        <v>36000</v>
      </c>
    </row>
    <row r="27" spans="1:24" x14ac:dyDescent="0.3">
      <c r="A27" t="s">
        <v>342</v>
      </c>
      <c r="B27" t="s">
        <v>360</v>
      </c>
      <c r="C27" t="s">
        <v>373</v>
      </c>
      <c r="D27" t="s">
        <v>374</v>
      </c>
      <c r="E27" s="13" t="s">
        <v>215</v>
      </c>
      <c r="F27" s="13" t="s">
        <v>261</v>
      </c>
      <c r="G27" s="2192">
        <v>2</v>
      </c>
      <c r="H27" s="2186">
        <f>VLOOKUP(G27,Pesos!A:B,2,0)</f>
        <v>0.8</v>
      </c>
      <c r="J27" s="1" t="s">
        <v>305</v>
      </c>
      <c r="K27" s="2" t="s">
        <v>346</v>
      </c>
      <c r="L27" s="1">
        <v>10</v>
      </c>
      <c r="M27" s="13">
        <v>5</v>
      </c>
      <c r="N27" s="13" t="s">
        <v>22</v>
      </c>
      <c r="P27" s="1">
        <v>5</v>
      </c>
      <c r="S27" s="1">
        <v>1</v>
      </c>
      <c r="T27" s="21">
        <v>7200</v>
      </c>
      <c r="U27" s="38">
        <v>0.25</v>
      </c>
      <c r="V27" s="26">
        <f t="shared" si="5"/>
        <v>5400</v>
      </c>
      <c r="W27" s="26">
        <f t="shared" si="6"/>
        <v>27000</v>
      </c>
    </row>
    <row r="28" spans="1:24" x14ac:dyDescent="0.3">
      <c r="A28" t="s">
        <v>342</v>
      </c>
      <c r="B28" t="s">
        <v>360</v>
      </c>
      <c r="C28" t="s">
        <v>373</v>
      </c>
      <c r="D28" t="s">
        <v>374</v>
      </c>
      <c r="E28" s="13" t="s">
        <v>250</v>
      </c>
      <c r="F28" s="13" t="s">
        <v>29</v>
      </c>
      <c r="G28" s="2192">
        <v>4</v>
      </c>
      <c r="H28" s="2186">
        <f>VLOOKUP(G28,Pesos!A:B,2,0)</f>
        <v>0.6</v>
      </c>
      <c r="I28" s="1" t="s">
        <v>305</v>
      </c>
      <c r="K28" s="1">
        <v>1</v>
      </c>
      <c r="L28" s="1">
        <v>3</v>
      </c>
      <c r="M28" s="13">
        <v>1</v>
      </c>
      <c r="N28" s="13" t="s">
        <v>24</v>
      </c>
      <c r="O28" s="1">
        <v>1</v>
      </c>
      <c r="S28" s="1">
        <v>1</v>
      </c>
      <c r="T28" s="21">
        <v>35000</v>
      </c>
      <c r="U28" s="38">
        <v>0.25</v>
      </c>
      <c r="V28" s="26">
        <f t="shared" si="5"/>
        <v>26250</v>
      </c>
      <c r="W28" s="26">
        <f t="shared" si="6"/>
        <v>26250</v>
      </c>
    </row>
    <row r="29" spans="1:24" x14ac:dyDescent="0.3">
      <c r="G29" s="2186"/>
      <c r="H29" s="2186"/>
      <c r="M29" s="2"/>
      <c r="T29" s="5"/>
      <c r="U29" s="24"/>
      <c r="V29" s="26"/>
      <c r="W29" s="26"/>
    </row>
    <row r="30" spans="1:24" x14ac:dyDescent="0.3">
      <c r="A30" t="s">
        <v>343</v>
      </c>
      <c r="B30" t="s">
        <v>360</v>
      </c>
      <c r="C30" t="s">
        <v>373</v>
      </c>
      <c r="D30" t="s">
        <v>374</v>
      </c>
      <c r="E30" s="32" t="s">
        <v>20</v>
      </c>
      <c r="F30" s="32" t="s">
        <v>257</v>
      </c>
      <c r="G30" s="2191">
        <v>11</v>
      </c>
      <c r="H30" s="2186">
        <f>VLOOKUP(G30,Pesos!A:B,2,0)</f>
        <v>0.03</v>
      </c>
      <c r="J30" s="1" t="s">
        <v>305</v>
      </c>
      <c r="K30" s="1">
        <v>7</v>
      </c>
      <c r="L30" s="1">
        <v>20</v>
      </c>
      <c r="M30" s="33">
        <v>13</v>
      </c>
      <c r="N30" s="34" t="s">
        <v>22</v>
      </c>
      <c r="P30" s="1">
        <v>13</v>
      </c>
      <c r="Q30" s="1">
        <v>13</v>
      </c>
      <c r="S30" s="1">
        <v>2</v>
      </c>
      <c r="T30" s="35">
        <v>2851</v>
      </c>
      <c r="U30" s="36">
        <v>0.59599999999999997</v>
      </c>
      <c r="V30" s="26">
        <f t="shared" si="5"/>
        <v>1151.8040000000001</v>
      </c>
      <c r="W30" s="26">
        <f t="shared" si="6"/>
        <v>29946.904000000002</v>
      </c>
    </row>
    <row r="31" spans="1:24" x14ac:dyDescent="0.3">
      <c r="A31" t="s">
        <v>343</v>
      </c>
      <c r="B31" t="s">
        <v>360</v>
      </c>
      <c r="C31" t="s">
        <v>373</v>
      </c>
      <c r="D31" t="s">
        <v>374</v>
      </c>
      <c r="E31" s="13" t="s">
        <v>108</v>
      </c>
      <c r="F31" s="13" t="s">
        <v>258</v>
      </c>
      <c r="G31" s="2192">
        <v>7</v>
      </c>
      <c r="H31" s="2186">
        <f>VLOOKUP(G31,Pesos!A:B,2,0)</f>
        <v>0.3</v>
      </c>
      <c r="J31" s="1" t="s">
        <v>305</v>
      </c>
      <c r="K31" s="1">
        <v>50</v>
      </c>
      <c r="L31" s="1">
        <v>50</v>
      </c>
      <c r="M31" s="13">
        <v>1</v>
      </c>
      <c r="N31" s="13" t="s">
        <v>22</v>
      </c>
      <c r="O31" s="1">
        <v>50</v>
      </c>
      <c r="S31" s="1">
        <v>1</v>
      </c>
      <c r="T31" s="35">
        <v>113400</v>
      </c>
      <c r="U31" s="37">
        <v>0.25</v>
      </c>
      <c r="V31" s="26">
        <f t="shared" si="5"/>
        <v>85050</v>
      </c>
      <c r="W31" s="26">
        <f t="shared" si="6"/>
        <v>85050</v>
      </c>
    </row>
    <row r="32" spans="1:24" x14ac:dyDescent="0.3">
      <c r="A32" t="s">
        <v>343</v>
      </c>
      <c r="B32" t="s">
        <v>360</v>
      </c>
      <c r="C32" t="s">
        <v>373</v>
      </c>
      <c r="D32" t="s">
        <v>374</v>
      </c>
      <c r="E32" s="13" t="s">
        <v>158</v>
      </c>
      <c r="F32" s="13" t="s">
        <v>259</v>
      </c>
      <c r="G32" s="2192">
        <v>8</v>
      </c>
      <c r="H32" s="2186">
        <f>VLOOKUP(G32,Pesos!A:B,2,0)</f>
        <v>0.2</v>
      </c>
      <c r="I32" s="1" t="s">
        <v>305</v>
      </c>
      <c r="K32" s="1">
        <v>10</v>
      </c>
      <c r="L32" s="1">
        <v>20</v>
      </c>
      <c r="M32" s="13">
        <v>13</v>
      </c>
      <c r="N32" s="13" t="s">
        <v>22</v>
      </c>
      <c r="P32" s="1">
        <v>13</v>
      </c>
      <c r="Q32" s="1">
        <v>13</v>
      </c>
      <c r="S32" s="1">
        <v>2</v>
      </c>
      <c r="T32" s="35">
        <v>2000</v>
      </c>
      <c r="U32" s="37">
        <v>0.25</v>
      </c>
      <c r="V32" s="26">
        <f t="shared" si="5"/>
        <v>1500</v>
      </c>
      <c r="W32" s="26">
        <f t="shared" si="6"/>
        <v>39000</v>
      </c>
    </row>
    <row r="33" spans="1:23" x14ac:dyDescent="0.3">
      <c r="A33" t="s">
        <v>343</v>
      </c>
      <c r="B33" t="s">
        <v>360</v>
      </c>
      <c r="C33" t="s">
        <v>373</v>
      </c>
      <c r="D33" t="s">
        <v>374</v>
      </c>
      <c r="E33" s="13" t="s">
        <v>250</v>
      </c>
      <c r="F33" s="13" t="s">
        <v>89</v>
      </c>
      <c r="G33" s="2192">
        <v>3</v>
      </c>
      <c r="H33" s="2186">
        <f>VLOOKUP(G33,Pesos!A:B,2,0)</f>
        <v>0.7</v>
      </c>
      <c r="I33" s="1" t="s">
        <v>305</v>
      </c>
      <c r="K33" s="1">
        <v>15</v>
      </c>
      <c r="L33" s="1">
        <v>25</v>
      </c>
      <c r="M33" s="13">
        <v>15</v>
      </c>
      <c r="N33" s="13" t="s">
        <v>106</v>
      </c>
      <c r="O33" s="1">
        <v>15</v>
      </c>
      <c r="S33" s="1">
        <v>1</v>
      </c>
      <c r="T33" s="35">
        <f>1650*(1+50%)</f>
        <v>2475</v>
      </c>
      <c r="U33" s="37">
        <v>0.2</v>
      </c>
      <c r="V33" s="26">
        <f t="shared" si="5"/>
        <v>1980</v>
      </c>
      <c r="W33" s="26">
        <f t="shared" si="6"/>
        <v>29700</v>
      </c>
    </row>
    <row r="34" spans="1:23" x14ac:dyDescent="0.3">
      <c r="A34" t="s">
        <v>343</v>
      </c>
      <c r="B34" t="s">
        <v>360</v>
      </c>
      <c r="C34" t="s">
        <v>373</v>
      </c>
      <c r="D34" t="s">
        <v>374</v>
      </c>
      <c r="E34" s="13" t="s">
        <v>215</v>
      </c>
      <c r="F34" s="13" t="s">
        <v>27</v>
      </c>
      <c r="G34" s="2192">
        <v>2</v>
      </c>
      <c r="H34" s="2186">
        <f>VLOOKUP(G34,Pesos!A:B,2,0)</f>
        <v>0.8</v>
      </c>
      <c r="I34" s="1" t="s">
        <v>305</v>
      </c>
      <c r="K34" s="1">
        <v>15</v>
      </c>
      <c r="L34" s="1">
        <v>25</v>
      </c>
      <c r="M34" s="13">
        <v>3</v>
      </c>
      <c r="N34" s="13" t="s">
        <v>106</v>
      </c>
      <c r="O34" s="1">
        <v>6</v>
      </c>
      <c r="S34" s="1">
        <v>1</v>
      </c>
      <c r="T34" s="35">
        <f>3969*(1+50%)</f>
        <v>5953.5</v>
      </c>
      <c r="U34" s="37">
        <v>0.2</v>
      </c>
      <c r="V34" s="26">
        <f t="shared" si="5"/>
        <v>4762.8</v>
      </c>
      <c r="W34" s="26">
        <f t="shared" si="6"/>
        <v>14288.400000000001</v>
      </c>
    </row>
    <row r="35" spans="1:23" x14ac:dyDescent="0.3">
      <c r="A35" t="s">
        <v>343</v>
      </c>
      <c r="B35" t="s">
        <v>360</v>
      </c>
      <c r="C35" t="s">
        <v>373</v>
      </c>
      <c r="D35" t="s">
        <v>374</v>
      </c>
      <c r="E35" s="13" t="s">
        <v>108</v>
      </c>
      <c r="F35" s="13" t="s">
        <v>262</v>
      </c>
      <c r="G35" s="2192">
        <v>6</v>
      </c>
      <c r="H35" s="2186">
        <f>VLOOKUP(G35,Pesos!A:B,2,0)</f>
        <v>0.4</v>
      </c>
      <c r="J35" s="1" t="s">
        <v>305</v>
      </c>
      <c r="K35" s="1">
        <v>7</v>
      </c>
      <c r="L35" s="1">
        <v>7</v>
      </c>
      <c r="M35" s="13">
        <v>1</v>
      </c>
      <c r="N35" s="13" t="s">
        <v>22</v>
      </c>
      <c r="P35" s="1">
        <v>7</v>
      </c>
      <c r="Q35" s="1">
        <v>7</v>
      </c>
      <c r="S35" s="1">
        <v>2</v>
      </c>
      <c r="T35" s="21">
        <v>35000</v>
      </c>
      <c r="U35" s="38">
        <v>0.25</v>
      </c>
      <c r="V35" s="26">
        <f t="shared" si="5"/>
        <v>26250</v>
      </c>
      <c r="W35" s="26">
        <f t="shared" si="6"/>
        <v>52500</v>
      </c>
    </row>
    <row r="36" spans="1:23" x14ac:dyDescent="0.3">
      <c r="A36" t="s">
        <v>343</v>
      </c>
      <c r="B36" t="s">
        <v>360</v>
      </c>
      <c r="C36" t="s">
        <v>373</v>
      </c>
      <c r="D36" t="s">
        <v>374</v>
      </c>
      <c r="E36" s="13" t="s">
        <v>215</v>
      </c>
      <c r="F36" s="13" t="s">
        <v>260</v>
      </c>
      <c r="G36" s="2192">
        <v>9</v>
      </c>
      <c r="H36" s="2186">
        <f>VLOOKUP(G36,Pesos!A:B,2,0)</f>
        <v>0.1</v>
      </c>
      <c r="I36" s="1" t="s">
        <v>305</v>
      </c>
      <c r="K36" s="1">
        <v>3</v>
      </c>
      <c r="L36" s="1">
        <v>8</v>
      </c>
      <c r="M36" s="13">
        <v>2</v>
      </c>
      <c r="N36" s="13" t="s">
        <v>24</v>
      </c>
      <c r="O36" s="1">
        <v>2</v>
      </c>
      <c r="S36" s="1">
        <v>1</v>
      </c>
      <c r="T36" s="21">
        <v>12000</v>
      </c>
      <c r="U36" s="38">
        <v>0.25</v>
      </c>
      <c r="V36" s="26">
        <f t="shared" si="5"/>
        <v>9000</v>
      </c>
      <c r="W36" s="26">
        <f t="shared" si="6"/>
        <v>18000</v>
      </c>
    </row>
    <row r="37" spans="1:23" x14ac:dyDescent="0.3">
      <c r="A37" t="s">
        <v>343</v>
      </c>
      <c r="B37" t="s">
        <v>360</v>
      </c>
      <c r="C37" t="s">
        <v>373</v>
      </c>
      <c r="D37" t="s">
        <v>374</v>
      </c>
      <c r="E37" s="13" t="s">
        <v>250</v>
      </c>
      <c r="F37" s="13" t="s">
        <v>261</v>
      </c>
      <c r="G37" s="2192">
        <v>1</v>
      </c>
      <c r="H37" s="2186">
        <f>VLOOKUP(G37,Pesos!A:B,2,0)</f>
        <v>0.9</v>
      </c>
      <c r="J37" s="1" t="s">
        <v>305</v>
      </c>
      <c r="K37" s="1">
        <v>4</v>
      </c>
      <c r="L37" s="1">
        <v>10</v>
      </c>
      <c r="M37" s="13">
        <v>2</v>
      </c>
      <c r="N37" s="13" t="s">
        <v>22</v>
      </c>
      <c r="P37" s="1">
        <v>2</v>
      </c>
      <c r="S37" s="1">
        <v>1</v>
      </c>
      <c r="T37" s="21">
        <v>7200</v>
      </c>
      <c r="U37" s="38">
        <v>0.25</v>
      </c>
      <c r="V37" s="26">
        <f t="shared" si="5"/>
        <v>5400</v>
      </c>
      <c r="W37" s="26">
        <f t="shared" si="6"/>
        <v>10800</v>
      </c>
    </row>
    <row r="38" spans="1:23" x14ac:dyDescent="0.3">
      <c r="A38" t="s">
        <v>343</v>
      </c>
      <c r="B38" t="s">
        <v>360</v>
      </c>
      <c r="C38" t="s">
        <v>373</v>
      </c>
      <c r="D38" t="s">
        <v>374</v>
      </c>
      <c r="E38" s="13" t="s">
        <v>247</v>
      </c>
      <c r="F38" s="13" t="s">
        <v>50</v>
      </c>
      <c r="G38" s="2192">
        <v>5</v>
      </c>
      <c r="H38" s="2186">
        <f>VLOOKUP(G38,Pesos!A:B,2,0)</f>
        <v>0.5</v>
      </c>
      <c r="I38" s="1" t="s">
        <v>305</v>
      </c>
      <c r="K38" s="1">
        <v>7</v>
      </c>
      <c r="L38" s="1">
        <v>16</v>
      </c>
      <c r="M38" s="13">
        <v>1</v>
      </c>
      <c r="N38" s="13" t="s">
        <v>24</v>
      </c>
      <c r="O38" s="1">
        <v>10</v>
      </c>
      <c r="S38" s="1">
        <v>1</v>
      </c>
      <c r="T38" s="21">
        <v>25000</v>
      </c>
      <c r="U38" s="38">
        <v>0.35</v>
      </c>
      <c r="V38" s="26">
        <f t="shared" si="5"/>
        <v>16250</v>
      </c>
      <c r="W38" s="26">
        <f t="shared" si="6"/>
        <v>16250</v>
      </c>
    </row>
    <row r="39" spans="1:23" x14ac:dyDescent="0.3">
      <c r="A39" t="s">
        <v>343</v>
      </c>
      <c r="B39" t="s">
        <v>360</v>
      </c>
      <c r="C39" t="s">
        <v>373</v>
      </c>
      <c r="D39" t="s">
        <v>374</v>
      </c>
      <c r="E39" s="13" t="s">
        <v>247</v>
      </c>
      <c r="F39" s="13" t="s">
        <v>180</v>
      </c>
      <c r="G39" s="2192">
        <v>4</v>
      </c>
      <c r="H39" s="2186">
        <f>VLOOKUP(G39,Pesos!A:B,2,0)</f>
        <v>0.6</v>
      </c>
      <c r="I39" s="1" t="s">
        <v>305</v>
      </c>
      <c r="K39" s="1">
        <v>7</v>
      </c>
      <c r="L39" s="1">
        <v>16</v>
      </c>
      <c r="M39" s="13">
        <v>1</v>
      </c>
      <c r="N39" s="13" t="s">
        <v>24</v>
      </c>
      <c r="O39" s="1">
        <v>10</v>
      </c>
      <c r="S39" s="1">
        <v>1</v>
      </c>
      <c r="T39" s="21">
        <v>35000</v>
      </c>
      <c r="U39" s="38">
        <v>0.35</v>
      </c>
      <c r="V39" s="26">
        <f t="shared" ref="V39" si="9">T39*(1-U39)</f>
        <v>22750</v>
      </c>
      <c r="W39" s="26">
        <f t="shared" ref="W39" si="10">V39*S39*M39</f>
        <v>22750</v>
      </c>
    </row>
    <row r="40" spans="1:23" x14ac:dyDescent="0.3">
      <c r="A40" t="s">
        <v>343</v>
      </c>
      <c r="B40" t="s">
        <v>360</v>
      </c>
      <c r="C40" t="s">
        <v>373</v>
      </c>
      <c r="D40" t="s">
        <v>374</v>
      </c>
      <c r="E40" s="13" t="s">
        <v>130</v>
      </c>
      <c r="F40" s="13" t="s">
        <v>131</v>
      </c>
      <c r="G40" s="2192">
        <v>10</v>
      </c>
      <c r="H40" s="2186">
        <f>VLOOKUP(G40,Pesos!A:B,2,0)</f>
        <v>0.05</v>
      </c>
      <c r="I40" s="1" t="s">
        <v>305</v>
      </c>
      <c r="K40" s="1">
        <v>7</v>
      </c>
      <c r="L40" s="1">
        <v>16</v>
      </c>
      <c r="M40" s="13">
        <v>10</v>
      </c>
      <c r="N40" s="13" t="s">
        <v>24</v>
      </c>
      <c r="O40" s="1">
        <v>10</v>
      </c>
      <c r="S40" s="1">
        <v>1</v>
      </c>
      <c r="T40" s="21">
        <v>4000</v>
      </c>
      <c r="U40" s="38">
        <v>0.35</v>
      </c>
      <c r="V40" s="26">
        <f t="shared" ref="V40:V47" si="11">T40*(1-U40)</f>
        <v>2600</v>
      </c>
      <c r="W40" s="26">
        <f t="shared" ref="W40:W47" si="12">V40*S40*M40</f>
        <v>26000</v>
      </c>
    </row>
    <row r="41" spans="1:23" x14ac:dyDescent="0.3">
      <c r="G41" s="2186"/>
      <c r="H41" s="2186"/>
      <c r="M41" s="2"/>
      <c r="T41" s="5"/>
      <c r="U41" s="24"/>
      <c r="V41" s="26"/>
      <c r="W41" s="26"/>
    </row>
    <row r="42" spans="1:23" x14ac:dyDescent="0.3">
      <c r="A42" t="s">
        <v>326</v>
      </c>
      <c r="B42" t="s">
        <v>360</v>
      </c>
      <c r="C42" t="s">
        <v>373</v>
      </c>
      <c r="D42" t="s">
        <v>374</v>
      </c>
      <c r="E42" s="32" t="s">
        <v>20</v>
      </c>
      <c r="F42" s="32" t="s">
        <v>257</v>
      </c>
      <c r="G42" s="2191">
        <v>9</v>
      </c>
      <c r="H42" s="2186">
        <f>VLOOKUP(G42,Pesos!A:B,2,0)</f>
        <v>0.1</v>
      </c>
      <c r="J42" s="1" t="s">
        <v>305</v>
      </c>
      <c r="K42" s="32">
        <v>5</v>
      </c>
      <c r="L42" s="1">
        <v>15</v>
      </c>
      <c r="M42" s="33">
        <v>10</v>
      </c>
      <c r="N42" s="34" t="s">
        <v>22</v>
      </c>
      <c r="P42" s="1">
        <v>10</v>
      </c>
      <c r="Q42" s="1">
        <v>10</v>
      </c>
      <c r="S42" s="1">
        <v>2</v>
      </c>
      <c r="T42" s="35">
        <v>2851</v>
      </c>
      <c r="U42" s="36">
        <v>0.59599999999999997</v>
      </c>
      <c r="V42" s="26">
        <f t="shared" si="11"/>
        <v>1151.8040000000001</v>
      </c>
      <c r="W42" s="26">
        <f t="shared" si="12"/>
        <v>23036.080000000002</v>
      </c>
    </row>
    <row r="43" spans="1:23" x14ac:dyDescent="0.3">
      <c r="A43" t="s">
        <v>326</v>
      </c>
      <c r="B43" t="s">
        <v>360</v>
      </c>
      <c r="C43" t="s">
        <v>373</v>
      </c>
      <c r="D43" t="s">
        <v>374</v>
      </c>
      <c r="E43" s="13" t="s">
        <v>108</v>
      </c>
      <c r="F43" s="13" t="s">
        <v>258</v>
      </c>
      <c r="G43" s="2192">
        <v>5</v>
      </c>
      <c r="H43" s="2186">
        <f>VLOOKUP(G43,Pesos!A:B,2,0)</f>
        <v>0.5</v>
      </c>
      <c r="J43" s="1" t="s">
        <v>305</v>
      </c>
      <c r="K43" s="13">
        <v>50</v>
      </c>
      <c r="L43" s="1">
        <v>50</v>
      </c>
      <c r="M43" s="13">
        <v>1</v>
      </c>
      <c r="N43" s="13" t="s">
        <v>22</v>
      </c>
      <c r="O43" s="1">
        <v>50</v>
      </c>
      <c r="S43" s="1">
        <v>1</v>
      </c>
      <c r="T43" s="35">
        <v>113400</v>
      </c>
      <c r="U43" s="37">
        <v>0.25</v>
      </c>
      <c r="V43" s="26">
        <f t="shared" si="11"/>
        <v>85050</v>
      </c>
      <c r="W43" s="26">
        <f t="shared" si="12"/>
        <v>85050</v>
      </c>
    </row>
    <row r="44" spans="1:23" x14ac:dyDescent="0.3">
      <c r="A44" t="s">
        <v>326</v>
      </c>
      <c r="B44" t="s">
        <v>360</v>
      </c>
      <c r="C44" t="s">
        <v>373</v>
      </c>
      <c r="D44" t="s">
        <v>374</v>
      </c>
      <c r="E44" s="13" t="s">
        <v>158</v>
      </c>
      <c r="F44" s="13" t="s">
        <v>259</v>
      </c>
      <c r="G44" s="2192">
        <v>8</v>
      </c>
      <c r="H44" s="2186">
        <f>VLOOKUP(G44,Pesos!A:B,2,0)</f>
        <v>0.2</v>
      </c>
      <c r="I44" s="1" t="s">
        <v>305</v>
      </c>
      <c r="K44" s="13">
        <v>7</v>
      </c>
      <c r="L44" s="1">
        <v>15</v>
      </c>
      <c r="M44" s="13">
        <v>10</v>
      </c>
      <c r="N44" s="13" t="s">
        <v>22</v>
      </c>
      <c r="P44" s="1">
        <v>10</v>
      </c>
      <c r="Q44" s="1">
        <v>10</v>
      </c>
      <c r="S44" s="1">
        <v>2</v>
      </c>
      <c r="T44" s="35">
        <v>2000</v>
      </c>
      <c r="U44" s="37">
        <v>0.25</v>
      </c>
      <c r="V44" s="26">
        <f t="shared" si="11"/>
        <v>1500</v>
      </c>
      <c r="W44" s="26">
        <f t="shared" si="12"/>
        <v>30000</v>
      </c>
    </row>
    <row r="45" spans="1:23" x14ac:dyDescent="0.3">
      <c r="A45" t="s">
        <v>326</v>
      </c>
      <c r="B45" t="s">
        <v>360</v>
      </c>
      <c r="C45" t="s">
        <v>373</v>
      </c>
      <c r="D45" t="s">
        <v>374</v>
      </c>
      <c r="E45" s="13" t="s">
        <v>215</v>
      </c>
      <c r="F45" s="13" t="s">
        <v>89</v>
      </c>
      <c r="G45" s="2192">
        <v>4</v>
      </c>
      <c r="H45" s="2186">
        <f>VLOOKUP(G45,Pesos!A:B,2,0)</f>
        <v>0.6</v>
      </c>
      <c r="I45" s="1" t="s">
        <v>305</v>
      </c>
      <c r="K45" s="13">
        <v>10</v>
      </c>
      <c r="L45" s="1">
        <v>20</v>
      </c>
      <c r="M45" s="13">
        <v>10</v>
      </c>
      <c r="N45" s="13" t="s">
        <v>106</v>
      </c>
      <c r="O45" s="1">
        <v>10</v>
      </c>
      <c r="S45" s="1">
        <v>1</v>
      </c>
      <c r="T45" s="35">
        <f>1650*(1+50%)</f>
        <v>2475</v>
      </c>
      <c r="U45" s="37">
        <v>0.2</v>
      </c>
      <c r="V45" s="26">
        <f t="shared" si="11"/>
        <v>1980</v>
      </c>
      <c r="W45" s="26">
        <f t="shared" si="12"/>
        <v>19800</v>
      </c>
    </row>
    <row r="46" spans="1:23" x14ac:dyDescent="0.3">
      <c r="A46" t="s">
        <v>326</v>
      </c>
      <c r="B46" t="s">
        <v>360</v>
      </c>
      <c r="C46" t="s">
        <v>373</v>
      </c>
      <c r="D46" t="s">
        <v>374</v>
      </c>
      <c r="E46" s="13" t="s">
        <v>250</v>
      </c>
      <c r="F46" s="13" t="s">
        <v>27</v>
      </c>
      <c r="G46" s="2192">
        <v>3</v>
      </c>
      <c r="H46" s="2186">
        <f>VLOOKUP(G46,Pesos!A:B,2,0)</f>
        <v>0.7</v>
      </c>
      <c r="I46" s="1" t="s">
        <v>305</v>
      </c>
      <c r="K46" s="13">
        <v>10</v>
      </c>
      <c r="L46" s="1">
        <v>20</v>
      </c>
      <c r="M46" s="13">
        <v>3</v>
      </c>
      <c r="N46" s="13" t="s">
        <v>106</v>
      </c>
      <c r="O46" s="1">
        <v>3</v>
      </c>
      <c r="S46" s="1">
        <v>1</v>
      </c>
      <c r="T46" s="35">
        <f>3969*(1+50%)</f>
        <v>5953.5</v>
      </c>
      <c r="U46" s="37">
        <v>0.2</v>
      </c>
      <c r="V46" s="26">
        <f t="shared" si="11"/>
        <v>4762.8</v>
      </c>
      <c r="W46" s="26">
        <f t="shared" si="12"/>
        <v>14288.400000000001</v>
      </c>
    </row>
    <row r="47" spans="1:23" x14ac:dyDescent="0.3">
      <c r="A47" t="s">
        <v>326</v>
      </c>
      <c r="B47" t="s">
        <v>360</v>
      </c>
      <c r="C47" t="s">
        <v>373</v>
      </c>
      <c r="D47" t="s">
        <v>374</v>
      </c>
      <c r="E47" s="13" t="s">
        <v>108</v>
      </c>
      <c r="F47" s="13" t="s">
        <v>262</v>
      </c>
      <c r="G47" s="2192">
        <v>6</v>
      </c>
      <c r="H47" s="2186">
        <f>VLOOKUP(G47,Pesos!A:B,2,0)</f>
        <v>0.4</v>
      </c>
      <c r="J47" s="1" t="s">
        <v>305</v>
      </c>
      <c r="K47" s="13">
        <v>7</v>
      </c>
      <c r="L47" s="1">
        <v>7</v>
      </c>
      <c r="M47" s="13">
        <v>1</v>
      </c>
      <c r="N47" s="13" t="s">
        <v>22</v>
      </c>
      <c r="P47" s="1">
        <v>7</v>
      </c>
      <c r="S47" s="1">
        <v>1</v>
      </c>
      <c r="T47" s="21">
        <v>35000</v>
      </c>
      <c r="U47" s="38">
        <v>0.25</v>
      </c>
      <c r="V47" s="26">
        <f t="shared" si="11"/>
        <v>26250</v>
      </c>
      <c r="W47" s="26">
        <f t="shared" si="12"/>
        <v>26250</v>
      </c>
    </row>
    <row r="48" spans="1:23" x14ac:dyDescent="0.3">
      <c r="A48" t="s">
        <v>326</v>
      </c>
      <c r="B48" t="s">
        <v>360</v>
      </c>
      <c r="C48" t="s">
        <v>373</v>
      </c>
      <c r="D48" t="s">
        <v>374</v>
      </c>
      <c r="E48" s="13" t="s">
        <v>215</v>
      </c>
      <c r="F48" s="13" t="s">
        <v>260</v>
      </c>
      <c r="G48" s="2192">
        <v>7</v>
      </c>
      <c r="H48" s="2186">
        <f>VLOOKUP(G48,Pesos!A:B,2,0)</f>
        <v>0.3</v>
      </c>
      <c r="I48" s="1" t="s">
        <v>305</v>
      </c>
      <c r="K48" s="13">
        <v>1</v>
      </c>
      <c r="L48" s="1">
        <v>3</v>
      </c>
      <c r="M48" s="13">
        <v>1</v>
      </c>
      <c r="N48" s="13" t="s">
        <v>24</v>
      </c>
      <c r="O48" s="1">
        <v>1</v>
      </c>
      <c r="S48" s="1">
        <v>1</v>
      </c>
      <c r="T48" s="21">
        <v>12000</v>
      </c>
      <c r="U48" s="38">
        <v>0.25</v>
      </c>
      <c r="V48" s="26">
        <f t="shared" ref="V48:V50" si="13">T48*(1-U48)</f>
        <v>9000</v>
      </c>
      <c r="W48" s="26">
        <f t="shared" ref="W48:W50" si="14">V48*S48*M48</f>
        <v>9000</v>
      </c>
    </row>
    <row r="49" spans="1:23" x14ac:dyDescent="0.3">
      <c r="A49" t="s">
        <v>326</v>
      </c>
      <c r="B49" t="s">
        <v>360</v>
      </c>
      <c r="C49" t="s">
        <v>373</v>
      </c>
      <c r="D49" t="s">
        <v>374</v>
      </c>
      <c r="E49" s="13" t="s">
        <v>250</v>
      </c>
      <c r="F49" s="13" t="s">
        <v>261</v>
      </c>
      <c r="G49" s="2192">
        <v>1</v>
      </c>
      <c r="H49" s="2186">
        <f>VLOOKUP(G49,Pesos!A:B,2,0)</f>
        <v>0.9</v>
      </c>
      <c r="J49" s="1" t="s">
        <v>305</v>
      </c>
      <c r="K49" s="13">
        <v>1</v>
      </c>
      <c r="L49" s="1">
        <v>5</v>
      </c>
      <c r="M49" s="13">
        <v>1</v>
      </c>
      <c r="N49" s="13" t="s">
        <v>22</v>
      </c>
      <c r="P49" s="1">
        <v>1</v>
      </c>
      <c r="S49" s="1">
        <v>1</v>
      </c>
      <c r="T49" s="21">
        <v>7200</v>
      </c>
      <c r="U49" s="38">
        <v>0.25</v>
      </c>
      <c r="V49" s="26">
        <f t="shared" si="13"/>
        <v>5400</v>
      </c>
      <c r="W49" s="26">
        <f t="shared" si="14"/>
        <v>5400</v>
      </c>
    </row>
    <row r="50" spans="1:23" x14ac:dyDescent="0.3">
      <c r="A50" t="s">
        <v>326</v>
      </c>
      <c r="B50" t="s">
        <v>360</v>
      </c>
      <c r="C50" t="s">
        <v>373</v>
      </c>
      <c r="D50" t="s">
        <v>374</v>
      </c>
      <c r="E50" s="13" t="s">
        <v>247</v>
      </c>
      <c r="F50" s="13" t="s">
        <v>180</v>
      </c>
      <c r="G50" s="2192">
        <v>2</v>
      </c>
      <c r="H50" s="2186">
        <f>VLOOKUP(G50,Pesos!A:B,2,0)</f>
        <v>0.8</v>
      </c>
      <c r="I50" s="1" t="s">
        <v>305</v>
      </c>
      <c r="K50" s="13">
        <v>5</v>
      </c>
      <c r="L50" s="1">
        <v>13</v>
      </c>
      <c r="M50" s="13">
        <v>10</v>
      </c>
      <c r="N50" s="13" t="s">
        <v>24</v>
      </c>
      <c r="O50" s="1">
        <v>10</v>
      </c>
      <c r="S50" s="1">
        <v>1</v>
      </c>
      <c r="T50" s="21">
        <v>35000</v>
      </c>
      <c r="U50" s="38">
        <v>0.35</v>
      </c>
      <c r="V50" s="26">
        <f t="shared" si="13"/>
        <v>22750</v>
      </c>
      <c r="W50" s="26">
        <f t="shared" si="14"/>
        <v>227500</v>
      </c>
    </row>
    <row r="55" spans="1:23" x14ac:dyDescent="0.3">
      <c r="A55" s="47"/>
      <c r="D55" s="43" t="s">
        <v>1158</v>
      </c>
      <c r="E55" s="43" t="s">
        <v>1159</v>
      </c>
      <c r="F55" s="43" t="s">
        <v>1160</v>
      </c>
      <c r="G55" s="43"/>
      <c r="M55" s="1"/>
      <c r="T55" s="26"/>
      <c r="U55" s="24"/>
      <c r="V55" s="26"/>
      <c r="W55" s="26"/>
    </row>
    <row r="56" spans="1:23" x14ac:dyDescent="0.3">
      <c r="A56" s="47" t="s">
        <v>1161</v>
      </c>
      <c r="B56" s="2174"/>
      <c r="C56" s="2174"/>
      <c r="D56" s="2181">
        <f>E56*(1-10%)</f>
        <v>3278.7853984962408</v>
      </c>
      <c r="E56" s="427">
        <f>RECIFE!T43</f>
        <v>3643.0948872180452</v>
      </c>
      <c r="F56" s="427">
        <f>E56*(1+15%)</f>
        <v>4189.5591203007516</v>
      </c>
      <c r="G56" s="427"/>
      <c r="M56" s="1"/>
      <c r="T56" s="28"/>
      <c r="U56" s="29"/>
      <c r="V56" s="26"/>
      <c r="W56" s="26"/>
    </row>
    <row r="57" spans="1:23" x14ac:dyDescent="0.3">
      <c r="A57" s="47" t="s">
        <v>1162</v>
      </c>
      <c r="B57" s="2174"/>
      <c r="C57" s="2174"/>
      <c r="D57" s="2181">
        <f>E57*(1-25%)</f>
        <v>1806.141219059406</v>
      </c>
      <c r="E57" s="427">
        <f>RECIFE!T75</f>
        <v>2408.1882920792082</v>
      </c>
      <c r="F57" s="427">
        <f>E57*(1+5%)</f>
        <v>2528.5977066831688</v>
      </c>
      <c r="G57" s="427"/>
      <c r="M57" s="1"/>
      <c r="T57" s="28"/>
      <c r="U57" s="29"/>
      <c r="V57" s="26"/>
      <c r="W57" s="26"/>
    </row>
    <row r="58" spans="1:23" x14ac:dyDescent="0.3">
      <c r="A58" s="47" t="s">
        <v>550</v>
      </c>
      <c r="B58" s="2174"/>
      <c r="C58" s="2174"/>
      <c r="D58" s="2181">
        <f>E58*(1-15%)</f>
        <v>2394.1529473684213</v>
      </c>
      <c r="E58" s="427">
        <f>RECIFE!T109</f>
        <v>2816.6505263157896</v>
      </c>
      <c r="F58" s="427">
        <f>E58*(1+15%)</f>
        <v>3239.148105263158</v>
      </c>
      <c r="G58" s="427"/>
      <c r="M58" s="1"/>
      <c r="T58" s="28"/>
      <c r="U58" s="29"/>
      <c r="V58" s="26"/>
      <c r="W58" s="26"/>
    </row>
    <row r="59" spans="1:23" x14ac:dyDescent="0.3">
      <c r="A59" s="47" t="s">
        <v>679</v>
      </c>
      <c r="B59" s="2174"/>
      <c r="C59" s="2174"/>
      <c r="D59" s="2181">
        <f>E59*(1-25%)</f>
        <v>1743.5650807453417</v>
      </c>
      <c r="E59" s="427">
        <f>RECIFE!T143</f>
        <v>2324.7534409937889</v>
      </c>
      <c r="F59" s="427">
        <f>E59*(1+5%)</f>
        <v>2440.9911130434784</v>
      </c>
      <c r="G59" s="427"/>
    </row>
    <row r="60" spans="1:23" x14ac:dyDescent="0.3">
      <c r="A60" s="47" t="s">
        <v>568</v>
      </c>
      <c r="B60" s="2174"/>
      <c r="C60" s="2174"/>
      <c r="D60" s="2181">
        <f>E60*(1-25%)</f>
        <v>1703.3267213114752</v>
      </c>
      <c r="E60" s="427">
        <f>RECIFE!T175</f>
        <v>2271.102295081967</v>
      </c>
      <c r="F60" s="427">
        <f>E60*(1+5%)</f>
        <v>2384.6574098360657</v>
      </c>
      <c r="G60" s="427"/>
    </row>
    <row r="61" spans="1:23" x14ac:dyDescent="0.3">
      <c r="A61" s="47"/>
      <c r="B61" s="47"/>
      <c r="C61" s="47"/>
      <c r="D61" s="48"/>
    </row>
    <row r="62" spans="1:23" x14ac:dyDescent="0.3">
      <c r="A62" s="47"/>
      <c r="B62" s="46"/>
      <c r="C62" s="46"/>
      <c r="D62" s="2314" t="s">
        <v>1163</v>
      </c>
      <c r="E62" s="2315"/>
      <c r="F62" s="2315"/>
      <c r="G62" s="2316"/>
    </row>
    <row r="63" spans="1:23" x14ac:dyDescent="0.3">
      <c r="A63" s="47" t="s">
        <v>1161</v>
      </c>
      <c r="B63" s="2175"/>
      <c r="C63" s="2175"/>
      <c r="D63" s="3">
        <v>0.59398496240601506</v>
      </c>
      <c r="E63" s="3">
        <v>0.14285714285714285</v>
      </c>
      <c r="F63" s="3">
        <v>0.15037593984962405</v>
      </c>
      <c r="G63" s="3">
        <v>0.11278195488721804</v>
      </c>
    </row>
    <row r="64" spans="1:23" x14ac:dyDescent="0.3">
      <c r="A64" s="47" t="s">
        <v>1162</v>
      </c>
      <c r="B64" s="2175"/>
      <c r="C64" s="2175"/>
      <c r="D64" s="2175">
        <v>0.56930693069306926</v>
      </c>
      <c r="E64" s="304">
        <v>0.14851485148514851</v>
      </c>
      <c r="F64" s="304">
        <v>7.4257425742574254E-2</v>
      </c>
      <c r="G64" s="304">
        <v>0.20792079207920791</v>
      </c>
    </row>
    <row r="65" spans="1:7" x14ac:dyDescent="0.3">
      <c r="A65" s="47" t="s">
        <v>550</v>
      </c>
      <c r="B65" s="2175"/>
      <c r="C65" s="2175"/>
      <c r="D65" s="2175">
        <v>0.51127819548872178</v>
      </c>
      <c r="E65" s="304">
        <v>0.26315789473684209</v>
      </c>
      <c r="F65" s="304">
        <v>0.22556390977443608</v>
      </c>
      <c r="G65" s="304"/>
    </row>
    <row r="66" spans="1:7" x14ac:dyDescent="0.3">
      <c r="A66" s="47" t="s">
        <v>679</v>
      </c>
      <c r="B66" s="2175"/>
      <c r="C66" s="2175"/>
      <c r="D66" s="2175">
        <v>0.57763975155279501</v>
      </c>
      <c r="E66" s="304">
        <v>0.21739130434782608</v>
      </c>
      <c r="F66" s="304">
        <v>0.20496894409937888</v>
      </c>
      <c r="G66" s="304"/>
    </row>
    <row r="67" spans="1:7" x14ac:dyDescent="0.3">
      <c r="A67" s="47" t="s">
        <v>568</v>
      </c>
      <c r="B67" s="47"/>
      <c r="C67" s="47"/>
      <c r="D67" s="2175">
        <v>0.60655737704918034</v>
      </c>
      <c r="E67" s="3">
        <v>0.22950819672131148</v>
      </c>
      <c r="F67" s="304">
        <v>0.16393442622950818</v>
      </c>
    </row>
    <row r="68" spans="1:7" x14ac:dyDescent="0.3">
      <c r="A68" s="47"/>
      <c r="B68" s="47"/>
      <c r="C68" s="47"/>
      <c r="D68" s="48"/>
    </row>
    <row r="69" spans="1:7" x14ac:dyDescent="0.3">
      <c r="A69" s="47"/>
      <c r="B69" s="47"/>
      <c r="C69" s="47"/>
      <c r="D69" s="48"/>
    </row>
    <row r="70" spans="1:7" x14ac:dyDescent="0.3">
      <c r="A70" s="47"/>
      <c r="B70" s="47"/>
      <c r="C70" s="47"/>
      <c r="D70" s="48"/>
    </row>
    <row r="71" spans="1:7" x14ac:dyDescent="0.3">
      <c r="A71" s="47"/>
      <c r="B71" s="46"/>
      <c r="C71" s="46"/>
      <c r="D71" s="2314" t="s">
        <v>1164</v>
      </c>
      <c r="E71" s="2315"/>
      <c r="F71" s="2315"/>
      <c r="G71" s="2316"/>
    </row>
    <row r="72" spans="1:7" x14ac:dyDescent="0.3">
      <c r="A72" s="47" t="s">
        <v>1161</v>
      </c>
      <c r="B72" s="2175"/>
      <c r="C72" s="2175"/>
      <c r="D72" s="2175">
        <v>0.38725490196078433</v>
      </c>
      <c r="E72" s="2175">
        <v>0.23529411764705882</v>
      </c>
      <c r="F72" s="2175">
        <v>0.16176470588235295</v>
      </c>
      <c r="G72" s="2175">
        <v>0.21568627450980393</v>
      </c>
    </row>
    <row r="73" spans="1:7" x14ac:dyDescent="0.3">
      <c r="A73" s="47" t="s">
        <v>1162</v>
      </c>
      <c r="B73" s="6"/>
      <c r="C73" s="6"/>
      <c r="D73" s="6">
        <v>0.32303370786516855</v>
      </c>
      <c r="E73" s="2175">
        <v>0.26685393258426965</v>
      </c>
      <c r="F73" s="2175">
        <v>0.17134831460674158</v>
      </c>
      <c r="G73" s="2175">
        <v>0.23876404494382023</v>
      </c>
    </row>
    <row r="74" spans="1:7" x14ac:dyDescent="0.3">
      <c r="A74" s="47" t="s">
        <v>550</v>
      </c>
      <c r="B74" s="2175"/>
      <c r="C74" s="2175"/>
      <c r="D74" s="2175">
        <v>0.42236024844720499</v>
      </c>
      <c r="E74" s="2175">
        <v>0.32919254658385094</v>
      </c>
      <c r="F74" s="2175">
        <v>0.2484472049689441</v>
      </c>
      <c r="G74" s="2175"/>
    </row>
    <row r="75" spans="1:7" x14ac:dyDescent="0.3">
      <c r="A75" s="47" t="s">
        <v>679</v>
      </c>
      <c r="B75" s="2175"/>
      <c r="C75" s="2175"/>
      <c r="D75" s="6">
        <v>0.40873015873015872</v>
      </c>
      <c r="E75" s="6">
        <v>0.32539682539682541</v>
      </c>
      <c r="F75" s="6">
        <v>0.26587301587301587</v>
      </c>
      <c r="G75" s="2200"/>
    </row>
    <row r="76" spans="1:7" x14ac:dyDescent="0.3">
      <c r="A76" s="47" t="s">
        <v>568</v>
      </c>
      <c r="B76" s="47"/>
      <c r="C76" s="47"/>
      <c r="D76" s="6">
        <v>0.46540880503144655</v>
      </c>
      <c r="E76" s="2175">
        <v>0.33333333333333331</v>
      </c>
      <c r="F76" s="2175">
        <v>0.20125786163522014</v>
      </c>
      <c r="G76" s="2175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H202"/>
  <sheetViews>
    <sheetView workbookViewId="0"/>
  </sheetViews>
  <sheetFormatPr defaultRowHeight="14.4" x14ac:dyDescent="0.3"/>
  <sheetData>
    <row r="1" spans="1:15" ht="20.399999999999999" x14ac:dyDescent="0.35">
      <c r="A1" s="849" t="s">
        <v>1125</v>
      </c>
      <c r="B1" s="1681"/>
      <c r="C1" s="1681"/>
    </row>
    <row r="2" spans="1:15" x14ac:dyDescent="0.3">
      <c r="A2" s="850" t="s">
        <v>854</v>
      </c>
      <c r="B2" s="1681"/>
      <c r="C2" s="1681"/>
    </row>
    <row r="3" spans="1:15" x14ac:dyDescent="0.3">
      <c r="A3" s="1918" t="s">
        <v>1126</v>
      </c>
      <c r="D3" s="860"/>
      <c r="O3" s="1919"/>
    </row>
    <row r="4" spans="1:15" x14ac:dyDescent="0.3">
      <c r="B4" s="1775"/>
    </row>
    <row r="5" spans="1:15" x14ac:dyDescent="0.3">
      <c r="B5" s="851"/>
    </row>
    <row r="6" spans="1:15" x14ac:dyDescent="0.3">
      <c r="B6" s="851"/>
    </row>
    <row r="7" spans="1:15" x14ac:dyDescent="0.3">
      <c r="B7" s="851"/>
    </row>
    <row r="8" spans="1:15" x14ac:dyDescent="0.3">
      <c r="A8" s="1682" t="s">
        <v>1127</v>
      </c>
      <c r="B8" s="1683">
        <f>(2377300+36562)*1.25</f>
        <v>3017327.5</v>
      </c>
      <c r="C8" s="1684"/>
    </row>
    <row r="9" spans="1:15" x14ac:dyDescent="0.3">
      <c r="A9" s="1682" t="s">
        <v>1128</v>
      </c>
      <c r="B9" s="1683">
        <v>2262995.63</v>
      </c>
      <c r="C9" s="860"/>
    </row>
    <row r="10" spans="1:15" x14ac:dyDescent="0.3">
      <c r="A10" s="1681"/>
      <c r="B10" s="1685"/>
    </row>
    <row r="11" spans="1:15" x14ac:dyDescent="0.3">
      <c r="A11" s="854" t="s">
        <v>1129</v>
      </c>
      <c r="B11" s="1920">
        <v>1767000</v>
      </c>
      <c r="C11" s="1919"/>
    </row>
    <row r="12" spans="1:15" x14ac:dyDescent="0.3">
      <c r="A12" s="854" t="s">
        <v>1130</v>
      </c>
      <c r="B12" s="1920">
        <f>2131000*1.25</f>
        <v>2663750</v>
      </c>
      <c r="C12" s="863"/>
    </row>
    <row r="13" spans="1:15" x14ac:dyDescent="0.3">
      <c r="A13" s="1681"/>
      <c r="B13" s="863"/>
      <c r="C13" s="1921"/>
    </row>
    <row r="14" spans="1:15" x14ac:dyDescent="0.3">
      <c r="A14" s="1681"/>
      <c r="B14" s="1922"/>
      <c r="C14" s="1922"/>
    </row>
    <row r="15" spans="1:15" x14ac:dyDescent="0.3">
      <c r="G15" s="860"/>
    </row>
    <row r="16" spans="1:15" ht="17.399999999999999" x14ac:dyDescent="0.3">
      <c r="A16" s="852" t="s">
        <v>457</v>
      </c>
    </row>
    <row r="17" spans="1:33" x14ac:dyDescent="0.3">
      <c r="A17" s="2961" t="s">
        <v>458</v>
      </c>
      <c r="B17" s="2962"/>
      <c r="C17" s="1923" t="s">
        <v>459</v>
      </c>
      <c r="D17" s="1923" t="s">
        <v>856</v>
      </c>
      <c r="E17" s="1923" t="s">
        <v>461</v>
      </c>
    </row>
    <row r="18" spans="1:33" x14ac:dyDescent="0.3">
      <c r="A18" s="854" t="s">
        <v>1131</v>
      </c>
      <c r="B18" s="855" t="s">
        <v>858</v>
      </c>
      <c r="C18" s="856">
        <v>0.35</v>
      </c>
      <c r="D18" s="857">
        <f>B9*C18</f>
        <v>792048.47049999994</v>
      </c>
      <c r="E18" s="858">
        <f>D18/3</f>
        <v>264016.15683333331</v>
      </c>
      <c r="H18" s="850"/>
    </row>
    <row r="19" spans="1:33" x14ac:dyDescent="0.3">
      <c r="A19" s="854" t="s">
        <v>1132</v>
      </c>
      <c r="B19" s="855" t="s">
        <v>859</v>
      </c>
      <c r="C19" s="856">
        <v>0.45</v>
      </c>
      <c r="D19" s="857">
        <f>B9*C19</f>
        <v>1018348.0335</v>
      </c>
      <c r="E19" s="857">
        <f>D19/5</f>
        <v>203669.6067</v>
      </c>
    </row>
    <row r="20" spans="1:33" x14ac:dyDescent="0.3">
      <c r="A20" s="854" t="s">
        <v>1133</v>
      </c>
      <c r="B20" s="855" t="s">
        <v>858</v>
      </c>
      <c r="C20" s="856">
        <v>0.2</v>
      </c>
      <c r="D20" s="857">
        <f>B9*C20</f>
        <v>452599.12599999999</v>
      </c>
      <c r="E20" s="857">
        <f>D20/3</f>
        <v>150866.37533333333</v>
      </c>
      <c r="G20" s="863"/>
      <c r="H20" s="863"/>
      <c r="I20" s="863"/>
      <c r="J20" s="863"/>
      <c r="K20" s="863"/>
      <c r="L20" s="863"/>
      <c r="M20" s="863"/>
      <c r="N20" s="1813"/>
      <c r="P20" s="1813"/>
    </row>
    <row r="21" spans="1:33" x14ac:dyDescent="0.3">
      <c r="A21" s="854"/>
      <c r="B21" s="855"/>
      <c r="C21" s="856"/>
      <c r="D21" s="1920"/>
      <c r="E21" s="1920"/>
      <c r="G21" s="863"/>
      <c r="H21" s="863"/>
      <c r="I21" s="863"/>
      <c r="J21" s="863"/>
      <c r="K21" s="863"/>
      <c r="L21" s="863"/>
      <c r="M21" s="863"/>
      <c r="N21" s="1813"/>
      <c r="P21" s="1813"/>
    </row>
    <row r="22" spans="1:33" x14ac:dyDescent="0.3">
      <c r="A22" s="1681"/>
      <c r="B22" s="10">
        <v>11</v>
      </c>
      <c r="C22" s="859">
        <f>SUM(C16:C19)</f>
        <v>0.8</v>
      </c>
      <c r="D22" s="860">
        <f>SUM(D16:D19)</f>
        <v>1810396.504</v>
      </c>
      <c r="E22" s="1818"/>
      <c r="G22" s="863"/>
      <c r="H22" s="863"/>
      <c r="I22" s="863"/>
      <c r="J22" s="863"/>
      <c r="K22" s="863"/>
      <c r="L22" s="863"/>
      <c r="M22" s="863"/>
      <c r="N22" s="1813"/>
      <c r="P22" s="1813"/>
    </row>
    <row r="23" spans="1:33" x14ac:dyDescent="0.3">
      <c r="A23" s="1681"/>
      <c r="B23" s="863"/>
      <c r="C23" s="862"/>
      <c r="D23" s="1818"/>
      <c r="E23" s="1818"/>
      <c r="G23" s="863"/>
      <c r="H23" s="863"/>
      <c r="I23" s="863"/>
      <c r="J23" s="863"/>
      <c r="K23" s="863"/>
      <c r="L23" s="863"/>
      <c r="M23" s="863"/>
      <c r="N23" s="1813"/>
      <c r="P23" s="1813"/>
    </row>
    <row r="24" spans="1:33" x14ac:dyDescent="0.3">
      <c r="A24" s="100" t="s">
        <v>769</v>
      </c>
      <c r="B24" s="769">
        <v>2428708</v>
      </c>
      <c r="C24" s="859"/>
      <c r="D24" s="860"/>
      <c r="G24" s="1681"/>
      <c r="H24" s="863" t="s">
        <v>1134</v>
      </c>
      <c r="I24" s="862">
        <v>0.68</v>
      </c>
      <c r="J24" s="862"/>
      <c r="K24" s="862"/>
      <c r="L24" s="863"/>
      <c r="M24" s="863" t="s">
        <v>1134</v>
      </c>
      <c r="N24" s="863"/>
      <c r="O24" s="1917">
        <v>0.89</v>
      </c>
      <c r="P24" s="1917"/>
    </row>
    <row r="25" spans="1:33" x14ac:dyDescent="0.3">
      <c r="A25" s="714" t="s">
        <v>579</v>
      </c>
      <c r="B25" s="770">
        <v>1124427</v>
      </c>
      <c r="C25" s="1687"/>
      <c r="D25" s="1687"/>
      <c r="E25" s="1687"/>
      <c r="F25" s="1687"/>
      <c r="G25" s="1688"/>
      <c r="H25" s="863" t="s">
        <v>861</v>
      </c>
      <c r="I25" s="863">
        <v>45</v>
      </c>
      <c r="J25" s="863"/>
      <c r="K25" s="863"/>
      <c r="L25" s="1688"/>
      <c r="M25" s="863" t="s">
        <v>861</v>
      </c>
      <c r="N25" s="863"/>
      <c r="O25" s="2963">
        <v>75</v>
      </c>
      <c r="P25" s="2963"/>
      <c r="Q25" s="1689"/>
      <c r="R25" s="1924"/>
      <c r="S25" s="1689"/>
      <c r="T25" s="1690"/>
      <c r="U25" s="1690"/>
      <c r="V25" s="1690"/>
      <c r="W25" s="1690"/>
      <c r="X25" s="1690"/>
      <c r="Y25" s="1687"/>
      <c r="Z25" s="1687"/>
      <c r="AA25" s="1687"/>
      <c r="AB25" s="1687"/>
      <c r="AC25" s="1687"/>
      <c r="AD25" s="1687"/>
      <c r="AE25" s="1687"/>
    </row>
    <row r="26" spans="1:33" x14ac:dyDescent="0.3">
      <c r="C26" s="859"/>
      <c r="G26" s="863"/>
      <c r="H26" s="863" t="s">
        <v>475</v>
      </c>
      <c r="I26" s="974">
        <v>10842</v>
      </c>
      <c r="J26" s="863"/>
      <c r="K26" s="863"/>
      <c r="L26" s="863"/>
      <c r="M26" s="863" t="s">
        <v>475</v>
      </c>
      <c r="N26" s="863"/>
      <c r="O26" s="2959">
        <v>23156</v>
      </c>
      <c r="P26" s="2959"/>
    </row>
    <row r="27" spans="1:33" ht="18" x14ac:dyDescent="0.35">
      <c r="A27" s="1037" t="s">
        <v>479</v>
      </c>
      <c r="G27" s="863"/>
      <c r="H27" s="863" t="s">
        <v>477</v>
      </c>
      <c r="I27" s="974">
        <v>121912796</v>
      </c>
      <c r="J27" s="974"/>
      <c r="K27" s="974"/>
      <c r="L27" s="863"/>
      <c r="M27" s="863" t="s">
        <v>477</v>
      </c>
      <c r="N27" s="863"/>
      <c r="O27" s="2960">
        <v>260371449</v>
      </c>
      <c r="P27" s="2960"/>
    </row>
    <row r="28" spans="1:33" x14ac:dyDescent="0.3">
      <c r="J28" s="863"/>
    </row>
    <row r="29" spans="1:33" x14ac:dyDescent="0.3">
      <c r="A29" s="2587" t="s">
        <v>480</v>
      </c>
      <c r="B29" s="2588"/>
      <c r="C29" s="2588"/>
      <c r="D29" s="2588"/>
      <c r="E29" s="2588"/>
      <c r="F29" s="2588"/>
      <c r="G29" s="2588"/>
      <c r="H29" s="2588"/>
      <c r="I29" s="2588"/>
      <c r="J29" s="2588"/>
      <c r="K29" s="2588"/>
      <c r="L29" s="2588"/>
      <c r="M29" s="2588"/>
      <c r="N29" s="2588"/>
      <c r="O29" s="2588"/>
      <c r="P29" s="2588"/>
      <c r="Q29" s="2588"/>
      <c r="R29" s="2588"/>
      <c r="S29" s="2587" t="s">
        <v>878</v>
      </c>
      <c r="T29" s="2588"/>
      <c r="U29" s="2588"/>
      <c r="V29" s="2588"/>
      <c r="W29" s="2588"/>
      <c r="X29" s="2588"/>
      <c r="Y29" s="2588"/>
      <c r="Z29" s="2588"/>
      <c r="AA29" s="2588"/>
      <c r="AB29" s="2588"/>
      <c r="AC29" s="2588"/>
      <c r="AD29" s="2588"/>
      <c r="AE29" s="2588"/>
      <c r="AF29" s="2588"/>
      <c r="AG29" s="2589"/>
    </row>
    <row r="30" spans="1:33" ht="18" x14ac:dyDescent="0.3">
      <c r="A30" s="2284" t="s">
        <v>482</v>
      </c>
      <c r="B30" s="2286" t="s">
        <v>483</v>
      </c>
      <c r="C30" s="2286" t="s">
        <v>484</v>
      </c>
      <c r="D30" s="2286" t="s">
        <v>485</v>
      </c>
      <c r="E30" s="2286" t="s">
        <v>486</v>
      </c>
      <c r="F30" s="2288" t="s">
        <v>487</v>
      </c>
      <c r="G30" s="2288" t="s">
        <v>1135</v>
      </c>
      <c r="H30" s="2286" t="s">
        <v>489</v>
      </c>
      <c r="I30" s="2945" t="s">
        <v>490</v>
      </c>
      <c r="J30" s="2946"/>
      <c r="K30" s="2946"/>
      <c r="L30" s="2947"/>
      <c r="M30" s="265" t="s">
        <v>491</v>
      </c>
      <c r="N30" s="266" t="s">
        <v>492</v>
      </c>
      <c r="O30" s="1925" t="s">
        <v>493</v>
      </c>
      <c r="P30" s="266" t="s">
        <v>492</v>
      </c>
      <c r="Q30" s="266" t="s">
        <v>494</v>
      </c>
      <c r="R30" s="1926" t="s">
        <v>495</v>
      </c>
      <c r="S30" s="1927" t="s">
        <v>496</v>
      </c>
      <c r="T30" s="2948" t="s">
        <v>497</v>
      </c>
      <c r="U30" s="2948"/>
      <c r="V30" s="2948"/>
      <c r="W30" s="2948"/>
      <c r="X30" s="2948"/>
      <c r="Y30" s="2950" t="s">
        <v>498</v>
      </c>
      <c r="Z30" s="2951"/>
      <c r="AA30" s="2948" t="s">
        <v>499</v>
      </c>
      <c r="AB30" s="2948"/>
      <c r="AC30" s="2948"/>
      <c r="AD30" s="2948"/>
      <c r="AE30" s="2948"/>
      <c r="AF30" s="2948"/>
      <c r="AG30" s="2954"/>
    </row>
    <row r="31" spans="1:33" ht="18" x14ac:dyDescent="0.3">
      <c r="A31" s="2285"/>
      <c r="B31" s="2287"/>
      <c r="C31" s="2287"/>
      <c r="D31" s="2287"/>
      <c r="E31" s="2287"/>
      <c r="F31" s="2289"/>
      <c r="G31" s="2289"/>
      <c r="H31" s="2287"/>
      <c r="I31" s="269" t="s">
        <v>500</v>
      </c>
      <c r="J31" s="269" t="s">
        <v>501</v>
      </c>
      <c r="K31" s="269" t="s">
        <v>502</v>
      </c>
      <c r="L31" s="269" t="s">
        <v>503</v>
      </c>
      <c r="M31" s="270" t="s">
        <v>504</v>
      </c>
      <c r="N31" s="271" t="s">
        <v>505</v>
      </c>
      <c r="O31" s="1928" t="s">
        <v>506</v>
      </c>
      <c r="P31" s="271" t="s">
        <v>507</v>
      </c>
      <c r="Q31" s="271" t="s">
        <v>507</v>
      </c>
      <c r="R31" s="1929"/>
      <c r="S31" s="1930" t="s">
        <v>508</v>
      </c>
      <c r="T31" s="2949"/>
      <c r="U31" s="2949"/>
      <c r="V31" s="2949"/>
      <c r="W31" s="2949"/>
      <c r="X31" s="2949"/>
      <c r="Y31" s="2952"/>
      <c r="Z31" s="2953"/>
      <c r="AA31" s="2949"/>
      <c r="AB31" s="2949"/>
      <c r="AC31" s="2949"/>
      <c r="AD31" s="2949"/>
      <c r="AE31" s="2949"/>
      <c r="AF31" s="2949"/>
      <c r="AG31" s="2955"/>
    </row>
    <row r="32" spans="1:33" ht="15.6" x14ac:dyDescent="0.3">
      <c r="A32" s="2943" t="s">
        <v>509</v>
      </c>
      <c r="B32" s="2944"/>
      <c r="C32" s="2944"/>
      <c r="D32" s="2944"/>
      <c r="E32" s="2944"/>
      <c r="F32" s="2944"/>
      <c r="G32" s="2944"/>
      <c r="H32" s="2944"/>
      <c r="I32" s="2944"/>
      <c r="J32" s="2944"/>
      <c r="K32" s="2944"/>
      <c r="L32" s="2944"/>
      <c r="M32" s="2944"/>
      <c r="N32" s="2944"/>
      <c r="O32" s="2944"/>
      <c r="P32" s="2944"/>
      <c r="Q32" s="2944"/>
      <c r="R32" s="2944"/>
      <c r="S32" s="1931"/>
      <c r="T32" s="1932" t="s">
        <v>510</v>
      </c>
      <c r="U32" s="1932" t="s">
        <v>11</v>
      </c>
      <c r="V32" s="1932" t="s">
        <v>511</v>
      </c>
      <c r="W32" s="1932" t="s">
        <v>512</v>
      </c>
      <c r="X32" s="1932" t="s">
        <v>513</v>
      </c>
      <c r="Y32" s="1933" t="s">
        <v>514</v>
      </c>
      <c r="Z32" s="1934" t="s">
        <v>515</v>
      </c>
      <c r="AA32" s="1935" t="s">
        <v>1</v>
      </c>
      <c r="AB32" s="1935" t="s">
        <v>0</v>
      </c>
      <c r="AC32" s="1935" t="s">
        <v>264</v>
      </c>
      <c r="AD32" s="1935" t="s">
        <v>265</v>
      </c>
      <c r="AE32" s="1935"/>
      <c r="AF32" s="1935"/>
      <c r="AG32" s="1936"/>
    </row>
    <row r="33" spans="1:33" x14ac:dyDescent="0.3">
      <c r="A33" s="1937"/>
      <c r="B33" s="1938"/>
      <c r="C33" s="1938"/>
      <c r="D33" s="1938"/>
      <c r="E33" s="1938"/>
      <c r="F33" s="1938"/>
      <c r="G33" s="1938"/>
      <c r="H33" s="1938"/>
      <c r="J33" s="863"/>
      <c r="K33" s="1939"/>
      <c r="L33" s="1940"/>
      <c r="M33" s="1938"/>
      <c r="N33" s="1941"/>
      <c r="O33" s="1942"/>
      <c r="P33" s="1941"/>
      <c r="Q33" s="1941"/>
      <c r="R33" s="1943"/>
      <c r="S33" s="1944"/>
      <c r="Y33" s="1945"/>
      <c r="Z33" s="1946"/>
      <c r="AG33" s="1947"/>
    </row>
    <row r="34" spans="1:33" x14ac:dyDescent="0.3">
      <c r="A34" s="1948" t="s">
        <v>1136</v>
      </c>
      <c r="B34" s="1948" t="s">
        <v>266</v>
      </c>
      <c r="C34" s="1948" t="s">
        <v>1137</v>
      </c>
      <c r="D34" s="1948" t="s">
        <v>267</v>
      </c>
      <c r="E34" s="1948" t="s">
        <v>518</v>
      </c>
      <c r="F34" s="158" t="s">
        <v>911</v>
      </c>
      <c r="G34" s="1949">
        <v>7</v>
      </c>
      <c r="H34" s="1950" t="s">
        <v>22</v>
      </c>
      <c r="I34" s="1801"/>
      <c r="J34" s="1951">
        <v>7</v>
      </c>
      <c r="K34" s="1951">
        <v>7</v>
      </c>
      <c r="M34" s="1804">
        <v>2</v>
      </c>
      <c r="N34" s="1952">
        <v>3289</v>
      </c>
      <c r="O34" s="898">
        <v>0.61</v>
      </c>
      <c r="P34" s="1952">
        <f>N34*(1-O34)</f>
        <v>1282.71</v>
      </c>
      <c r="Q34" s="1952">
        <f>P34*G34*M34</f>
        <v>17957.940000000002</v>
      </c>
      <c r="R34" s="1953">
        <f>Q34/$Q$45</f>
        <v>6.0155643449295533E-2</v>
      </c>
      <c r="S34" s="1954">
        <f>Q34*2</f>
        <v>35915.880000000005</v>
      </c>
      <c r="U34" s="860">
        <f>S34</f>
        <v>35915.880000000005</v>
      </c>
      <c r="Y34" s="1945"/>
      <c r="Z34" s="1955">
        <f>S34</f>
        <v>35915.880000000005</v>
      </c>
      <c r="AA34" s="860">
        <f>S34</f>
        <v>35915.880000000005</v>
      </c>
      <c r="AG34" s="1947"/>
    </row>
    <row r="35" spans="1:33" x14ac:dyDescent="0.3">
      <c r="A35" s="1948" t="s">
        <v>1136</v>
      </c>
      <c r="B35" s="1948" t="s">
        <v>157</v>
      </c>
      <c r="C35" s="1948" t="s">
        <v>1137</v>
      </c>
      <c r="D35" s="1948" t="s">
        <v>268</v>
      </c>
      <c r="E35" s="1948" t="s">
        <v>518</v>
      </c>
      <c r="F35" s="158" t="s">
        <v>802</v>
      </c>
      <c r="G35" s="1949">
        <v>13</v>
      </c>
      <c r="H35" s="1950" t="s">
        <v>22</v>
      </c>
      <c r="I35" s="1951">
        <v>13</v>
      </c>
      <c r="M35" s="1804">
        <v>1</v>
      </c>
      <c r="N35" s="1952">
        <v>3255</v>
      </c>
      <c r="O35" s="898">
        <v>0.43</v>
      </c>
      <c r="P35" s="1952">
        <f>N35*(1-O35)</f>
        <v>1855.3500000000001</v>
      </c>
      <c r="Q35" s="1952">
        <f>P35*G35*M35</f>
        <v>24119.550000000003</v>
      </c>
      <c r="R35" s="1953">
        <f t="shared" ref="R35:R43" si="0">Q35/$Q$45</f>
        <v>8.0795851303515659E-2</v>
      </c>
      <c r="S35" s="1954">
        <f t="shared" ref="S35:S43" si="1">Q35*2</f>
        <v>48239.100000000006</v>
      </c>
      <c r="U35" s="860">
        <f>S35</f>
        <v>48239.100000000006</v>
      </c>
      <c r="Y35" s="1945"/>
      <c r="Z35" s="1955">
        <f>S35</f>
        <v>48239.100000000006</v>
      </c>
      <c r="AB35" s="860">
        <f>S35</f>
        <v>48239.100000000006</v>
      </c>
      <c r="AG35" s="1947"/>
    </row>
    <row r="36" spans="1:33" x14ac:dyDescent="0.3">
      <c r="A36" s="1948" t="s">
        <v>1136</v>
      </c>
      <c r="B36" s="1956" t="s">
        <v>157</v>
      </c>
      <c r="C36" s="1956" t="s">
        <v>1137</v>
      </c>
      <c r="D36" s="1956" t="s">
        <v>268</v>
      </c>
      <c r="E36" s="1956" t="s">
        <v>520</v>
      </c>
      <c r="F36" s="158" t="s">
        <v>1138</v>
      </c>
      <c r="G36" s="1956">
        <v>10</v>
      </c>
      <c r="H36" s="1956" t="s">
        <v>22</v>
      </c>
      <c r="I36" s="1951">
        <v>10</v>
      </c>
      <c r="J36" s="1957">
        <v>10</v>
      </c>
      <c r="M36" s="1804">
        <f t="shared" ref="M36" si="2">COUNT(I36:L36)</f>
        <v>2</v>
      </c>
      <c r="N36" s="1952">
        <v>2082.02</v>
      </c>
      <c r="O36" s="898">
        <v>0.7</v>
      </c>
      <c r="P36" s="1952">
        <f t="shared" ref="P36:P38" si="3">N36*(1-O36)</f>
        <v>624.60600000000011</v>
      </c>
      <c r="Q36" s="1952">
        <f t="shared" ref="Q36" si="4">P36*G36*M36</f>
        <v>12492.120000000003</v>
      </c>
      <c r="R36" s="1958">
        <f t="shared" si="0"/>
        <v>4.1846198207913257E-2</v>
      </c>
      <c r="S36" s="1954">
        <f t="shared" si="1"/>
        <v>24984.240000000005</v>
      </c>
      <c r="U36" s="860">
        <f>S36</f>
        <v>24984.240000000005</v>
      </c>
      <c r="Y36" s="1959">
        <f>S36</f>
        <v>24984.240000000005</v>
      </c>
      <c r="Z36" s="1946"/>
      <c r="AB36" s="860">
        <f>S36</f>
        <v>24984.240000000005</v>
      </c>
      <c r="AG36" s="1947"/>
    </row>
    <row r="37" spans="1:33" x14ac:dyDescent="0.3">
      <c r="A37" s="1948" t="s">
        <v>1136</v>
      </c>
      <c r="B37" s="1956" t="s">
        <v>269</v>
      </c>
      <c r="C37" s="1956" t="s">
        <v>1075</v>
      </c>
      <c r="D37" s="1956" t="s">
        <v>102</v>
      </c>
      <c r="E37" s="1956" t="s">
        <v>518</v>
      </c>
      <c r="F37" s="158" t="s">
        <v>654</v>
      </c>
      <c r="G37" s="1956">
        <v>3</v>
      </c>
      <c r="H37" s="1956" t="s">
        <v>22</v>
      </c>
      <c r="K37" s="1951">
        <v>3</v>
      </c>
      <c r="L37" s="1951">
        <v>3</v>
      </c>
      <c r="M37" s="1804">
        <v>2</v>
      </c>
      <c r="N37" s="1952">
        <v>16500</v>
      </c>
      <c r="O37" s="898">
        <v>0.25</v>
      </c>
      <c r="P37" s="1952">
        <f t="shared" si="3"/>
        <v>12375</v>
      </c>
      <c r="Q37" s="1952">
        <f>P37*G37*M37</f>
        <v>74250</v>
      </c>
      <c r="R37" s="1953">
        <f t="shared" si="0"/>
        <v>0.24872321246814461</v>
      </c>
      <c r="S37" s="1954">
        <f t="shared" si="1"/>
        <v>148500</v>
      </c>
      <c r="T37" s="860">
        <f>S37</f>
        <v>148500</v>
      </c>
      <c r="Y37" s="1945"/>
      <c r="Z37" s="1955">
        <f>S37</f>
        <v>148500</v>
      </c>
      <c r="AC37" s="860">
        <f>S37</f>
        <v>148500</v>
      </c>
      <c r="AG37" s="1947"/>
    </row>
    <row r="38" spans="1:33" x14ac:dyDescent="0.3">
      <c r="A38" s="1948" t="s">
        <v>1136</v>
      </c>
      <c r="B38" s="1956" t="s">
        <v>269</v>
      </c>
      <c r="C38" s="1956" t="s">
        <v>1075</v>
      </c>
      <c r="D38" s="1956" t="s">
        <v>27</v>
      </c>
      <c r="E38" s="1956" t="s">
        <v>520</v>
      </c>
      <c r="F38" s="158" t="s">
        <v>796</v>
      </c>
      <c r="G38" s="1956">
        <v>15</v>
      </c>
      <c r="H38" s="1956" t="s">
        <v>106</v>
      </c>
      <c r="I38" s="1957">
        <v>15</v>
      </c>
      <c r="J38" s="1951"/>
      <c r="K38" s="1960"/>
      <c r="L38" s="1960"/>
      <c r="M38" s="1804">
        <v>1</v>
      </c>
      <c r="N38" s="1952">
        <v>2100</v>
      </c>
      <c r="O38" s="898">
        <v>0.33</v>
      </c>
      <c r="P38" s="1952">
        <f t="shared" si="3"/>
        <v>1406.9999999999998</v>
      </c>
      <c r="Q38" s="1952">
        <f t="shared" ref="Q38:Q39" si="5">P38*G38*M38</f>
        <v>21104.999999999996</v>
      </c>
      <c r="R38" s="1958">
        <f t="shared" si="0"/>
        <v>7.069768887730897E-2</v>
      </c>
      <c r="S38" s="1954">
        <f t="shared" si="1"/>
        <v>42209.999999999993</v>
      </c>
      <c r="T38" s="860">
        <f>S38</f>
        <v>42209.999999999993</v>
      </c>
      <c r="Y38" s="1959">
        <f>S38</f>
        <v>42209.999999999993</v>
      </c>
      <c r="Z38" s="1946"/>
      <c r="AC38" s="860">
        <f>S38</f>
        <v>42209.999999999993</v>
      </c>
      <c r="AG38" s="1947"/>
    </row>
    <row r="39" spans="1:33" x14ac:dyDescent="0.3">
      <c r="A39" s="1948" t="s">
        <v>1136</v>
      </c>
      <c r="B39" s="1956" t="s">
        <v>270</v>
      </c>
      <c r="C39" s="1956" t="s">
        <v>517</v>
      </c>
      <c r="D39" s="1956" t="s">
        <v>271</v>
      </c>
      <c r="E39" s="1956" t="s">
        <v>524</v>
      </c>
      <c r="F39" s="158" t="s">
        <v>895</v>
      </c>
      <c r="G39" s="1956">
        <v>2</v>
      </c>
      <c r="H39" s="1956" t="s">
        <v>24</v>
      </c>
      <c r="I39" s="1957">
        <v>2</v>
      </c>
      <c r="J39" s="1951"/>
      <c r="K39" s="1951"/>
      <c r="L39" s="2956"/>
      <c r="M39" s="1804">
        <v>1</v>
      </c>
      <c r="N39" s="1961">
        <v>35000</v>
      </c>
      <c r="O39" s="910">
        <v>0.5</v>
      </c>
      <c r="P39" s="1961">
        <f>N39*(1-O39)</f>
        <v>17500</v>
      </c>
      <c r="Q39" s="1952">
        <f t="shared" si="5"/>
        <v>35000</v>
      </c>
      <c r="R39" s="1958">
        <f t="shared" si="0"/>
        <v>0.11724326513649913</v>
      </c>
      <c r="S39" s="1954">
        <f t="shared" si="1"/>
        <v>70000</v>
      </c>
      <c r="T39" s="860">
        <f>S39</f>
        <v>70000</v>
      </c>
      <c r="Y39" s="1959">
        <f>S39</f>
        <v>70000</v>
      </c>
      <c r="Z39" s="1946"/>
      <c r="AD39" s="860">
        <f>S39</f>
        <v>70000</v>
      </c>
      <c r="AG39" s="1947"/>
    </row>
    <row r="40" spans="1:33" x14ac:dyDescent="0.3">
      <c r="A40" s="1948" t="s">
        <v>1136</v>
      </c>
      <c r="B40" s="1956" t="s">
        <v>269</v>
      </c>
      <c r="C40" s="1956" t="s">
        <v>1075</v>
      </c>
      <c r="D40" s="1956" t="s">
        <v>26</v>
      </c>
      <c r="E40" s="1956" t="s">
        <v>520</v>
      </c>
      <c r="F40" s="158" t="s">
        <v>640</v>
      </c>
      <c r="G40" s="1956">
        <v>4</v>
      </c>
      <c r="H40" s="1956" t="s">
        <v>106</v>
      </c>
      <c r="I40" s="2957">
        <v>4</v>
      </c>
      <c r="J40" s="2958"/>
      <c r="K40" s="2957" t="s">
        <v>1139</v>
      </c>
      <c r="L40" s="2958"/>
      <c r="M40" s="1804">
        <v>1</v>
      </c>
      <c r="N40" s="1961">
        <v>16000</v>
      </c>
      <c r="O40" s="910">
        <v>0.35</v>
      </c>
      <c r="P40" s="1961">
        <f>N40*(1-O40)</f>
        <v>10400</v>
      </c>
      <c r="Q40" s="1952">
        <f>P40*G40*M40</f>
        <v>41600</v>
      </c>
      <c r="R40" s="1958">
        <f t="shared" si="0"/>
        <v>0.13935199513366756</v>
      </c>
      <c r="S40" s="1954">
        <f t="shared" si="1"/>
        <v>83200</v>
      </c>
      <c r="T40" s="860">
        <f>S40</f>
        <v>83200</v>
      </c>
      <c r="Y40" s="1959">
        <f>S40</f>
        <v>83200</v>
      </c>
      <c r="Z40" s="1946"/>
      <c r="AA40" s="1945"/>
      <c r="AC40" s="860">
        <f>S40</f>
        <v>83200</v>
      </c>
      <c r="AG40" s="1947"/>
    </row>
    <row r="41" spans="1:33" x14ac:dyDescent="0.3">
      <c r="A41" s="1948"/>
      <c r="B41" s="1956"/>
      <c r="C41" s="1956"/>
      <c r="D41" s="1956"/>
      <c r="E41" s="1956"/>
      <c r="G41" s="1956"/>
      <c r="H41" s="1956"/>
      <c r="I41" s="1962"/>
      <c r="J41" s="1963"/>
      <c r="K41" s="1964"/>
      <c r="L41" s="1964"/>
      <c r="M41" s="1964"/>
      <c r="N41" s="1961"/>
      <c r="O41" s="910"/>
      <c r="P41" s="1961"/>
      <c r="Q41" s="1961"/>
      <c r="R41" s="1965"/>
      <c r="S41" s="1966"/>
      <c r="Y41" s="1945"/>
      <c r="Z41" s="1946"/>
      <c r="AA41" s="1945"/>
      <c r="AG41" s="1947"/>
    </row>
    <row r="42" spans="1:33" x14ac:dyDescent="0.3">
      <c r="A42" s="1967" t="s">
        <v>1136</v>
      </c>
      <c r="B42" s="1968" t="s">
        <v>528</v>
      </c>
      <c r="C42" s="1968" t="s">
        <v>1118</v>
      </c>
      <c r="D42" s="1968"/>
      <c r="E42" s="1968"/>
      <c r="F42" s="1968"/>
      <c r="G42" s="1968"/>
      <c r="H42" s="1968"/>
      <c r="I42" s="1969"/>
      <c r="J42" s="1970"/>
      <c r="K42" s="1970"/>
      <c r="L42" s="1971"/>
      <c r="M42" s="1971"/>
      <c r="N42" s="1972"/>
      <c r="O42" s="922"/>
      <c r="P42" s="1973"/>
      <c r="Q42" s="1973">
        <v>47000</v>
      </c>
      <c r="R42" s="1953">
        <f t="shared" si="0"/>
        <v>0.1574409560404417</v>
      </c>
      <c r="S42" s="1954">
        <f t="shared" si="1"/>
        <v>94000</v>
      </c>
      <c r="T42" s="1974"/>
      <c r="U42" s="1975"/>
      <c r="V42" s="1976"/>
      <c r="W42" s="1976">
        <f>S42</f>
        <v>94000</v>
      </c>
      <c r="X42" s="1976"/>
      <c r="Y42" s="1977"/>
      <c r="Z42" s="1978"/>
      <c r="AA42" s="1977"/>
      <c r="AB42" s="1975"/>
      <c r="AC42" s="1975"/>
      <c r="AD42" s="1975"/>
      <c r="AE42" s="1975"/>
      <c r="AF42" s="1975"/>
      <c r="AG42" s="1978"/>
    </row>
    <row r="43" spans="1:33" x14ac:dyDescent="0.3">
      <c r="A43" s="1967" t="s">
        <v>1136</v>
      </c>
      <c r="B43" s="1968" t="s">
        <v>529</v>
      </c>
      <c r="C43" s="1968"/>
      <c r="D43" s="1968"/>
      <c r="E43" s="1968"/>
      <c r="F43" s="1968"/>
      <c r="G43" s="1968"/>
      <c r="H43" s="1968"/>
      <c r="I43" s="1969"/>
      <c r="J43" s="1979"/>
      <c r="K43" s="1979"/>
      <c r="L43" s="1979"/>
      <c r="M43" s="1979"/>
      <c r="N43" s="1980"/>
      <c r="O43" s="1710"/>
      <c r="P43" s="1980"/>
      <c r="Q43" s="1981">
        <v>25000</v>
      </c>
      <c r="R43" s="1953">
        <f t="shared" si="0"/>
        <v>8.3745189383213667E-2</v>
      </c>
      <c r="S43" s="1954">
        <f t="shared" si="1"/>
        <v>50000</v>
      </c>
      <c r="T43" s="1974"/>
      <c r="U43" s="1975"/>
      <c r="V43" s="1976"/>
      <c r="W43" s="1976"/>
      <c r="X43" s="1976">
        <f>S43</f>
        <v>50000</v>
      </c>
      <c r="Y43" s="1977"/>
      <c r="Z43" s="1978"/>
      <c r="AA43" s="1977"/>
      <c r="AB43" s="1975"/>
      <c r="AC43" s="1975"/>
      <c r="AD43" s="1975"/>
      <c r="AE43" s="1975"/>
      <c r="AF43" s="1975"/>
      <c r="AG43" s="1978"/>
    </row>
    <row r="44" spans="1:33" x14ac:dyDescent="0.3">
      <c r="A44" s="1982"/>
      <c r="B44" s="1983"/>
      <c r="C44" s="1983"/>
      <c r="D44" s="1983"/>
      <c r="E44" s="1983"/>
      <c r="F44" s="1983"/>
      <c r="G44" s="1983"/>
      <c r="H44" s="1983"/>
      <c r="I44" s="2005">
        <f>I45/$M$45</f>
        <v>0.59459459459459463</v>
      </c>
      <c r="J44" s="2005">
        <f t="shared" ref="J44:L44" si="6">J45/$M$45</f>
        <v>0.22972972972972974</v>
      </c>
      <c r="K44" s="2005">
        <f t="shared" si="6"/>
        <v>0.13513513513513514</v>
      </c>
      <c r="L44" s="2005">
        <f t="shared" si="6"/>
        <v>4.0540540540540543E-2</v>
      </c>
      <c r="M44" s="1984"/>
      <c r="N44" s="1892"/>
      <c r="O44" s="1985"/>
      <c r="P44" s="1986"/>
      <c r="Q44" s="1986"/>
      <c r="R44" s="1985"/>
      <c r="S44" s="1954"/>
      <c r="T44" s="9"/>
      <c r="U44" s="5"/>
      <c r="V44" s="99"/>
      <c r="W44" s="99"/>
      <c r="X44" s="99"/>
      <c r="Y44" s="206"/>
      <c r="Z44" s="186"/>
      <c r="AA44" s="206"/>
      <c r="AB44" s="5"/>
      <c r="AC44" s="5"/>
      <c r="AD44" s="5"/>
      <c r="AE44" s="5"/>
      <c r="AF44" s="5"/>
      <c r="AG44" s="186"/>
    </row>
    <row r="45" spans="1:33" x14ac:dyDescent="0.3">
      <c r="A45" s="938" t="s">
        <v>531</v>
      </c>
      <c r="B45" s="939"/>
      <c r="C45" s="939"/>
      <c r="D45" s="939"/>
      <c r="E45" s="939"/>
      <c r="F45" s="939"/>
      <c r="G45" s="939"/>
      <c r="H45" s="939"/>
      <c r="I45" s="941">
        <f>I40+I39+I38+I36+I35</f>
        <v>44</v>
      </c>
      <c r="J45" s="942">
        <f>J36+J34</f>
        <v>17</v>
      </c>
      <c r="K45" s="941">
        <f>+K37+K34</f>
        <v>10</v>
      </c>
      <c r="L45" s="941">
        <f>L37</f>
        <v>3</v>
      </c>
      <c r="M45" s="941">
        <f>SUM(I45:L45)</f>
        <v>74</v>
      </c>
      <c r="N45" s="1713"/>
      <c r="O45" s="1987"/>
      <c r="P45" s="1713"/>
      <c r="Q45" s="1713">
        <f>SUM(Q33:Q44)</f>
        <v>298524.61</v>
      </c>
      <c r="R45" s="1988">
        <f>SUM(R34:R44)</f>
        <v>1</v>
      </c>
      <c r="S45" s="1989">
        <f>SUM(S33:S44)</f>
        <v>597049.22</v>
      </c>
      <c r="T45" s="1990">
        <f>SUM(T33:T43)</f>
        <v>343910</v>
      </c>
      <c r="U45" s="616">
        <f>SUM(U33:U44)</f>
        <v>109139.22000000002</v>
      </c>
      <c r="V45" s="616">
        <f>SUM(V33:V44)</f>
        <v>0</v>
      </c>
      <c r="W45" s="616">
        <f>SUM(W33:W44)</f>
        <v>94000</v>
      </c>
      <c r="X45" s="616">
        <f t="shared" ref="X45:AD45" si="7">SUM(X33:X44)</f>
        <v>50000</v>
      </c>
      <c r="Y45" s="1657">
        <f t="shared" si="7"/>
        <v>220394.23999999999</v>
      </c>
      <c r="Z45" s="226">
        <f t="shared" si="7"/>
        <v>232654.98</v>
      </c>
      <c r="AA45" s="1717">
        <f t="shared" si="7"/>
        <v>35915.880000000005</v>
      </c>
      <c r="AB45" s="1657">
        <f t="shared" si="7"/>
        <v>73223.340000000011</v>
      </c>
      <c r="AC45" s="616">
        <f t="shared" si="7"/>
        <v>273910</v>
      </c>
      <c r="AD45" s="616">
        <f t="shared" si="7"/>
        <v>70000</v>
      </c>
      <c r="AE45" s="616"/>
      <c r="AF45" s="616"/>
      <c r="AG45" s="1717"/>
    </row>
    <row r="46" spans="1:33" x14ac:dyDescent="0.3">
      <c r="A46" s="948" t="s">
        <v>532</v>
      </c>
      <c r="B46" s="949"/>
      <c r="C46" s="949"/>
      <c r="D46" s="949"/>
      <c r="E46" s="949"/>
      <c r="F46" s="949"/>
      <c r="G46" s="949"/>
      <c r="H46" s="949"/>
      <c r="I46" s="951">
        <f>I40+I39+I38+I36+I35</f>
        <v>44</v>
      </c>
      <c r="J46" s="951">
        <f>I40+I39+I38+J36+J34</f>
        <v>38</v>
      </c>
      <c r="K46" s="951">
        <f>I40+I39+K37+K34</f>
        <v>16</v>
      </c>
      <c r="L46" s="951">
        <f>I40+I39+L37</f>
        <v>9</v>
      </c>
      <c r="M46" s="952">
        <f>I46+J46+K46+L50+L46</f>
        <v>107</v>
      </c>
      <c r="N46" s="1991"/>
      <c r="O46" s="1992"/>
      <c r="P46" s="1718"/>
      <c r="Q46" s="1718"/>
      <c r="R46" s="1993"/>
      <c r="S46" s="1994"/>
      <c r="T46" s="235">
        <f>T45/S45</f>
        <v>0.5760161616156203</v>
      </c>
      <c r="U46" s="236">
        <f>U45/S45</f>
        <v>0.18279769296072446</v>
      </c>
      <c r="V46" s="236">
        <f>V45/T45</f>
        <v>0</v>
      </c>
      <c r="W46" s="236">
        <f>W45/S45</f>
        <v>0.1574409560404417</v>
      </c>
      <c r="X46" s="236">
        <f>X45/T45</f>
        <v>0.14538687447297258</v>
      </c>
      <c r="Y46" s="1491">
        <f>Y45/S45</f>
        <v>0.36913914735538889</v>
      </c>
      <c r="Z46" s="272">
        <f>Z45/S45</f>
        <v>0.38967470722095576</v>
      </c>
      <c r="AA46" s="485"/>
      <c r="AB46" s="1722"/>
      <c r="AC46" s="1723"/>
      <c r="AD46" s="1723"/>
      <c r="AE46" s="1723"/>
      <c r="AF46" s="1723"/>
      <c r="AG46" s="1995"/>
    </row>
    <row r="47" spans="1:33" x14ac:dyDescent="0.3">
      <c r="A47" s="243" t="s">
        <v>533</v>
      </c>
      <c r="B47" s="1725"/>
      <c r="C47" s="1725"/>
      <c r="D47" s="1725"/>
      <c r="E47" s="1725"/>
      <c r="F47" s="1725"/>
      <c r="G47" s="1725"/>
      <c r="H47" s="1725"/>
      <c r="I47" s="2201">
        <f>I46/$M$46</f>
        <v>0.41121495327102803</v>
      </c>
      <c r="J47" s="2201">
        <f t="shared" ref="J47:L47" si="8">J46/$M$46</f>
        <v>0.35514018691588783</v>
      </c>
      <c r="K47" s="2201">
        <f t="shared" si="8"/>
        <v>0.14953271028037382</v>
      </c>
      <c r="L47" s="2201">
        <f t="shared" si="8"/>
        <v>8.4112149532710276E-2</v>
      </c>
      <c r="M47" s="1726"/>
      <c r="N47" s="1728"/>
      <c r="O47" s="1996"/>
      <c r="P47" s="1728"/>
      <c r="Q47" s="1997">
        <f>T45/2</f>
        <v>171955</v>
      </c>
      <c r="R47" s="1730">
        <f>Q47/Q52</f>
        <v>0.5760161616156203</v>
      </c>
      <c r="T47" s="99"/>
      <c r="U47" s="99"/>
      <c r="V47" s="99"/>
      <c r="W47" s="99"/>
      <c r="X47" s="99"/>
      <c r="Y47" s="1731">
        <f>L35+M35+J36+J37+J39</f>
        <v>11</v>
      </c>
      <c r="Z47" s="1732">
        <f>K33+M33+J34+K38</f>
        <v>7</v>
      </c>
      <c r="AB47" s="99"/>
      <c r="AC47" s="99"/>
      <c r="AD47" s="99"/>
      <c r="AE47" s="99"/>
      <c r="AF47" s="99"/>
      <c r="AG47" s="99"/>
    </row>
    <row r="48" spans="1:33" x14ac:dyDescent="0.3">
      <c r="A48" s="251" t="s">
        <v>11</v>
      </c>
      <c r="B48" s="1733"/>
      <c r="C48" s="1733"/>
      <c r="D48" s="1734"/>
      <c r="E48" s="1734"/>
      <c r="F48" s="1733"/>
      <c r="G48" s="1733"/>
      <c r="H48" s="1733"/>
      <c r="I48" s="1733"/>
      <c r="J48" s="1733"/>
      <c r="K48" s="1733"/>
      <c r="L48" s="1733"/>
      <c r="M48" s="1735"/>
      <c r="N48" s="1737"/>
      <c r="O48" s="1998"/>
      <c r="P48" s="1737"/>
      <c r="Q48" s="1999">
        <f>U45/2</f>
        <v>54569.610000000008</v>
      </c>
      <c r="R48" s="1730">
        <f>Q48/Q52</f>
        <v>0.18279769296072446</v>
      </c>
      <c r="S48" s="2000">
        <f>Q45/M45</f>
        <v>4034.1163513513511</v>
      </c>
      <c r="T48" s="1739" t="s">
        <v>535</v>
      </c>
      <c r="V48" s="99"/>
      <c r="W48" s="99"/>
      <c r="X48" s="99"/>
      <c r="Y48" s="195">
        <f>Y47/M45</f>
        <v>0.14864864864864866</v>
      </c>
      <c r="Z48" s="247">
        <f>Z47/M45</f>
        <v>9.45945945945946E-2</v>
      </c>
      <c r="AB48" s="99"/>
      <c r="AC48" s="99"/>
      <c r="AD48" s="99"/>
      <c r="AE48" s="99"/>
      <c r="AF48" s="99"/>
      <c r="AG48" s="99"/>
    </row>
    <row r="49" spans="1:33" x14ac:dyDescent="0.3">
      <c r="A49" s="251" t="s">
        <v>536</v>
      </c>
      <c r="B49" s="1733"/>
      <c r="C49" s="1733"/>
      <c r="D49" s="1734"/>
      <c r="E49" s="1734"/>
      <c r="F49" s="1735"/>
      <c r="G49" s="1733"/>
      <c r="H49" s="1733"/>
      <c r="I49" s="1733"/>
      <c r="J49" s="1733"/>
      <c r="K49" s="1733"/>
      <c r="L49" s="1733"/>
      <c r="M49" s="1733"/>
      <c r="N49" s="1737"/>
      <c r="O49" s="2001"/>
      <c r="P49" s="1737"/>
      <c r="Q49" s="2002"/>
      <c r="R49" s="1730">
        <f>Q49/Q52</f>
        <v>0</v>
      </c>
      <c r="T49" s="99"/>
      <c r="U49" s="99"/>
      <c r="V49" s="99"/>
      <c r="W49" s="99"/>
      <c r="X49" s="99"/>
      <c r="Y49" s="2889" t="s">
        <v>537</v>
      </c>
      <c r="Z49" s="2890"/>
      <c r="AB49" s="99"/>
      <c r="AC49" s="99"/>
      <c r="AD49" s="99"/>
      <c r="AE49" s="99"/>
      <c r="AF49" s="99"/>
      <c r="AG49" s="99"/>
    </row>
    <row r="50" spans="1:33" x14ac:dyDescent="0.3">
      <c r="A50" s="251" t="s">
        <v>528</v>
      </c>
      <c r="B50" s="1733"/>
      <c r="C50" s="1733"/>
      <c r="D50" s="1733"/>
      <c r="E50" s="1733"/>
      <c r="F50" s="1733"/>
      <c r="G50" s="1733"/>
      <c r="H50" s="1733"/>
      <c r="I50" s="1733"/>
      <c r="J50" s="1733"/>
      <c r="K50" s="1733"/>
      <c r="L50" s="1733"/>
      <c r="M50" s="1733"/>
      <c r="N50" s="1737"/>
      <c r="O50" s="2001"/>
      <c r="P50" s="1737"/>
      <c r="Q50" s="1999">
        <f>W45/2</f>
        <v>47000</v>
      </c>
      <c r="R50" s="1730">
        <f>Q50/Q52</f>
        <v>0.1574409560404417</v>
      </c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</row>
    <row r="51" spans="1:33" x14ac:dyDescent="0.3">
      <c r="A51" s="251" t="s">
        <v>529</v>
      </c>
      <c r="B51" s="1733"/>
      <c r="C51" s="1733"/>
      <c r="D51" s="1733"/>
      <c r="E51" s="1733"/>
      <c r="F51" s="1733"/>
      <c r="G51" s="1733"/>
      <c r="H51" s="1733"/>
      <c r="I51" s="1733"/>
      <c r="J51" s="1733"/>
      <c r="K51" s="1733"/>
      <c r="L51" s="1733"/>
      <c r="M51" s="1733"/>
      <c r="N51" s="1737"/>
      <c r="O51" s="2001"/>
      <c r="P51" s="1737"/>
      <c r="Q51" s="1999">
        <f>X45/2</f>
        <v>25000</v>
      </c>
      <c r="R51" s="1730">
        <f>Q51/Q52</f>
        <v>8.3745189383213667E-2</v>
      </c>
      <c r="T51" s="1740"/>
      <c r="U51" s="1740"/>
      <c r="V51" s="1740"/>
      <c r="W51" s="1740"/>
      <c r="X51" s="1740"/>
      <c r="Y51" s="1740"/>
      <c r="Z51" s="1740"/>
      <c r="AA51" s="1740"/>
      <c r="AB51" s="1740"/>
      <c r="AC51" s="1740"/>
      <c r="AD51" s="1740"/>
      <c r="AE51" s="1740"/>
      <c r="AF51" s="1740"/>
      <c r="AG51" s="1740"/>
    </row>
    <row r="52" spans="1:33" x14ac:dyDescent="0.3">
      <c r="A52" s="251"/>
      <c r="B52" s="1733"/>
      <c r="C52" s="1733"/>
      <c r="D52" s="1733"/>
      <c r="E52" s="1733"/>
      <c r="F52" s="1733"/>
      <c r="G52" s="1733"/>
      <c r="H52" s="1733"/>
      <c r="I52" s="1733"/>
      <c r="J52" s="1733"/>
      <c r="K52" s="1733"/>
      <c r="L52" s="1733"/>
      <c r="M52" s="1733"/>
      <c r="N52" s="1737"/>
      <c r="O52" s="2001"/>
      <c r="P52" s="1737"/>
      <c r="Q52" s="1999">
        <f>SUM(Q47:Q51)</f>
        <v>298524.61</v>
      </c>
      <c r="R52" s="1741">
        <f>SUM(R47:R51)</f>
        <v>1.0000000000000002</v>
      </c>
      <c r="T52" s="1740"/>
      <c r="U52" s="1740"/>
      <c r="V52" s="1740"/>
      <c r="W52" s="1740"/>
      <c r="X52" s="1740"/>
      <c r="Y52" s="1740"/>
      <c r="Z52" s="1740"/>
      <c r="AA52" s="1740"/>
      <c r="AB52" s="1740"/>
      <c r="AC52" s="1740"/>
      <c r="AD52" s="1740"/>
      <c r="AE52" s="1740"/>
      <c r="AF52" s="1740"/>
      <c r="AG52" s="1740"/>
    </row>
    <row r="53" spans="1:33" x14ac:dyDescent="0.3">
      <c r="A53" s="464"/>
      <c r="B53" s="2003"/>
      <c r="C53" s="2003"/>
      <c r="D53" s="2003"/>
      <c r="E53" s="2003"/>
      <c r="F53" s="2003"/>
      <c r="G53" s="2003"/>
      <c r="H53" s="2003"/>
      <c r="I53" s="2003"/>
      <c r="J53" s="2003"/>
      <c r="K53" s="2003"/>
      <c r="L53" s="2003"/>
      <c r="M53" s="2003"/>
      <c r="N53" s="2004"/>
      <c r="O53" s="2005"/>
      <c r="P53" s="2004"/>
      <c r="Q53" s="2004"/>
      <c r="R53" s="2006"/>
      <c r="S53" s="2007"/>
      <c r="T53" s="2008"/>
      <c r="U53" s="2008"/>
      <c r="V53" s="2008"/>
      <c r="W53" s="2008"/>
      <c r="X53" s="2008"/>
      <c r="Y53" s="2008"/>
      <c r="Z53" s="2008"/>
      <c r="AA53" s="2008"/>
      <c r="AB53" s="2008"/>
      <c r="AC53" s="2008"/>
      <c r="AD53" s="2008"/>
      <c r="AE53" s="2008"/>
      <c r="AF53" s="2008"/>
      <c r="AG53" s="2008"/>
    </row>
    <row r="54" spans="1:33" ht="18" x14ac:dyDescent="0.35">
      <c r="A54" s="1037" t="s">
        <v>538</v>
      </c>
      <c r="B54" s="2009"/>
      <c r="C54" s="2009"/>
      <c r="D54" s="2009"/>
      <c r="E54" s="2009"/>
      <c r="F54" s="2009"/>
      <c r="G54" s="2009"/>
      <c r="H54" s="2009"/>
      <c r="I54" s="2009"/>
      <c r="J54" s="2009"/>
      <c r="K54" s="2009"/>
      <c r="L54" s="2009"/>
      <c r="M54" s="2009"/>
      <c r="N54" s="2007"/>
      <c r="O54" s="2010"/>
      <c r="P54" s="2007"/>
      <c r="Q54" s="2007"/>
      <c r="R54" s="2011"/>
      <c r="S54" s="2007"/>
      <c r="T54" s="2008"/>
      <c r="U54" s="2008"/>
      <c r="V54" s="2008"/>
      <c r="W54" s="2008"/>
      <c r="X54" s="2008"/>
      <c r="Y54" s="2008"/>
      <c r="Z54" s="2008"/>
      <c r="AA54" s="2008"/>
      <c r="AB54" s="2008"/>
      <c r="AC54" s="2008"/>
      <c r="AD54" s="2008"/>
      <c r="AE54" s="2008"/>
      <c r="AF54" s="2008"/>
      <c r="AG54" s="2008"/>
    </row>
    <row r="55" spans="1:33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3"/>
      <c r="K55" s="11"/>
      <c r="L55" s="11"/>
      <c r="M55" s="11"/>
      <c r="N55" s="1742"/>
      <c r="O55" s="2012"/>
      <c r="P55" s="1742"/>
      <c r="Q55" s="1742"/>
      <c r="R55" s="2013"/>
      <c r="S55" s="1742"/>
      <c r="T55" s="966"/>
      <c r="U55" s="966"/>
      <c r="V55" s="966"/>
      <c r="W55" s="966"/>
      <c r="X55" s="966"/>
      <c r="Y55" s="11"/>
      <c r="Z55" s="11"/>
      <c r="AA55" s="11"/>
      <c r="AB55" s="11"/>
      <c r="AC55" s="11"/>
      <c r="AD55" s="11"/>
      <c r="AE55" s="11"/>
    </row>
    <row r="56" spans="1:33" x14ac:dyDescent="0.3">
      <c r="A56" s="2587" t="s">
        <v>480</v>
      </c>
      <c r="B56" s="2588"/>
      <c r="C56" s="2588"/>
      <c r="D56" s="2588"/>
      <c r="E56" s="2588"/>
      <c r="F56" s="2588"/>
      <c r="G56" s="2588"/>
      <c r="H56" s="2588"/>
      <c r="I56" s="2588"/>
      <c r="J56" s="2588"/>
      <c r="K56" s="2588"/>
      <c r="L56" s="2588"/>
      <c r="M56" s="2588"/>
      <c r="N56" s="2588"/>
      <c r="O56" s="2588"/>
      <c r="P56" s="2588"/>
      <c r="Q56" s="2588"/>
      <c r="R56" s="2589"/>
      <c r="S56" s="2588" t="s">
        <v>878</v>
      </c>
      <c r="T56" s="2588"/>
      <c r="U56" s="2588"/>
      <c r="V56" s="2588"/>
      <c r="W56" s="2588"/>
      <c r="X56" s="2588"/>
      <c r="Y56" s="2588"/>
      <c r="Z56" s="2588"/>
      <c r="AA56" s="2588"/>
      <c r="AB56" s="2588"/>
      <c r="AC56" s="2588"/>
      <c r="AD56" s="2588"/>
      <c r="AE56" s="2588"/>
      <c r="AF56" s="2588"/>
      <c r="AG56" s="2589"/>
    </row>
    <row r="57" spans="1:33" ht="18" x14ac:dyDescent="0.3">
      <c r="A57" s="2284" t="s">
        <v>482</v>
      </c>
      <c r="B57" s="2286" t="s">
        <v>483</v>
      </c>
      <c r="C57" s="2286" t="s">
        <v>484</v>
      </c>
      <c r="D57" s="2286" t="s">
        <v>485</v>
      </c>
      <c r="E57" s="2286" t="s">
        <v>486</v>
      </c>
      <c r="F57" s="2288" t="s">
        <v>487</v>
      </c>
      <c r="G57" s="2288" t="s">
        <v>1135</v>
      </c>
      <c r="H57" s="2286" t="s">
        <v>489</v>
      </c>
      <c r="I57" s="2945" t="s">
        <v>490</v>
      </c>
      <c r="J57" s="2946"/>
      <c r="K57" s="2946"/>
      <c r="L57" s="2947"/>
      <c r="M57" s="265" t="s">
        <v>491</v>
      </c>
      <c r="N57" s="266" t="s">
        <v>492</v>
      </c>
      <c r="O57" s="1925" t="s">
        <v>493</v>
      </c>
      <c r="P57" s="266" t="s">
        <v>492</v>
      </c>
      <c r="Q57" s="266" t="s">
        <v>494</v>
      </c>
      <c r="R57" s="1926" t="s">
        <v>495</v>
      </c>
      <c r="S57" s="1927" t="s">
        <v>496</v>
      </c>
      <c r="T57" s="2948" t="s">
        <v>497</v>
      </c>
      <c r="U57" s="2948"/>
      <c r="V57" s="2948"/>
      <c r="W57" s="2948"/>
      <c r="X57" s="2948"/>
      <c r="Y57" s="2950" t="s">
        <v>498</v>
      </c>
      <c r="Z57" s="2951"/>
      <c r="AA57" s="2948" t="s">
        <v>499</v>
      </c>
      <c r="AB57" s="2948"/>
      <c r="AC57" s="2948"/>
      <c r="AD57" s="2948"/>
      <c r="AE57" s="2948"/>
      <c r="AF57" s="2948"/>
      <c r="AG57" s="2954"/>
    </row>
    <row r="58" spans="1:33" ht="18" x14ac:dyDescent="0.3">
      <c r="A58" s="2285"/>
      <c r="B58" s="2287"/>
      <c r="C58" s="2287"/>
      <c r="D58" s="2287"/>
      <c r="E58" s="2287"/>
      <c r="F58" s="2289"/>
      <c r="G58" s="2289"/>
      <c r="H58" s="2287"/>
      <c r="I58" s="269" t="s">
        <v>500</v>
      </c>
      <c r="J58" s="269" t="s">
        <v>501</v>
      </c>
      <c r="K58" s="269" t="s">
        <v>502</v>
      </c>
      <c r="L58" s="269" t="s">
        <v>503</v>
      </c>
      <c r="M58" s="270" t="s">
        <v>504</v>
      </c>
      <c r="N58" s="271" t="s">
        <v>505</v>
      </c>
      <c r="O58" s="1928" t="s">
        <v>506</v>
      </c>
      <c r="P58" s="271" t="s">
        <v>507</v>
      </c>
      <c r="Q58" s="271" t="s">
        <v>507</v>
      </c>
      <c r="R58" s="1929"/>
      <c r="S58" s="1930" t="s">
        <v>508</v>
      </c>
      <c r="T58" s="2949"/>
      <c r="U58" s="2949"/>
      <c r="V58" s="2949"/>
      <c r="W58" s="2949"/>
      <c r="X58" s="2949"/>
      <c r="Y58" s="2952"/>
      <c r="Z58" s="2953"/>
      <c r="AA58" s="2949"/>
      <c r="AB58" s="2949"/>
      <c r="AC58" s="2949"/>
      <c r="AD58" s="2949"/>
      <c r="AE58" s="2949"/>
      <c r="AF58" s="2949"/>
      <c r="AG58" s="2955"/>
    </row>
    <row r="59" spans="1:33" ht="15.6" x14ac:dyDescent="0.3">
      <c r="A59" s="2943" t="s">
        <v>1140</v>
      </c>
      <c r="B59" s="2944"/>
      <c r="C59" s="2944"/>
      <c r="D59" s="2944"/>
      <c r="E59" s="2944"/>
      <c r="F59" s="2944"/>
      <c r="G59" s="2944"/>
      <c r="H59" s="2944"/>
      <c r="I59" s="2944"/>
      <c r="J59" s="2944"/>
      <c r="K59" s="2944"/>
      <c r="L59" s="2944"/>
      <c r="M59" s="2944"/>
      <c r="N59" s="2944"/>
      <c r="O59" s="2944"/>
      <c r="P59" s="2944"/>
      <c r="Q59" s="2944"/>
      <c r="R59" s="2944"/>
      <c r="S59" s="771"/>
      <c r="T59" s="1932" t="s">
        <v>510</v>
      </c>
      <c r="U59" s="1932" t="s">
        <v>11</v>
      </c>
      <c r="V59" s="1932" t="s">
        <v>511</v>
      </c>
      <c r="W59" s="1932" t="s">
        <v>512</v>
      </c>
      <c r="X59" s="1932" t="s">
        <v>513</v>
      </c>
      <c r="Y59" s="1933" t="s">
        <v>514</v>
      </c>
      <c r="Z59" s="1934" t="s">
        <v>515</v>
      </c>
      <c r="AA59" s="2014" t="s">
        <v>1</v>
      </c>
      <c r="AB59" s="2015" t="s">
        <v>0</v>
      </c>
      <c r="AC59" s="2015" t="s">
        <v>264</v>
      </c>
      <c r="AD59" s="2015" t="s">
        <v>265</v>
      </c>
      <c r="AE59" s="2015" t="s">
        <v>10</v>
      </c>
      <c r="AF59" s="2015" t="s">
        <v>178</v>
      </c>
      <c r="AG59" s="1936"/>
    </row>
    <row r="60" spans="1:33" ht="15.6" x14ac:dyDescent="0.3">
      <c r="A60" s="1754"/>
      <c r="B60" s="1754"/>
      <c r="C60" s="1754"/>
      <c r="D60" s="876"/>
      <c r="E60" s="876"/>
      <c r="F60" s="876"/>
      <c r="G60" s="876"/>
      <c r="H60" s="876"/>
      <c r="I60" s="878"/>
      <c r="J60" s="878"/>
      <c r="K60" s="879"/>
      <c r="L60" s="880"/>
      <c r="M60" s="881"/>
      <c r="N60" s="1698"/>
      <c r="O60" s="2016"/>
      <c r="P60" s="1699"/>
      <c r="Q60" s="1700"/>
      <c r="R60" s="885"/>
      <c r="S60" s="2017"/>
      <c r="T60" s="2018"/>
      <c r="U60" s="2018"/>
      <c r="V60" s="2018"/>
      <c r="W60" s="2018"/>
      <c r="X60" s="11"/>
      <c r="Y60" s="1876"/>
      <c r="Z60" s="2019"/>
      <c r="AA60" s="1876"/>
      <c r="AB60" s="11"/>
      <c r="AC60" s="11"/>
      <c r="AD60" s="11"/>
      <c r="AE60" s="11"/>
      <c r="AG60" s="1868"/>
    </row>
    <row r="61" spans="1:33" ht="15.6" x14ac:dyDescent="0.3">
      <c r="A61" s="891" t="s">
        <v>1136</v>
      </c>
      <c r="B61" s="891" t="s">
        <v>266</v>
      </c>
      <c r="C61" s="891" t="s">
        <v>1137</v>
      </c>
      <c r="D61" s="891" t="s">
        <v>267</v>
      </c>
      <c r="E61" s="891" t="s">
        <v>518</v>
      </c>
      <c r="F61" s="891">
        <v>65</v>
      </c>
      <c r="G61" s="893">
        <v>25</v>
      </c>
      <c r="H61" s="894" t="s">
        <v>22</v>
      </c>
      <c r="I61" s="878"/>
      <c r="J61" s="878"/>
      <c r="K61" s="895">
        <v>25</v>
      </c>
      <c r="L61" s="895">
        <v>25</v>
      </c>
      <c r="M61" s="896">
        <v>2</v>
      </c>
      <c r="N61" s="1702">
        <v>3289</v>
      </c>
      <c r="O61" s="898">
        <v>0.61</v>
      </c>
      <c r="P61" s="1702">
        <f>N61*(1-O61)</f>
        <v>1282.71</v>
      </c>
      <c r="Q61" s="1702">
        <f t="shared" ref="Q61:Q66" si="9">P61*G61*M61</f>
        <v>64135.5</v>
      </c>
      <c r="R61" s="899">
        <f>Q61/Q69</f>
        <v>0.24247024880916979</v>
      </c>
      <c r="S61" s="2020">
        <f>Q61</f>
        <v>64135.5</v>
      </c>
      <c r="T61" s="2021">
        <f>S61</f>
        <v>64135.5</v>
      </c>
      <c r="U61" s="2021"/>
      <c r="V61" s="2021"/>
      <c r="W61" s="2021"/>
      <c r="X61" s="11"/>
      <c r="Y61" s="1876"/>
      <c r="Z61" s="2022">
        <f>S61</f>
        <v>64135.5</v>
      </c>
      <c r="AA61" s="2023">
        <f>S61</f>
        <v>64135.5</v>
      </c>
      <c r="AB61" s="11"/>
      <c r="AC61" s="11"/>
      <c r="AD61" s="11"/>
      <c r="AE61" s="11"/>
      <c r="AG61" s="1868"/>
    </row>
    <row r="62" spans="1:33" ht="15.6" x14ac:dyDescent="0.3">
      <c r="A62" s="891" t="s">
        <v>1136</v>
      </c>
      <c r="B62" s="891" t="s">
        <v>157</v>
      </c>
      <c r="C62" s="891" t="s">
        <v>1137</v>
      </c>
      <c r="D62" s="891" t="s">
        <v>268</v>
      </c>
      <c r="E62" s="891" t="s">
        <v>518</v>
      </c>
      <c r="F62" s="891">
        <v>80</v>
      </c>
      <c r="G62" s="893">
        <v>20</v>
      </c>
      <c r="H62" s="894" t="s">
        <v>22</v>
      </c>
      <c r="I62" s="878"/>
      <c r="J62" s="11"/>
      <c r="K62" s="895">
        <v>20</v>
      </c>
      <c r="L62" s="895">
        <v>20</v>
      </c>
      <c r="M62" s="896">
        <v>2</v>
      </c>
      <c r="N62" s="1702">
        <v>3255</v>
      </c>
      <c r="O62" s="898">
        <v>0.43</v>
      </c>
      <c r="P62" s="1702">
        <f>N62*(1-O62)</f>
        <v>1855.3500000000001</v>
      </c>
      <c r="Q62" s="1702">
        <f t="shared" si="9"/>
        <v>74214</v>
      </c>
      <c r="R62" s="899">
        <f>Q62/Q69</f>
        <v>0.28057295951733013</v>
      </c>
      <c r="S62" s="2020">
        <f t="shared" ref="S62:S67" si="10">Q62</f>
        <v>74214</v>
      </c>
      <c r="T62" s="2021"/>
      <c r="U62" s="2021">
        <f>S62</f>
        <v>74214</v>
      </c>
      <c r="V62" s="2021"/>
      <c r="W62" s="2021"/>
      <c r="X62" s="2024"/>
      <c r="Y62" s="2025"/>
      <c r="Z62" s="2026">
        <f>S62</f>
        <v>74214</v>
      </c>
      <c r="AA62" s="2025"/>
      <c r="AB62" s="2027">
        <f>S62</f>
        <v>74214</v>
      </c>
      <c r="AC62" s="13"/>
      <c r="AD62" s="13"/>
      <c r="AE62" s="13"/>
      <c r="AG62" s="1871"/>
    </row>
    <row r="63" spans="1:33" x14ac:dyDescent="0.3">
      <c r="A63" s="891" t="s">
        <v>1136</v>
      </c>
      <c r="B63" s="2028" t="s">
        <v>157</v>
      </c>
      <c r="C63" s="2028" t="s">
        <v>1137</v>
      </c>
      <c r="D63" s="2028" t="s">
        <v>268</v>
      </c>
      <c r="E63" s="2028" t="s">
        <v>520</v>
      </c>
      <c r="F63" s="2028">
        <v>984</v>
      </c>
      <c r="G63" s="2028">
        <v>20</v>
      </c>
      <c r="H63" s="2028" t="s">
        <v>22</v>
      </c>
      <c r="I63" s="895">
        <v>20</v>
      </c>
      <c r="J63" s="908">
        <v>20</v>
      </c>
      <c r="K63" s="10"/>
      <c r="L63" s="10"/>
      <c r="M63" s="896">
        <f t="shared" ref="M63" si="11">COUNT(I63:L63)</f>
        <v>2</v>
      </c>
      <c r="N63" s="1702">
        <v>2082.02</v>
      </c>
      <c r="O63" s="898">
        <v>0.7</v>
      </c>
      <c r="P63" s="1702">
        <f t="shared" ref="P63:P66" si="12">N63*(1-O63)</f>
        <v>624.60600000000011</v>
      </c>
      <c r="Q63" s="1702">
        <f t="shared" si="9"/>
        <v>24984.240000000005</v>
      </c>
      <c r="R63" s="967">
        <f>Q63/Q69</f>
        <v>9.4455253161010888E-2</v>
      </c>
      <c r="S63" s="2020">
        <f t="shared" si="10"/>
        <v>24984.240000000005</v>
      </c>
      <c r="T63" s="2021"/>
      <c r="U63" s="2021">
        <f>S63</f>
        <v>24984.240000000005</v>
      </c>
      <c r="V63" s="2021"/>
      <c r="W63" s="2021"/>
      <c r="X63" s="2024"/>
      <c r="Y63" s="2029">
        <f>S63</f>
        <v>24984.240000000005</v>
      </c>
      <c r="Z63" s="2030"/>
      <c r="AA63" s="2031"/>
      <c r="AB63" s="1921">
        <f>S63</f>
        <v>24984.240000000005</v>
      </c>
      <c r="AC63" s="863"/>
      <c r="AD63" s="863"/>
      <c r="AE63" s="863"/>
      <c r="AG63" s="2032"/>
    </row>
    <row r="64" spans="1:33" x14ac:dyDescent="0.3">
      <c r="A64" s="891" t="s">
        <v>1136</v>
      </c>
      <c r="B64" s="2028" t="s">
        <v>272</v>
      </c>
      <c r="C64" s="2028" t="s">
        <v>1075</v>
      </c>
      <c r="D64" s="2028" t="s">
        <v>27</v>
      </c>
      <c r="E64" s="2028" t="s">
        <v>520</v>
      </c>
      <c r="F64" s="2028">
        <v>200</v>
      </c>
      <c r="G64" s="2028">
        <v>25</v>
      </c>
      <c r="H64" s="2028" t="s">
        <v>106</v>
      </c>
      <c r="I64" s="908">
        <v>25</v>
      </c>
      <c r="J64" s="895"/>
      <c r="K64" s="907"/>
      <c r="L64" s="907"/>
      <c r="M64" s="896">
        <v>1</v>
      </c>
      <c r="N64" s="1702">
        <v>2100</v>
      </c>
      <c r="O64" s="898">
        <v>0.33</v>
      </c>
      <c r="P64" s="1702">
        <f t="shared" si="12"/>
        <v>1406.9999999999998</v>
      </c>
      <c r="Q64" s="1702">
        <f t="shared" si="9"/>
        <v>35174.999999999993</v>
      </c>
      <c r="R64" s="967">
        <f>Q64/Q69</f>
        <v>0.13298237328566154</v>
      </c>
      <c r="S64" s="2020">
        <f t="shared" si="10"/>
        <v>35174.999999999993</v>
      </c>
      <c r="T64" s="2021">
        <f>S64</f>
        <v>35174.999999999993</v>
      </c>
      <c r="U64" s="2021"/>
      <c r="V64" s="2021"/>
      <c r="W64" s="2021"/>
      <c r="X64" s="2024"/>
      <c r="Y64" s="2029">
        <f>S64</f>
        <v>35174.999999999993</v>
      </c>
      <c r="Z64" s="2033"/>
      <c r="AA64" s="2031"/>
      <c r="AB64" s="863"/>
      <c r="AC64" s="1921">
        <f>S64</f>
        <v>35174.999999999993</v>
      </c>
      <c r="AD64" s="863"/>
      <c r="AE64" s="863"/>
      <c r="AG64" s="2032"/>
    </row>
    <row r="65" spans="1:33" x14ac:dyDescent="0.3">
      <c r="A65" s="891" t="s">
        <v>1136</v>
      </c>
      <c r="B65" s="2028" t="s">
        <v>247</v>
      </c>
      <c r="C65" s="2028" t="s">
        <v>592</v>
      </c>
      <c r="D65" s="2028" t="s">
        <v>180</v>
      </c>
      <c r="E65" s="2028" t="s">
        <v>520</v>
      </c>
      <c r="F65" s="2028">
        <v>250</v>
      </c>
      <c r="G65" s="2028">
        <v>20</v>
      </c>
      <c r="H65" s="2028" t="s">
        <v>24</v>
      </c>
      <c r="I65" s="908">
        <v>20</v>
      </c>
      <c r="J65" s="895"/>
      <c r="K65" s="895"/>
      <c r="L65" s="2480"/>
      <c r="M65" s="896">
        <v>1</v>
      </c>
      <c r="N65" s="1706">
        <v>2500</v>
      </c>
      <c r="O65" s="910">
        <v>0.6</v>
      </c>
      <c r="P65" s="1706">
        <f t="shared" si="12"/>
        <v>1000</v>
      </c>
      <c r="Q65" s="1702">
        <f t="shared" si="9"/>
        <v>20000</v>
      </c>
      <c r="R65" s="967">
        <f>Q65/Q69</f>
        <v>7.561186825055384E-2</v>
      </c>
      <c r="S65" s="2020">
        <f t="shared" si="10"/>
        <v>20000</v>
      </c>
      <c r="T65" s="2021"/>
      <c r="U65" s="2021"/>
      <c r="V65" s="2021">
        <f>S65</f>
        <v>20000</v>
      </c>
      <c r="W65" s="2021"/>
      <c r="X65" s="2024"/>
      <c r="Y65" s="2029">
        <f>S65</f>
        <v>20000</v>
      </c>
      <c r="Z65" s="2033"/>
      <c r="AA65" s="2031"/>
      <c r="AB65" s="863"/>
      <c r="AC65" s="863"/>
      <c r="AD65" s="863"/>
      <c r="AE65" s="1921">
        <f>S65</f>
        <v>20000</v>
      </c>
      <c r="AG65" s="2032"/>
    </row>
    <row r="66" spans="1:33" x14ac:dyDescent="0.3">
      <c r="A66" s="891" t="s">
        <v>1136</v>
      </c>
      <c r="B66" s="2028" t="s">
        <v>130</v>
      </c>
      <c r="C66" s="2028" t="s">
        <v>1141</v>
      </c>
      <c r="D66" s="2028" t="s">
        <v>223</v>
      </c>
      <c r="E66" s="2028" t="s">
        <v>520</v>
      </c>
      <c r="F66" s="2028">
        <f>250*15</f>
        <v>3750</v>
      </c>
      <c r="G66" s="2028">
        <v>10</v>
      </c>
      <c r="H66" s="2028" t="s">
        <v>24</v>
      </c>
      <c r="I66" s="2887">
        <v>10</v>
      </c>
      <c r="J66" s="2918"/>
      <c r="K66" s="2918"/>
      <c r="L66" s="2888"/>
      <c r="M66" s="896">
        <v>1</v>
      </c>
      <c r="N66" s="1706">
        <v>3000</v>
      </c>
      <c r="O66" s="910">
        <v>0.8</v>
      </c>
      <c r="P66" s="1706">
        <f t="shared" si="12"/>
        <v>599.99999999999989</v>
      </c>
      <c r="Q66" s="1702">
        <f t="shared" si="9"/>
        <v>5999.9999999999991</v>
      </c>
      <c r="R66" s="967">
        <f>Q66/Q69</f>
        <v>2.2683560475166148E-2</v>
      </c>
      <c r="S66" s="2020">
        <f t="shared" si="10"/>
        <v>5999.9999999999991</v>
      </c>
      <c r="T66" s="2021"/>
      <c r="U66" s="2021"/>
      <c r="V66" s="2021">
        <f>S66</f>
        <v>5999.9999999999991</v>
      </c>
      <c r="W66" s="2021"/>
      <c r="X66" s="2024"/>
      <c r="Y66" s="2029">
        <f>S66</f>
        <v>5999.9999999999991</v>
      </c>
      <c r="Z66" s="2033"/>
      <c r="AA66" s="2031"/>
      <c r="AB66" s="863"/>
      <c r="AC66" s="863"/>
      <c r="AD66" s="863"/>
      <c r="AE66" s="863"/>
      <c r="AF66" s="2034">
        <f>S66</f>
        <v>5999.9999999999991</v>
      </c>
      <c r="AG66" s="2032"/>
    </row>
    <row r="67" spans="1:33" x14ac:dyDescent="0.3">
      <c r="A67" s="915" t="s">
        <v>1136</v>
      </c>
      <c r="B67" s="2035" t="s">
        <v>529</v>
      </c>
      <c r="C67" s="2035"/>
      <c r="D67" s="2035"/>
      <c r="E67" s="2035"/>
      <c r="F67" s="2035"/>
      <c r="G67" s="2035"/>
      <c r="H67" s="2035"/>
      <c r="I67" s="2036"/>
      <c r="J67" s="2037"/>
      <c r="K67" s="2036"/>
      <c r="L67" s="2036"/>
      <c r="M67" s="2035"/>
      <c r="N67" s="2038"/>
      <c r="O67" s="2039"/>
      <c r="P67" s="2038"/>
      <c r="Q67" s="1709">
        <v>40000</v>
      </c>
      <c r="R67" s="2040">
        <f>Q67/Q69</f>
        <v>0.15122373650110768</v>
      </c>
      <c r="S67" s="2020">
        <f t="shared" si="10"/>
        <v>40000</v>
      </c>
      <c r="X67" s="860">
        <f>S67</f>
        <v>40000</v>
      </c>
      <c r="Y67" s="1945"/>
      <c r="Z67" s="1946"/>
      <c r="AA67" s="1945"/>
      <c r="AG67" s="1947"/>
    </row>
    <row r="68" spans="1:33" x14ac:dyDescent="0.3">
      <c r="A68" s="929"/>
      <c r="I68" s="1684">
        <f>I69/$M$69</f>
        <v>0.40540540540540543</v>
      </c>
      <c r="J68" s="1684">
        <f t="shared" ref="J68:L68" si="13">J69/$M$69</f>
        <v>0.10810810810810811</v>
      </c>
      <c r="K68" s="1684">
        <f t="shared" si="13"/>
        <v>0.24324324324324326</v>
      </c>
      <c r="L68" s="1684">
        <f t="shared" si="13"/>
        <v>0.24324324324324326</v>
      </c>
      <c r="Q68" s="1711"/>
      <c r="R68" s="899"/>
      <c r="S68" s="2041">
        <f t="shared" ref="S68" si="14">Q68*2</f>
        <v>0</v>
      </c>
      <c r="Y68" s="1945"/>
      <c r="Z68" s="1946"/>
      <c r="AA68" s="1945"/>
      <c r="AG68" s="1947"/>
    </row>
    <row r="69" spans="1:33" x14ac:dyDescent="0.3">
      <c r="A69" s="938" t="s">
        <v>531</v>
      </c>
      <c r="B69" s="939"/>
      <c r="C69" s="939"/>
      <c r="D69" s="939"/>
      <c r="E69" s="939"/>
      <c r="F69" s="939"/>
      <c r="G69" s="939"/>
      <c r="H69" s="939"/>
      <c r="I69" s="941">
        <f>I66+I65+I64+I63</f>
        <v>75</v>
      </c>
      <c r="J69" s="942">
        <f>J63</f>
        <v>20</v>
      </c>
      <c r="K69" s="941">
        <f>K62+K61</f>
        <v>45</v>
      </c>
      <c r="L69" s="941">
        <f>L62+L61</f>
        <v>45</v>
      </c>
      <c r="M69" s="941">
        <f>SUM(I69:L69)</f>
        <v>185</v>
      </c>
      <c r="N69" s="1713"/>
      <c r="O69" s="1987"/>
      <c r="P69" s="1713"/>
      <c r="Q69" s="1713">
        <f>SUM(Q61:Q68)</f>
        <v>264508.74</v>
      </c>
      <c r="R69" s="1988">
        <f>SUM(R58:R68)</f>
        <v>1.0000000000000002</v>
      </c>
      <c r="S69" s="1989">
        <f>SUM(S61:S68)</f>
        <v>264508.74</v>
      </c>
      <c r="T69" s="1990">
        <f>SUM(T57:T67)</f>
        <v>99310.5</v>
      </c>
      <c r="U69" s="616">
        <f>SUM(U57:U68)</f>
        <v>99198.24</v>
      </c>
      <c r="V69" s="616">
        <f>SUM(V57:V68)</f>
        <v>26000</v>
      </c>
      <c r="W69" s="616">
        <f>SUM(W57:W68)</f>
        <v>0</v>
      </c>
      <c r="X69" s="616">
        <f t="shared" ref="X69:AF69" si="15">SUM(X57:X68)</f>
        <v>40000</v>
      </c>
      <c r="Y69" s="1657">
        <f>SUM(Y60:Y68)</f>
        <v>86159.239999999991</v>
      </c>
      <c r="Z69" s="226">
        <f>SUM(Z60:Z68)</f>
        <v>138349.5</v>
      </c>
      <c r="AA69" s="226">
        <f t="shared" si="15"/>
        <v>64135.5</v>
      </c>
      <c r="AB69" s="1657">
        <f t="shared" si="15"/>
        <v>99198.24</v>
      </c>
      <c r="AC69" s="616">
        <f t="shared" si="15"/>
        <v>35174.999999999993</v>
      </c>
      <c r="AD69" s="616">
        <f t="shared" si="15"/>
        <v>0</v>
      </c>
      <c r="AE69" s="616">
        <f t="shared" si="15"/>
        <v>20000</v>
      </c>
      <c r="AF69" s="616">
        <f t="shared" si="15"/>
        <v>5999.9999999999991</v>
      </c>
      <c r="AG69" s="1717"/>
    </row>
    <row r="70" spans="1:33" x14ac:dyDescent="0.3">
      <c r="A70" s="948" t="s">
        <v>532</v>
      </c>
      <c r="B70" s="949"/>
      <c r="C70" s="949"/>
      <c r="D70" s="949"/>
      <c r="E70" s="949"/>
      <c r="F70" s="949"/>
      <c r="G70" s="949"/>
      <c r="H70" s="949"/>
      <c r="I70" s="951">
        <f>I66+I65+I64+I63</f>
        <v>75</v>
      </c>
      <c r="J70" s="951">
        <f>I66+I65+I64+J63</f>
        <v>75</v>
      </c>
      <c r="K70" s="951">
        <f>I66+I65+K62+K61</f>
        <v>75</v>
      </c>
      <c r="L70" s="951">
        <f>I66+I65+L62+L61</f>
        <v>75</v>
      </c>
      <c r="M70" s="952">
        <f>I70+J70+K70+L74+L70</f>
        <v>300</v>
      </c>
      <c r="N70" s="1991"/>
      <c r="O70" s="1992"/>
      <c r="P70" s="1718"/>
      <c r="Q70" s="1718"/>
      <c r="R70" s="1993"/>
      <c r="S70" s="1994"/>
      <c r="T70" s="235">
        <f>T69/S69</f>
        <v>0.37545262209483138</v>
      </c>
      <c r="U70" s="236">
        <f>U69/S69</f>
        <v>0.37502821267834102</v>
      </c>
      <c r="V70" s="236">
        <f>V69/T69</f>
        <v>0.26180514648501418</v>
      </c>
      <c r="W70" s="236">
        <f>W69/S69</f>
        <v>0</v>
      </c>
      <c r="X70" s="236">
        <f>X69/T69</f>
        <v>0.40277714843848333</v>
      </c>
      <c r="Y70" s="1491">
        <f>Y69/S69</f>
        <v>0.32573305517239237</v>
      </c>
      <c r="Z70" s="272">
        <f>Z69/S69</f>
        <v>0.52304320832649998</v>
      </c>
      <c r="AA70" s="272"/>
      <c r="AB70" s="1722"/>
      <c r="AC70" s="1723"/>
      <c r="AD70" s="1723"/>
      <c r="AE70" s="1723"/>
      <c r="AF70" s="1723"/>
      <c r="AG70" s="1995"/>
    </row>
    <row r="71" spans="1:33" x14ac:dyDescent="0.3">
      <c r="A71" s="243" t="s">
        <v>533</v>
      </c>
      <c r="B71" s="1725"/>
      <c r="C71" s="1725"/>
      <c r="D71" s="1725"/>
      <c r="E71" s="1725"/>
      <c r="F71" s="1725"/>
      <c r="G71" s="1725"/>
      <c r="H71" s="1725"/>
      <c r="I71" s="2201">
        <f>I70/$M$70</f>
        <v>0.25</v>
      </c>
      <c r="J71" s="2201">
        <f t="shared" ref="J71:L71" si="16">J70/$M$70</f>
        <v>0.25</v>
      </c>
      <c r="K71" s="2201">
        <f t="shared" si="16"/>
        <v>0.25</v>
      </c>
      <c r="L71" s="2201">
        <f t="shared" si="16"/>
        <v>0.25</v>
      </c>
      <c r="M71" s="1726"/>
      <c r="N71" s="1728"/>
      <c r="O71" s="1996"/>
      <c r="P71" s="1728"/>
      <c r="Q71" s="1997">
        <f>T69</f>
        <v>99310.5</v>
      </c>
      <c r="R71" s="1730">
        <f>Q71/Q76</f>
        <v>0.37545262209483138</v>
      </c>
      <c r="T71" s="99"/>
      <c r="U71" s="99"/>
      <c r="V71" s="99"/>
      <c r="W71" s="99"/>
      <c r="X71" s="99"/>
      <c r="Y71" s="1791">
        <f>I63+J63+I64+I65+I66</f>
        <v>95</v>
      </c>
      <c r="Z71" s="1792">
        <f>K61+L61+K62+L62</f>
        <v>90</v>
      </c>
      <c r="AB71" s="99"/>
      <c r="AC71" s="99"/>
      <c r="AD71" s="99"/>
      <c r="AE71" s="99"/>
      <c r="AF71" s="99"/>
      <c r="AG71" s="99"/>
    </row>
    <row r="72" spans="1:33" x14ac:dyDescent="0.3">
      <c r="A72" s="251" t="s">
        <v>11</v>
      </c>
      <c r="B72" s="1733"/>
      <c r="C72" s="1733"/>
      <c r="D72" s="1734"/>
      <c r="E72" s="1734"/>
      <c r="F72" s="1733"/>
      <c r="G72" s="1733"/>
      <c r="H72" s="1733"/>
      <c r="I72" s="1733"/>
      <c r="J72" s="1733"/>
      <c r="K72" s="1733"/>
      <c r="L72" s="1733"/>
      <c r="M72" s="1735"/>
      <c r="N72" s="1737"/>
      <c r="O72" s="1998"/>
      <c r="P72" s="1737"/>
      <c r="Q72" s="1999">
        <f>U69</f>
        <v>99198.24</v>
      </c>
      <c r="R72" s="1730">
        <f>Q72/Q76</f>
        <v>0.37502821267834102</v>
      </c>
      <c r="S72" s="2000">
        <f>Q69/M69</f>
        <v>1429.776972972973</v>
      </c>
      <c r="T72" s="1739" t="s">
        <v>535</v>
      </c>
      <c r="V72" s="99"/>
      <c r="W72" s="99"/>
      <c r="X72" s="99"/>
      <c r="Y72" s="195">
        <f>Y71/M69</f>
        <v>0.51351351351351349</v>
      </c>
      <c r="Z72" s="247">
        <f>Z71/M69</f>
        <v>0.48648648648648651</v>
      </c>
      <c r="AB72" s="99"/>
      <c r="AC72" s="99"/>
      <c r="AD72" s="99"/>
      <c r="AE72" s="99"/>
      <c r="AF72" s="99"/>
      <c r="AG72" s="99"/>
    </row>
    <row r="73" spans="1:33" x14ac:dyDescent="0.3">
      <c r="A73" s="251" t="s">
        <v>536</v>
      </c>
      <c r="B73" s="1733"/>
      <c r="C73" s="1733"/>
      <c r="D73" s="1734"/>
      <c r="E73" s="1734"/>
      <c r="F73" s="1735"/>
      <c r="G73" s="1733"/>
      <c r="H73" s="1733"/>
      <c r="I73" s="1733"/>
      <c r="J73" s="1733"/>
      <c r="K73" s="1733"/>
      <c r="L73" s="1733"/>
      <c r="M73" s="1733"/>
      <c r="N73" s="1737"/>
      <c r="O73" s="2001"/>
      <c r="P73" s="1737"/>
      <c r="Q73" s="1999">
        <f>V69</f>
        <v>26000</v>
      </c>
      <c r="R73" s="1730">
        <f>Q73/Q76</f>
        <v>9.8295428725719988E-2</v>
      </c>
      <c r="T73" s="99"/>
      <c r="U73" s="99"/>
      <c r="V73" s="99"/>
      <c r="W73" s="99"/>
      <c r="X73" s="99"/>
      <c r="Y73" s="2889" t="s">
        <v>537</v>
      </c>
      <c r="Z73" s="2890"/>
      <c r="AB73" s="99"/>
      <c r="AC73" s="99"/>
      <c r="AD73" s="99"/>
      <c r="AE73" s="99"/>
      <c r="AF73" s="99"/>
      <c r="AG73" s="99"/>
    </row>
    <row r="74" spans="1:33" x14ac:dyDescent="0.3">
      <c r="A74" s="251" t="s">
        <v>528</v>
      </c>
      <c r="B74" s="1733"/>
      <c r="C74" s="1733"/>
      <c r="D74" s="1733"/>
      <c r="E74" s="1733"/>
      <c r="F74" s="1733"/>
      <c r="G74" s="1733"/>
      <c r="H74" s="1733"/>
      <c r="I74" s="1733"/>
      <c r="J74" s="1733"/>
      <c r="K74" s="1733"/>
      <c r="L74" s="1733"/>
      <c r="M74" s="1733"/>
      <c r="N74" s="1737"/>
      <c r="O74" s="2001"/>
      <c r="P74" s="1737"/>
      <c r="Q74" s="1999">
        <f>W69/2</f>
        <v>0</v>
      </c>
      <c r="R74" s="1730">
        <f>Q74/Q76</f>
        <v>0</v>
      </c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</row>
    <row r="75" spans="1:33" x14ac:dyDescent="0.3">
      <c r="A75" s="464" t="s">
        <v>529</v>
      </c>
      <c r="B75" s="2003"/>
      <c r="C75" s="2003"/>
      <c r="D75" s="2003"/>
      <c r="E75" s="2003"/>
      <c r="F75" s="2003"/>
      <c r="G75" s="2003"/>
      <c r="H75" s="2003"/>
      <c r="I75" s="2003"/>
      <c r="J75" s="2003"/>
      <c r="K75" s="2003"/>
      <c r="L75" s="2003"/>
      <c r="M75" s="2003"/>
      <c r="N75" s="2004"/>
      <c r="O75" s="2005"/>
      <c r="P75" s="2004"/>
      <c r="Q75" s="2042">
        <f>X69</f>
        <v>40000</v>
      </c>
      <c r="R75" s="1730">
        <f>Q75/Q76</f>
        <v>0.15122373650110768</v>
      </c>
      <c r="T75" s="1740"/>
      <c r="U75" s="1740"/>
      <c r="V75" s="1740"/>
      <c r="W75" s="1740"/>
      <c r="X75" s="1740"/>
      <c r="Y75" s="1740"/>
      <c r="Z75" s="1740"/>
      <c r="AA75" s="1740"/>
      <c r="AB75" s="1740"/>
      <c r="AC75" s="1740"/>
      <c r="AD75" s="1740"/>
      <c r="AE75" s="1740"/>
      <c r="AF75" s="1740"/>
      <c r="AG75" s="1740"/>
    </row>
    <row r="76" spans="1:33" x14ac:dyDescent="0.3">
      <c r="A76" s="1969"/>
      <c r="B76" s="1979"/>
      <c r="C76" s="1979"/>
      <c r="D76" s="1979"/>
      <c r="E76" s="1979"/>
      <c r="F76" s="924"/>
      <c r="G76" s="1979"/>
      <c r="H76" s="1733"/>
      <c r="I76" s="1733"/>
      <c r="J76" s="1733"/>
      <c r="K76" s="1733"/>
      <c r="L76" s="1733"/>
      <c r="M76" s="1733"/>
      <c r="N76" s="1737"/>
      <c r="O76" s="2001"/>
      <c r="P76" s="1737"/>
      <c r="Q76" s="1999">
        <f>SUM(Q71:Q75)</f>
        <v>264508.74</v>
      </c>
      <c r="R76" s="2043"/>
      <c r="T76" s="2008"/>
      <c r="U76" s="2008"/>
      <c r="V76" s="2008"/>
      <c r="W76" s="2008"/>
      <c r="X76" s="2008"/>
      <c r="Y76" s="1740"/>
      <c r="Z76" s="1740"/>
      <c r="AA76" s="1740"/>
      <c r="AB76" s="1740"/>
      <c r="AC76" s="1740"/>
      <c r="AD76" s="1740"/>
      <c r="AE76" s="1740"/>
      <c r="AF76" s="1740"/>
      <c r="AG76" s="1740"/>
    </row>
    <row r="77" spans="1:33" x14ac:dyDescent="0.3">
      <c r="F77" s="13"/>
      <c r="J77" s="13"/>
      <c r="N77" s="1742"/>
      <c r="O77" s="2012"/>
      <c r="P77" s="1742"/>
      <c r="Q77" s="1742"/>
      <c r="R77" s="2013"/>
      <c r="S77" s="1742"/>
      <c r="T77" s="966"/>
      <c r="U77" s="966"/>
      <c r="V77" s="966"/>
      <c r="W77" s="966"/>
      <c r="X77" s="966"/>
    </row>
    <row r="78" spans="1:33" x14ac:dyDescent="0.3">
      <c r="J78" s="13"/>
      <c r="N78" s="1742"/>
      <c r="O78" s="2012"/>
      <c r="P78" s="1742"/>
      <c r="Q78" s="1742"/>
      <c r="R78" s="2013"/>
      <c r="S78" s="1742"/>
      <c r="T78" s="966"/>
      <c r="U78" s="966"/>
      <c r="V78" s="966"/>
      <c r="W78" s="966"/>
      <c r="X78" s="966"/>
      <c r="AA78" s="2044"/>
    </row>
    <row r="79" spans="1:33" x14ac:dyDescent="0.3">
      <c r="H79" s="863"/>
      <c r="I79" s="863"/>
      <c r="J79" s="863"/>
      <c r="K79" s="863"/>
      <c r="L79" s="863"/>
      <c r="M79" s="863"/>
      <c r="N79" s="1860"/>
      <c r="O79" s="2012"/>
      <c r="P79" s="1742"/>
      <c r="Q79" s="1742"/>
      <c r="R79" s="2013"/>
      <c r="S79" s="1742"/>
    </row>
    <row r="80" spans="1:33" x14ac:dyDescent="0.3">
      <c r="F80" s="13"/>
      <c r="H80" s="863" t="s">
        <v>1005</v>
      </c>
      <c r="I80" s="862">
        <v>0.72</v>
      </c>
      <c r="J80" s="862"/>
      <c r="K80" s="862"/>
      <c r="L80" s="863"/>
      <c r="M80" s="863" t="s">
        <v>1005</v>
      </c>
      <c r="N80" s="1860"/>
      <c r="O80" s="2012">
        <v>0.8</v>
      </c>
      <c r="P80" s="1742"/>
      <c r="Q80" s="1742"/>
      <c r="R80" s="2013"/>
      <c r="S80" s="1742"/>
    </row>
    <row r="81" spans="1:33" x14ac:dyDescent="0.3">
      <c r="F81" s="13"/>
      <c r="H81" s="863" t="s">
        <v>861</v>
      </c>
      <c r="I81" s="863">
        <v>56</v>
      </c>
      <c r="J81" s="863"/>
      <c r="K81" s="863"/>
      <c r="L81" s="1688"/>
      <c r="M81" s="863" t="s">
        <v>861</v>
      </c>
      <c r="N81" s="1860"/>
      <c r="O81" s="2045">
        <v>65</v>
      </c>
      <c r="P81" s="1742"/>
      <c r="Q81" s="1742"/>
      <c r="R81" s="2013"/>
      <c r="S81" s="1742"/>
    </row>
    <row r="82" spans="1:33" x14ac:dyDescent="0.3">
      <c r="F82" s="13"/>
      <c r="H82" s="863" t="s">
        <v>475</v>
      </c>
      <c r="I82" s="863">
        <v>12085</v>
      </c>
      <c r="J82" s="863"/>
      <c r="K82" s="863"/>
      <c r="L82" s="863"/>
      <c r="M82" s="863" t="s">
        <v>475</v>
      </c>
      <c r="N82" s="1860"/>
      <c r="O82" s="2046">
        <v>17857</v>
      </c>
      <c r="P82" s="1742"/>
      <c r="Q82" s="1742"/>
      <c r="R82" s="2013"/>
      <c r="S82" s="1742"/>
    </row>
    <row r="83" spans="1:33" x14ac:dyDescent="0.3">
      <c r="A83" s="1703"/>
      <c r="H83" s="863" t="s">
        <v>477</v>
      </c>
      <c r="I83" s="974">
        <v>135888692</v>
      </c>
      <c r="J83" s="974"/>
      <c r="K83" s="974"/>
      <c r="L83" s="863"/>
      <c r="M83" s="863" t="s">
        <v>477</v>
      </c>
      <c r="N83" s="1860"/>
      <c r="O83" s="2047">
        <v>200789213</v>
      </c>
      <c r="P83" s="1742"/>
      <c r="Q83" s="1742"/>
      <c r="R83" s="2013"/>
      <c r="S83" s="1742"/>
    </row>
    <row r="84" spans="1:33" x14ac:dyDescent="0.3">
      <c r="A84" s="1703"/>
      <c r="H84" s="863"/>
      <c r="I84" s="974"/>
      <c r="J84" s="863"/>
      <c r="K84" s="863"/>
      <c r="L84" s="863"/>
      <c r="M84" s="863"/>
      <c r="N84" s="1860"/>
      <c r="O84" s="2012"/>
      <c r="P84" s="1742"/>
      <c r="Q84" s="1742"/>
      <c r="R84" s="2013"/>
      <c r="S84" s="1742"/>
    </row>
    <row r="85" spans="1:33" x14ac:dyDescent="0.3">
      <c r="A85" s="2587" t="s">
        <v>480</v>
      </c>
      <c r="B85" s="2588"/>
      <c r="C85" s="2588"/>
      <c r="D85" s="2588"/>
      <c r="E85" s="2588"/>
      <c r="F85" s="2588"/>
      <c r="G85" s="2588"/>
      <c r="H85" s="2588"/>
      <c r="I85" s="2588"/>
      <c r="J85" s="2588"/>
      <c r="K85" s="2588"/>
      <c r="L85" s="2588"/>
      <c r="M85" s="2588"/>
      <c r="N85" s="2588"/>
      <c r="O85" s="2588"/>
      <c r="P85" s="2588"/>
      <c r="Q85" s="2588"/>
      <c r="R85" s="2588"/>
      <c r="S85" s="2587" t="s">
        <v>878</v>
      </c>
      <c r="T85" s="2588"/>
      <c r="U85" s="2588"/>
      <c r="V85" s="2588"/>
      <c r="W85" s="2588"/>
      <c r="X85" s="2588"/>
      <c r="Y85" s="2588"/>
      <c r="Z85" s="2588"/>
      <c r="AA85" s="2588"/>
      <c r="AB85" s="2588"/>
      <c r="AC85" s="2588"/>
      <c r="AD85" s="2588"/>
      <c r="AE85" s="2588"/>
      <c r="AF85" s="2588"/>
      <c r="AG85" s="2589"/>
    </row>
    <row r="86" spans="1:33" ht="18" x14ac:dyDescent="0.3">
      <c r="A86" s="2256" t="s">
        <v>482</v>
      </c>
      <c r="B86" s="2258" t="s">
        <v>483</v>
      </c>
      <c r="C86" s="2258" t="s">
        <v>484</v>
      </c>
      <c r="D86" s="2258" t="s">
        <v>485</v>
      </c>
      <c r="E86" s="2258" t="s">
        <v>486</v>
      </c>
      <c r="F86" s="2260" t="s">
        <v>487</v>
      </c>
      <c r="G86" s="2260" t="s">
        <v>1135</v>
      </c>
      <c r="H86" s="2258" t="s">
        <v>489</v>
      </c>
      <c r="I86" s="2940" t="s">
        <v>490</v>
      </c>
      <c r="J86" s="2941"/>
      <c r="K86" s="2941"/>
      <c r="L86" s="2942"/>
      <c r="M86" s="305" t="s">
        <v>491</v>
      </c>
      <c r="N86" s="306" t="s">
        <v>492</v>
      </c>
      <c r="O86" s="2048" t="s">
        <v>493</v>
      </c>
      <c r="P86" s="306" t="s">
        <v>492</v>
      </c>
      <c r="Q86" s="306" t="s">
        <v>494</v>
      </c>
      <c r="R86" s="308" t="s">
        <v>495</v>
      </c>
      <c r="S86" s="2049" t="s">
        <v>496</v>
      </c>
      <c r="T86" s="2924" t="s">
        <v>497</v>
      </c>
      <c r="U86" s="2924"/>
      <c r="V86" s="2924"/>
      <c r="W86" s="2924"/>
      <c r="X86" s="2924"/>
      <c r="Y86" s="2926" t="s">
        <v>498</v>
      </c>
      <c r="Z86" s="2927"/>
      <c r="AA86" s="2924" t="s">
        <v>499</v>
      </c>
      <c r="AB86" s="2924"/>
      <c r="AC86" s="2924"/>
      <c r="AD86" s="2924"/>
      <c r="AE86" s="2924"/>
      <c r="AF86" s="2924"/>
      <c r="AG86" s="2930"/>
    </row>
    <row r="87" spans="1:33" ht="18" x14ac:dyDescent="0.3">
      <c r="A87" s="2257"/>
      <c r="B87" s="2259"/>
      <c r="C87" s="2259"/>
      <c r="D87" s="2259"/>
      <c r="E87" s="2259"/>
      <c r="F87" s="2261"/>
      <c r="G87" s="2261"/>
      <c r="H87" s="2259"/>
      <c r="I87" s="310" t="s">
        <v>500</v>
      </c>
      <c r="J87" s="310" t="s">
        <v>501</v>
      </c>
      <c r="K87" s="310" t="s">
        <v>502</v>
      </c>
      <c r="L87" s="310" t="s">
        <v>503</v>
      </c>
      <c r="M87" s="311" t="s">
        <v>504</v>
      </c>
      <c r="N87" s="312" t="s">
        <v>505</v>
      </c>
      <c r="O87" s="2050" t="s">
        <v>506</v>
      </c>
      <c r="P87" s="312" t="s">
        <v>507</v>
      </c>
      <c r="Q87" s="312" t="s">
        <v>507</v>
      </c>
      <c r="R87" s="314"/>
      <c r="S87" s="2051" t="s">
        <v>508</v>
      </c>
      <c r="T87" s="2925"/>
      <c r="U87" s="2925"/>
      <c r="V87" s="2925"/>
      <c r="W87" s="2925"/>
      <c r="X87" s="2925"/>
      <c r="Y87" s="2928"/>
      <c r="Z87" s="2929"/>
      <c r="AA87" s="2925"/>
      <c r="AB87" s="2925"/>
      <c r="AC87" s="2925"/>
      <c r="AD87" s="2925"/>
      <c r="AE87" s="2925"/>
      <c r="AF87" s="2925"/>
      <c r="AG87" s="2931"/>
    </row>
    <row r="88" spans="1:33" ht="15.6" x14ac:dyDescent="0.3">
      <c r="A88" s="2938" t="s">
        <v>550</v>
      </c>
      <c r="B88" s="2939"/>
      <c r="C88" s="2939"/>
      <c r="D88" s="2939"/>
      <c r="E88" s="2939"/>
      <c r="F88" s="2939"/>
      <c r="G88" s="2939"/>
      <c r="H88" s="2939"/>
      <c r="I88" s="2939"/>
      <c r="J88" s="2939"/>
      <c r="K88" s="2939"/>
      <c r="L88" s="2939"/>
      <c r="M88" s="2939"/>
      <c r="N88" s="2939"/>
      <c r="O88" s="2939"/>
      <c r="P88" s="2939"/>
      <c r="Q88" s="2939"/>
      <c r="R88" s="2939"/>
      <c r="S88" s="2052"/>
      <c r="T88" s="2053" t="s">
        <v>510</v>
      </c>
      <c r="U88" s="2053" t="s">
        <v>11</v>
      </c>
      <c r="V88" s="2053" t="s">
        <v>511</v>
      </c>
      <c r="W88" s="2053" t="s">
        <v>512</v>
      </c>
      <c r="X88" s="2053" t="s">
        <v>513</v>
      </c>
      <c r="Y88" s="2054" t="s">
        <v>514</v>
      </c>
      <c r="Z88" s="2055" t="s">
        <v>515</v>
      </c>
      <c r="AA88" s="2056" t="s">
        <v>1</v>
      </c>
      <c r="AB88" s="2056" t="s">
        <v>0</v>
      </c>
      <c r="AC88" s="2056" t="s">
        <v>264</v>
      </c>
      <c r="AD88" s="2056" t="s">
        <v>265</v>
      </c>
      <c r="AE88" s="2056" t="s">
        <v>10</v>
      </c>
      <c r="AF88" s="2056" t="s">
        <v>178</v>
      </c>
      <c r="AG88" s="2057"/>
    </row>
    <row r="89" spans="1:33" ht="15.6" x14ac:dyDescent="0.3">
      <c r="A89" s="875"/>
      <c r="B89" s="875"/>
      <c r="C89" s="875"/>
      <c r="D89" s="876"/>
      <c r="E89" s="876"/>
      <c r="F89" s="876"/>
      <c r="G89" s="876"/>
      <c r="H89" s="876"/>
      <c r="I89" s="878"/>
      <c r="J89" s="878"/>
      <c r="K89" s="879"/>
      <c r="L89" s="880"/>
      <c r="M89" s="881"/>
      <c r="N89" s="1698"/>
      <c r="O89" s="2016"/>
      <c r="P89" s="1699"/>
      <c r="Q89" s="1700"/>
      <c r="R89" s="885"/>
      <c r="S89" s="2017"/>
      <c r="T89" s="2018"/>
      <c r="U89" s="2018"/>
      <c r="V89" s="2018"/>
      <c r="W89" s="2018"/>
      <c r="Y89" s="1945"/>
      <c r="Z89" s="1946"/>
      <c r="AG89" s="1940"/>
    </row>
    <row r="90" spans="1:33" ht="15.6" x14ac:dyDescent="0.3">
      <c r="A90" s="891" t="s">
        <v>1136</v>
      </c>
      <c r="B90" s="891" t="s">
        <v>266</v>
      </c>
      <c r="C90" s="891" t="s">
        <v>1137</v>
      </c>
      <c r="D90" s="891" t="s">
        <v>267</v>
      </c>
      <c r="E90" s="891" t="s">
        <v>518</v>
      </c>
      <c r="F90" s="891">
        <v>65</v>
      </c>
      <c r="G90" s="893">
        <v>15</v>
      </c>
      <c r="H90" s="894" t="s">
        <v>22</v>
      </c>
      <c r="I90" s="878"/>
      <c r="J90" s="895">
        <v>15</v>
      </c>
      <c r="K90" s="895">
        <v>15</v>
      </c>
      <c r="M90" s="896">
        <v>2</v>
      </c>
      <c r="N90" s="1702">
        <v>3289</v>
      </c>
      <c r="O90" s="898">
        <v>0.61</v>
      </c>
      <c r="P90" s="1702">
        <f>N90*(1-O90)</f>
        <v>1282.71</v>
      </c>
      <c r="Q90" s="1702">
        <f>P90*G90*M90</f>
        <v>38481.300000000003</v>
      </c>
      <c r="R90" s="899">
        <f>Q90/Q99</f>
        <v>0.1885207628225159</v>
      </c>
      <c r="S90" s="2020">
        <f>Q90*4</f>
        <v>153925.20000000001</v>
      </c>
      <c r="T90" s="2021">
        <f>S90</f>
        <v>153925.20000000001</v>
      </c>
      <c r="U90" s="2021"/>
      <c r="V90" s="2021"/>
      <c r="W90" s="2021"/>
      <c r="Y90" s="1945"/>
      <c r="Z90" s="1955">
        <f>S90</f>
        <v>153925.20000000001</v>
      </c>
      <c r="AA90" s="860">
        <f>S90</f>
        <v>153925.20000000001</v>
      </c>
      <c r="AG90" s="1946"/>
    </row>
    <row r="91" spans="1:33" x14ac:dyDescent="0.3">
      <c r="A91" s="891" t="s">
        <v>1136</v>
      </c>
      <c r="B91" s="891" t="s">
        <v>157</v>
      </c>
      <c r="C91" s="891" t="s">
        <v>1137</v>
      </c>
      <c r="D91" s="891" t="s">
        <v>268</v>
      </c>
      <c r="E91" s="891" t="s">
        <v>518</v>
      </c>
      <c r="F91" s="891">
        <v>80</v>
      </c>
      <c r="G91" s="893">
        <v>10</v>
      </c>
      <c r="H91" s="894" t="s">
        <v>22</v>
      </c>
      <c r="I91" s="895">
        <v>10</v>
      </c>
      <c r="J91" s="10"/>
      <c r="K91" s="10"/>
      <c r="L91" s="10"/>
      <c r="M91" s="896">
        <v>1</v>
      </c>
      <c r="N91" s="1702">
        <v>3255</v>
      </c>
      <c r="O91" s="898">
        <v>0.43</v>
      </c>
      <c r="P91" s="1702">
        <f>N91*(1-O91)</f>
        <v>1855.3500000000001</v>
      </c>
      <c r="Q91" s="1702">
        <f>P91*G91*M91</f>
        <v>18553.5</v>
      </c>
      <c r="R91" s="899">
        <f>Q91/Q99</f>
        <v>9.0894017952292377E-2</v>
      </c>
      <c r="S91" s="2020">
        <f t="shared" ref="S91:S97" si="17">Q91*4</f>
        <v>74214</v>
      </c>
      <c r="T91" s="2021"/>
      <c r="U91" s="2021">
        <f>S91</f>
        <v>74214</v>
      </c>
      <c r="V91" s="2021"/>
      <c r="W91" s="2021"/>
      <c r="X91" s="2024"/>
      <c r="Y91" s="2031"/>
      <c r="Z91" s="2058">
        <f>S91</f>
        <v>74214</v>
      </c>
      <c r="AA91" s="863"/>
      <c r="AB91" s="1921">
        <f>S91</f>
        <v>74214</v>
      </c>
      <c r="AC91" s="863"/>
      <c r="AD91" s="863"/>
      <c r="AE91" s="863"/>
      <c r="AG91" s="2032"/>
    </row>
    <row r="92" spans="1:33" x14ac:dyDescent="0.3">
      <c r="A92" s="891" t="s">
        <v>1136</v>
      </c>
      <c r="B92" s="2028" t="s">
        <v>157</v>
      </c>
      <c r="C92" s="2028" t="s">
        <v>1137</v>
      </c>
      <c r="D92" s="2028" t="s">
        <v>268</v>
      </c>
      <c r="E92" s="2028" t="s">
        <v>520</v>
      </c>
      <c r="F92" s="2028">
        <v>984</v>
      </c>
      <c r="G92" s="2028">
        <v>12</v>
      </c>
      <c r="H92" s="2028" t="s">
        <v>22</v>
      </c>
      <c r="I92" s="895">
        <v>12</v>
      </c>
      <c r="J92" s="908">
        <v>12</v>
      </c>
      <c r="K92" s="10"/>
      <c r="L92" s="10"/>
      <c r="M92" s="896">
        <f t="shared" ref="M92" si="18">COUNT(I92:L92)</f>
        <v>2</v>
      </c>
      <c r="N92" s="1702">
        <v>2082.02</v>
      </c>
      <c r="O92" s="898">
        <v>0.7</v>
      </c>
      <c r="P92" s="1702">
        <f>N92*(1-O92)</f>
        <v>624.60600000000011</v>
      </c>
      <c r="Q92" s="1702">
        <f t="shared" ref="Q92" si="19">P92*G92*M92</f>
        <v>14990.544000000002</v>
      </c>
      <c r="R92" s="967">
        <f>Q92/Q99</f>
        <v>7.3439015573914829E-2</v>
      </c>
      <c r="S92" s="2020">
        <f t="shared" si="17"/>
        <v>59962.176000000007</v>
      </c>
      <c r="T92" s="2021"/>
      <c r="U92" s="2021">
        <f>S92</f>
        <v>59962.176000000007</v>
      </c>
      <c r="V92" s="2021"/>
      <c r="W92" s="2021"/>
      <c r="X92" s="2024"/>
      <c r="Y92" s="2029">
        <f>S92</f>
        <v>59962.176000000007</v>
      </c>
      <c r="Z92" s="2030"/>
      <c r="AA92" s="863"/>
      <c r="AB92" s="1921">
        <f>S92</f>
        <v>59962.176000000007</v>
      </c>
      <c r="AC92" s="863"/>
      <c r="AD92" s="863"/>
      <c r="AE92" s="863"/>
      <c r="AG92" s="2032"/>
    </row>
    <row r="93" spans="1:33" x14ac:dyDescent="0.3">
      <c r="A93" s="891" t="s">
        <v>1136</v>
      </c>
      <c r="B93" s="2028" t="s">
        <v>288</v>
      </c>
      <c r="C93" s="2028" t="s">
        <v>1075</v>
      </c>
      <c r="D93" s="2028" t="s">
        <v>102</v>
      </c>
      <c r="E93" s="2028" t="s">
        <v>518</v>
      </c>
      <c r="F93" s="2028">
        <v>16</v>
      </c>
      <c r="G93" s="2028">
        <v>2</v>
      </c>
      <c r="H93" s="2028" t="s">
        <v>22</v>
      </c>
      <c r="I93" s="863"/>
      <c r="J93" s="863"/>
      <c r="K93" s="895">
        <v>2</v>
      </c>
      <c r="L93" s="10"/>
      <c r="M93" s="896">
        <v>1</v>
      </c>
      <c r="N93" s="1702">
        <v>16500</v>
      </c>
      <c r="O93" s="898">
        <v>0.25</v>
      </c>
      <c r="P93" s="1702">
        <f t="shared" ref="P93:P95" si="20">N93*(1-O93)</f>
        <v>12375</v>
      </c>
      <c r="Q93" s="1702">
        <f>P93*G93*M93</f>
        <v>24750</v>
      </c>
      <c r="R93" s="899">
        <f>Q93/Q99</f>
        <v>0.121250812208976</v>
      </c>
      <c r="S93" s="2020">
        <f t="shared" si="17"/>
        <v>99000</v>
      </c>
      <c r="T93" s="2021">
        <f>S93</f>
        <v>99000</v>
      </c>
      <c r="U93" s="2021"/>
      <c r="V93" s="2021"/>
      <c r="W93" s="2021"/>
      <c r="X93" s="2024"/>
      <c r="Y93" s="2031"/>
      <c r="Z93" s="2058">
        <f>S93</f>
        <v>99000</v>
      </c>
      <c r="AA93" s="863"/>
      <c r="AB93" s="863"/>
      <c r="AC93" s="1921">
        <f>S93</f>
        <v>99000</v>
      </c>
      <c r="AD93" s="863"/>
      <c r="AE93" s="863"/>
      <c r="AG93" s="2032"/>
    </row>
    <row r="94" spans="1:33" x14ac:dyDescent="0.3">
      <c r="A94" s="891" t="s">
        <v>1136</v>
      </c>
      <c r="B94" s="2028" t="s">
        <v>272</v>
      </c>
      <c r="C94" s="2028" t="s">
        <v>1075</v>
      </c>
      <c r="D94" s="2028" t="s">
        <v>27</v>
      </c>
      <c r="E94" s="2028" t="s">
        <v>520</v>
      </c>
      <c r="F94" s="2028">
        <v>200</v>
      </c>
      <c r="G94" s="2028">
        <v>21</v>
      </c>
      <c r="H94" s="2028" t="s">
        <v>106</v>
      </c>
      <c r="I94" s="908">
        <v>21</v>
      </c>
      <c r="J94" s="895"/>
      <c r="K94" s="907"/>
      <c r="L94" s="907"/>
      <c r="M94" s="896">
        <v>1</v>
      </c>
      <c r="N94" s="1702">
        <v>2100</v>
      </c>
      <c r="O94" s="898">
        <v>0.33</v>
      </c>
      <c r="P94" s="1702">
        <f t="shared" si="20"/>
        <v>1406.9999999999998</v>
      </c>
      <c r="Q94" s="1702">
        <f t="shared" ref="Q94" si="21">P94*G94*M94</f>
        <v>29546.999999999996</v>
      </c>
      <c r="R94" s="967">
        <f>Q94/Q99</f>
        <v>0.14475142417529752</v>
      </c>
      <c r="S94" s="2020">
        <f t="shared" si="17"/>
        <v>118187.99999999999</v>
      </c>
      <c r="T94" s="2021">
        <f>S94</f>
        <v>118187.99999999999</v>
      </c>
      <c r="U94" s="2021"/>
      <c r="V94" s="2021"/>
      <c r="W94" s="2021"/>
      <c r="X94" s="2024"/>
      <c r="Y94" s="2029">
        <f>S94</f>
        <v>118187.99999999999</v>
      </c>
      <c r="Z94" s="2033"/>
      <c r="AA94" s="863"/>
      <c r="AB94" s="863"/>
      <c r="AC94" s="1921">
        <f>S94</f>
        <v>118187.99999999999</v>
      </c>
      <c r="AD94" s="863"/>
      <c r="AE94" s="863"/>
      <c r="AG94" s="2032"/>
    </row>
    <row r="95" spans="1:33" x14ac:dyDescent="0.3">
      <c r="A95" s="891" t="s">
        <v>1136</v>
      </c>
      <c r="B95" s="2028" t="s">
        <v>270</v>
      </c>
      <c r="C95" s="2028" t="s">
        <v>517</v>
      </c>
      <c r="D95" s="2028" t="s">
        <v>271</v>
      </c>
      <c r="E95" s="2028" t="s">
        <v>524</v>
      </c>
      <c r="F95" s="2028">
        <v>15</v>
      </c>
      <c r="G95" s="2028">
        <v>2</v>
      </c>
      <c r="H95" s="2028" t="s">
        <v>24</v>
      </c>
      <c r="I95" s="2059">
        <v>2</v>
      </c>
      <c r="J95" s="2060"/>
      <c r="K95" s="2060"/>
      <c r="L95" s="2061"/>
      <c r="M95" s="896">
        <v>1</v>
      </c>
      <c r="N95" s="1706">
        <v>35000</v>
      </c>
      <c r="O95" s="910">
        <v>0.5</v>
      </c>
      <c r="P95" s="1706">
        <f t="shared" si="20"/>
        <v>17500</v>
      </c>
      <c r="Q95" s="1702">
        <f>P95*G95*M95</f>
        <v>35000</v>
      </c>
      <c r="R95" s="967">
        <f>Q95/Q99</f>
        <v>0.17146579504299636</v>
      </c>
      <c r="S95" s="2020">
        <f t="shared" si="17"/>
        <v>140000</v>
      </c>
      <c r="T95" s="2021">
        <f>S95</f>
        <v>140000</v>
      </c>
      <c r="U95" s="2021"/>
      <c r="V95" s="2021"/>
      <c r="W95" s="2021"/>
      <c r="X95" s="2024"/>
      <c r="Y95" s="2029">
        <f>S95</f>
        <v>140000</v>
      </c>
      <c r="Z95" s="2033"/>
      <c r="AA95" s="863"/>
      <c r="AB95" s="863"/>
      <c r="AC95" s="863"/>
      <c r="AD95" s="1921">
        <f>S95</f>
        <v>140000</v>
      </c>
      <c r="AE95" s="863"/>
      <c r="AG95" s="2032"/>
    </row>
    <row r="96" spans="1:33" x14ac:dyDescent="0.3">
      <c r="A96" s="891" t="s">
        <v>1136</v>
      </c>
      <c r="B96" s="2028" t="s">
        <v>1142</v>
      </c>
      <c r="C96" s="2028" t="s">
        <v>1075</v>
      </c>
      <c r="D96" s="2028" t="s">
        <v>26</v>
      </c>
      <c r="E96" s="2028" t="s">
        <v>520</v>
      </c>
      <c r="F96" s="2028">
        <v>62</v>
      </c>
      <c r="G96" s="2028">
        <v>2</v>
      </c>
      <c r="H96" s="2028" t="s">
        <v>106</v>
      </c>
      <c r="I96" s="2062">
        <v>2</v>
      </c>
      <c r="J96" s="2063"/>
      <c r="K96" s="908" t="s">
        <v>1139</v>
      </c>
      <c r="L96" s="2480"/>
      <c r="M96" s="896">
        <v>1</v>
      </c>
      <c r="N96" s="1706">
        <v>16000</v>
      </c>
      <c r="O96" s="910">
        <v>0.35</v>
      </c>
      <c r="P96" s="1706">
        <f>N96*(1-O96)</f>
        <v>10400</v>
      </c>
      <c r="Q96" s="1702">
        <f>P96*G96*M96</f>
        <v>20800</v>
      </c>
      <c r="R96" s="967">
        <f>Q96/Q99</f>
        <v>0.10189967248269498</v>
      </c>
      <c r="S96" s="2020">
        <f t="shared" si="17"/>
        <v>83200</v>
      </c>
      <c r="T96" s="2021">
        <f>S96</f>
        <v>83200</v>
      </c>
      <c r="U96" s="2021"/>
      <c r="V96" s="2021"/>
      <c r="W96" s="2021"/>
      <c r="X96" s="2024"/>
      <c r="Y96" s="1959">
        <f>S96</f>
        <v>83200</v>
      </c>
      <c r="Z96" s="1946"/>
      <c r="AC96" s="860">
        <f>S96</f>
        <v>83200</v>
      </c>
      <c r="AG96" s="1947"/>
    </row>
    <row r="97" spans="1:33" x14ac:dyDescent="0.3">
      <c r="A97" s="915" t="s">
        <v>1136</v>
      </c>
      <c r="B97" s="2035" t="s">
        <v>529</v>
      </c>
      <c r="C97" s="2035"/>
      <c r="D97" s="2035"/>
      <c r="E97" s="2035"/>
      <c r="F97" s="2035"/>
      <c r="G97" s="2035"/>
      <c r="H97" s="2035"/>
      <c r="I97" s="2036"/>
      <c r="J97" s="2037"/>
      <c r="K97" s="2036"/>
      <c r="L97" s="2036"/>
      <c r="M97" s="2035"/>
      <c r="N97" s="2038"/>
      <c r="O97" s="2039"/>
      <c r="P97" s="2038"/>
      <c r="Q97" s="1709">
        <v>22000</v>
      </c>
      <c r="R97" s="2040">
        <f>Q97/Q99</f>
        <v>0.107778499741312</v>
      </c>
      <c r="S97" s="2020">
        <f t="shared" si="17"/>
        <v>88000</v>
      </c>
      <c r="X97" s="860">
        <f>S97</f>
        <v>88000</v>
      </c>
      <c r="Y97" s="1945"/>
      <c r="Z97" s="1946"/>
      <c r="AG97" s="1947"/>
    </row>
    <row r="98" spans="1:33" x14ac:dyDescent="0.3">
      <c r="A98" s="929"/>
      <c r="I98" s="1684">
        <f>I99/M99</f>
        <v>0.51648351648351654</v>
      </c>
      <c r="J98" s="1917"/>
      <c r="K98" s="1684">
        <f>K99/M99</f>
        <v>0.18681318681318682</v>
      </c>
      <c r="Q98" s="1711"/>
      <c r="R98" s="933"/>
      <c r="S98" s="1954"/>
      <c r="Y98" s="1945"/>
      <c r="Z98" s="1946"/>
      <c r="AG98" s="2064"/>
    </row>
    <row r="99" spans="1:33" x14ac:dyDescent="0.3">
      <c r="A99" s="984" t="s">
        <v>531</v>
      </c>
      <c r="B99" s="985"/>
      <c r="C99" s="985"/>
      <c r="D99" s="985"/>
      <c r="E99" s="985"/>
      <c r="F99" s="985"/>
      <c r="G99" s="985"/>
      <c r="H99" s="985"/>
      <c r="I99" s="987">
        <f>I96+I95+I94+I92+I91</f>
        <v>47</v>
      </c>
      <c r="J99" s="988">
        <f>J92+J90</f>
        <v>27</v>
      </c>
      <c r="K99" s="987">
        <f>K90+K93</f>
        <v>17</v>
      </c>
      <c r="L99" s="987"/>
      <c r="M99" s="987">
        <f>SUM(I99:L99)</f>
        <v>91</v>
      </c>
      <c r="N99" s="2065"/>
      <c r="O99" s="2066"/>
      <c r="P99" s="2065"/>
      <c r="Q99" s="2067">
        <f>SUM(Q90:Q97)</f>
        <v>204122.34400000001</v>
      </c>
      <c r="R99" s="2068">
        <f>SUM(R89:R97)</f>
        <v>0.99999999999999989</v>
      </c>
      <c r="S99" s="2069">
        <f>SUM(S90:S97)</f>
        <v>816489.37600000005</v>
      </c>
      <c r="T99" s="2070">
        <f>SUM(T89:T98)</f>
        <v>594313.19999999995</v>
      </c>
      <c r="U99" s="2070">
        <f>SUM(U89:U98)</f>
        <v>134176.17600000001</v>
      </c>
      <c r="V99" s="2071"/>
      <c r="W99" s="2071"/>
      <c r="X99" s="2070">
        <f>SUM(X90:X98)</f>
        <v>88000</v>
      </c>
      <c r="Y99" s="2072">
        <f>SUM(Y89:Y98)</f>
        <v>401350.17599999998</v>
      </c>
      <c r="Z99" s="2073">
        <f>SUM(Z89:Z98)</f>
        <v>327139.20000000001</v>
      </c>
      <c r="AA99" s="2070">
        <f>SUM(AA89:AA98)</f>
        <v>153925.20000000001</v>
      </c>
      <c r="AB99" s="2070">
        <f t="shared" ref="AB99:AF99" si="22">SUM(AB89:AB98)</f>
        <v>134176.17600000001</v>
      </c>
      <c r="AC99" s="2070">
        <f t="shared" si="22"/>
        <v>300388</v>
      </c>
      <c r="AD99" s="2070">
        <f t="shared" si="22"/>
        <v>140000</v>
      </c>
      <c r="AE99" s="2070">
        <f t="shared" si="22"/>
        <v>0</v>
      </c>
      <c r="AF99" s="2070">
        <f t="shared" si="22"/>
        <v>0</v>
      </c>
      <c r="AG99" s="2074"/>
    </row>
    <row r="100" spans="1:33" x14ac:dyDescent="0.3">
      <c r="A100" s="994" t="s">
        <v>532</v>
      </c>
      <c r="B100" s="995"/>
      <c r="C100" s="995"/>
      <c r="D100" s="995"/>
      <c r="E100" s="995"/>
      <c r="F100" s="995"/>
      <c r="G100" s="995"/>
      <c r="H100" s="995"/>
      <c r="I100" s="997">
        <f>I96+I95+I94+I92+I91</f>
        <v>47</v>
      </c>
      <c r="J100" s="997">
        <f>I96+I95+I94+J92+J90</f>
        <v>52</v>
      </c>
      <c r="K100" s="997">
        <f>I96+I95+K93+K90</f>
        <v>21</v>
      </c>
      <c r="L100" s="997"/>
      <c r="M100" s="998">
        <f>I100+J100+K100+L104+L100</f>
        <v>120</v>
      </c>
      <c r="N100" s="2075"/>
      <c r="O100" s="2076"/>
      <c r="P100" s="2075"/>
      <c r="Q100" s="2077"/>
      <c r="R100" s="2078"/>
      <c r="S100" s="2079"/>
      <c r="T100" s="2080"/>
      <c r="U100" s="2080"/>
      <c r="V100" s="2080"/>
      <c r="W100" s="2080"/>
      <c r="X100" s="2080"/>
      <c r="Y100" s="2081">
        <f>Y99/S99</f>
        <v>0.49155590727490367</v>
      </c>
      <c r="Z100" s="2082">
        <f>Z99/S99</f>
        <v>0.40066559298378429</v>
      </c>
      <c r="AA100" s="2083"/>
      <c r="AB100" s="2083"/>
      <c r="AC100" s="2083"/>
      <c r="AD100" s="2083"/>
      <c r="AE100" s="2083"/>
      <c r="AF100" s="2084"/>
      <c r="AG100" s="2085"/>
    </row>
    <row r="101" spans="1:33" x14ac:dyDescent="0.3">
      <c r="A101" s="243" t="s">
        <v>533</v>
      </c>
      <c r="B101" s="1725"/>
      <c r="C101" s="1725"/>
      <c r="D101" s="1725"/>
      <c r="E101" s="1725"/>
      <c r="F101" s="1725"/>
      <c r="G101" s="1725"/>
      <c r="H101" s="1725"/>
      <c r="I101" s="2201">
        <f>I100/M100</f>
        <v>0.39166666666666666</v>
      </c>
      <c r="J101" s="2201">
        <f>J100/$M$100</f>
        <v>0.43333333333333335</v>
      </c>
      <c r="K101" s="2201">
        <f t="shared" ref="K101:L101" si="23">K100/$M$100</f>
        <v>0.17499999999999999</v>
      </c>
      <c r="L101" s="1725">
        <f t="shared" si="23"/>
        <v>0</v>
      </c>
      <c r="M101" s="1726"/>
      <c r="N101" s="1728"/>
      <c r="O101" s="1996"/>
      <c r="P101" s="1728"/>
      <c r="Q101" s="1997">
        <f>T99/4</f>
        <v>148578.29999999999</v>
      </c>
      <c r="R101" s="1730">
        <f>Q101/Q106</f>
        <v>0.72788846673248075</v>
      </c>
      <c r="S101" s="2086"/>
      <c r="T101" s="2087"/>
      <c r="U101" s="2087"/>
      <c r="V101" s="2087"/>
      <c r="W101" s="2087"/>
      <c r="X101" s="2087"/>
      <c r="Y101" s="1791">
        <f>I92+J92+I94+I95+I96+2</f>
        <v>51</v>
      </c>
      <c r="Z101" s="1792">
        <f>J90+K90+I91+K93</f>
        <v>42</v>
      </c>
      <c r="AA101" s="2009"/>
      <c r="AB101" s="2009"/>
      <c r="AC101" s="2009"/>
      <c r="AD101" s="2009"/>
      <c r="AE101" s="2009"/>
    </row>
    <row r="102" spans="1:33" x14ac:dyDescent="0.3">
      <c r="A102" s="251" t="s">
        <v>11</v>
      </c>
      <c r="B102" s="1733"/>
      <c r="C102" s="1733"/>
      <c r="D102" s="1734"/>
      <c r="E102" s="1734"/>
      <c r="F102" s="1733"/>
      <c r="G102" s="1733"/>
      <c r="H102" s="1733"/>
      <c r="I102" s="1733"/>
      <c r="J102" s="1733"/>
      <c r="K102" s="1733"/>
      <c r="L102" s="1733"/>
      <c r="M102" s="1735"/>
      <c r="N102" s="1737"/>
      <c r="O102" s="1998"/>
      <c r="P102" s="1737"/>
      <c r="Q102" s="1999">
        <f>U99/4</f>
        <v>33544.044000000002</v>
      </c>
      <c r="R102" s="1730">
        <f>Q102/Q106</f>
        <v>0.16433303352620723</v>
      </c>
      <c r="S102" s="2088">
        <f>Q99/M99</f>
        <v>2243.1026813186813</v>
      </c>
      <c r="T102" s="2089" t="s">
        <v>535</v>
      </c>
      <c r="U102" s="2087"/>
      <c r="V102" s="2087"/>
      <c r="W102" s="2087"/>
      <c r="X102" s="2087"/>
      <c r="Y102" s="195">
        <f>Y101/M99</f>
        <v>0.56043956043956045</v>
      </c>
      <c r="Z102" s="247">
        <f>Z101/M99</f>
        <v>0.46153846153846156</v>
      </c>
      <c r="AA102" s="2009"/>
      <c r="AB102" s="2009"/>
      <c r="AC102" s="2009"/>
      <c r="AD102" s="2009"/>
      <c r="AE102" s="2009"/>
    </row>
    <row r="103" spans="1:33" x14ac:dyDescent="0.3">
      <c r="A103" s="251" t="s">
        <v>536</v>
      </c>
      <c r="B103" s="1733"/>
      <c r="C103" s="1733"/>
      <c r="D103" s="1734"/>
      <c r="E103" s="1734"/>
      <c r="F103" s="1735"/>
      <c r="G103" s="1733"/>
      <c r="H103" s="1733"/>
      <c r="I103" s="1733"/>
      <c r="J103" s="1733"/>
      <c r="K103" s="1733"/>
      <c r="L103" s="1733"/>
      <c r="M103" s="1733"/>
      <c r="N103" s="1737"/>
      <c r="O103" s="2001"/>
      <c r="P103" s="1737"/>
      <c r="Q103" s="1999">
        <f>V99/4</f>
        <v>0</v>
      </c>
      <c r="R103" s="1730">
        <f>Q103/Q106</f>
        <v>0</v>
      </c>
      <c r="S103" s="2086"/>
      <c r="Y103" s="2889" t="s">
        <v>537</v>
      </c>
      <c r="Z103" s="2890"/>
    </row>
    <row r="104" spans="1:33" x14ac:dyDescent="0.3">
      <c r="A104" s="251" t="s">
        <v>528</v>
      </c>
      <c r="B104" s="1733"/>
      <c r="C104" s="1733"/>
      <c r="D104" s="1733"/>
      <c r="E104" s="1733"/>
      <c r="F104" s="1733"/>
      <c r="G104" s="1733"/>
      <c r="H104" s="1733"/>
      <c r="I104" s="1733"/>
      <c r="J104" s="1733"/>
      <c r="K104" s="1733"/>
      <c r="L104" s="1733"/>
      <c r="M104" s="1733"/>
      <c r="N104" s="1737"/>
      <c r="O104" s="2001"/>
      <c r="P104" s="1737"/>
      <c r="Q104" s="1999">
        <f>W99/4</f>
        <v>0</v>
      </c>
      <c r="R104" s="1730">
        <f>Q104/Q106</f>
        <v>0</v>
      </c>
      <c r="S104" s="2086"/>
    </row>
    <row r="105" spans="1:33" x14ac:dyDescent="0.3">
      <c r="A105" s="464" t="s">
        <v>529</v>
      </c>
      <c r="B105" s="2003"/>
      <c r="C105" s="2003"/>
      <c r="D105" s="2003"/>
      <c r="E105" s="2003"/>
      <c r="F105" s="2003"/>
      <c r="G105" s="2003"/>
      <c r="H105" s="2003"/>
      <c r="I105" s="2003"/>
      <c r="J105" s="2003"/>
      <c r="K105" s="2003"/>
      <c r="L105" s="2003"/>
      <c r="M105" s="2003"/>
      <c r="N105" s="2004"/>
      <c r="O105" s="2005"/>
      <c r="P105" s="2004"/>
      <c r="Q105" s="2042">
        <f>X99/4</f>
        <v>22000</v>
      </c>
      <c r="R105" s="1730">
        <f>Q105/Q106</f>
        <v>0.10777849974131201</v>
      </c>
      <c r="S105" s="2086"/>
      <c r="T105" s="2087"/>
      <c r="U105" s="2087"/>
      <c r="V105" s="2087"/>
      <c r="W105" s="2087"/>
      <c r="X105" s="2087"/>
      <c r="Y105" s="2009"/>
      <c r="Z105" s="2009"/>
      <c r="AA105" s="2009"/>
      <c r="AB105" s="2009"/>
      <c r="AC105" s="2009"/>
      <c r="AD105" s="2009"/>
      <c r="AE105" s="2009"/>
    </row>
    <row r="106" spans="1:33" x14ac:dyDescent="0.3">
      <c r="A106" s="1969"/>
      <c r="B106" s="1979"/>
      <c r="C106" s="1979"/>
      <c r="D106" s="1979"/>
      <c r="E106" s="1979"/>
      <c r="F106" s="924"/>
      <c r="G106" s="1979"/>
      <c r="H106" s="1733"/>
      <c r="I106" s="1733"/>
      <c r="J106" s="1733"/>
      <c r="K106" s="1733"/>
      <c r="L106" s="1733"/>
      <c r="M106" s="1733"/>
      <c r="N106" s="1737"/>
      <c r="O106" s="2001"/>
      <c r="P106" s="1737"/>
      <c r="Q106" s="1999">
        <f>SUM(Q101:Q105)</f>
        <v>204122.34399999998</v>
      </c>
      <c r="R106" s="2043">
        <f>SUM(R101:R105)</f>
        <v>1</v>
      </c>
      <c r="S106" s="1742"/>
    </row>
    <row r="107" spans="1:33" x14ac:dyDescent="0.3">
      <c r="A107" s="1703"/>
      <c r="J107" s="13"/>
      <c r="N107" s="1742"/>
      <c r="O107" s="2012"/>
      <c r="P107" s="1742"/>
      <c r="Q107" s="1742"/>
      <c r="R107" s="2013"/>
      <c r="S107" s="1742"/>
      <c r="T107" s="966"/>
      <c r="U107" s="966"/>
      <c r="V107" s="966"/>
      <c r="W107" s="966"/>
      <c r="X107" s="966"/>
    </row>
    <row r="108" spans="1:33" x14ac:dyDescent="0.3">
      <c r="A108" s="1703"/>
      <c r="J108" s="13"/>
      <c r="N108" s="1742"/>
      <c r="O108" s="2012"/>
      <c r="P108" s="1742"/>
      <c r="Q108" s="1742"/>
      <c r="R108" s="2013"/>
      <c r="S108" s="1742"/>
      <c r="T108" s="1742"/>
      <c r="U108" s="1742"/>
      <c r="V108" s="1742"/>
      <c r="W108" s="1742"/>
      <c r="X108" s="1742"/>
      <c r="Y108" s="1742"/>
      <c r="Z108" s="1742"/>
    </row>
    <row r="109" spans="1:33" x14ac:dyDescent="0.3">
      <c r="A109" s="1703"/>
      <c r="J109" s="13"/>
      <c r="N109" s="1742"/>
      <c r="O109" s="2012"/>
      <c r="P109" s="1742"/>
      <c r="Q109" s="1742"/>
      <c r="R109" s="2013"/>
      <c r="S109" s="1742"/>
      <c r="T109" s="1742"/>
      <c r="U109" s="1742"/>
      <c r="V109" s="1742"/>
      <c r="W109" s="1742"/>
      <c r="X109" s="1742"/>
      <c r="Y109" s="1742"/>
      <c r="Z109" s="1742"/>
    </row>
    <row r="110" spans="1:33" x14ac:dyDescent="0.3">
      <c r="A110" s="2560" t="s">
        <v>480</v>
      </c>
      <c r="B110" s="2561"/>
      <c r="C110" s="2561"/>
      <c r="D110" s="2561"/>
      <c r="E110" s="2561"/>
      <c r="F110" s="2561"/>
      <c r="G110" s="2561"/>
      <c r="H110" s="2561"/>
      <c r="I110" s="2561"/>
      <c r="J110" s="2561"/>
      <c r="K110" s="2561"/>
      <c r="L110" s="2561"/>
      <c r="M110" s="2561"/>
      <c r="N110" s="2561"/>
      <c r="O110" s="2561"/>
      <c r="P110" s="2561"/>
      <c r="Q110" s="2561"/>
      <c r="R110" s="2561"/>
      <c r="S110" s="2562"/>
      <c r="T110" s="2851" t="s">
        <v>878</v>
      </c>
      <c r="U110" s="2851"/>
      <c r="V110" s="2851"/>
      <c r="W110" s="2851"/>
      <c r="X110" s="2851"/>
      <c r="Y110" s="2851"/>
      <c r="Z110" s="2851"/>
      <c r="AA110" s="2851"/>
      <c r="AB110" s="2851"/>
      <c r="AC110" s="2851"/>
      <c r="AD110" s="2851"/>
      <c r="AE110" s="2851"/>
      <c r="AF110" s="2851"/>
      <c r="AG110" s="2852"/>
    </row>
    <row r="111" spans="1:33" ht="69" x14ac:dyDescent="0.3">
      <c r="A111" s="2520" t="s">
        <v>482</v>
      </c>
      <c r="B111" s="975" t="s">
        <v>483</v>
      </c>
      <c r="C111" s="975" t="s">
        <v>484</v>
      </c>
      <c r="D111" s="975" t="s">
        <v>555</v>
      </c>
      <c r="E111" s="975" t="s">
        <v>1143</v>
      </c>
      <c r="F111" s="975" t="s">
        <v>1121</v>
      </c>
      <c r="G111" s="2505" t="s">
        <v>1122</v>
      </c>
      <c r="H111" s="2513" t="s">
        <v>489</v>
      </c>
      <c r="I111" s="2935" t="s">
        <v>490</v>
      </c>
      <c r="J111" s="2935"/>
      <c r="K111" s="2935"/>
      <c r="L111" s="2935"/>
      <c r="M111" s="2518" t="s">
        <v>863</v>
      </c>
      <c r="N111" s="2920" t="s">
        <v>864</v>
      </c>
      <c r="O111" s="2936" t="s">
        <v>865</v>
      </c>
      <c r="P111" s="2920" t="s">
        <v>866</v>
      </c>
      <c r="Q111" s="2920" t="s">
        <v>867</v>
      </c>
      <c r="R111" s="2922" t="s">
        <v>495</v>
      </c>
      <c r="S111" s="2049" t="s">
        <v>496</v>
      </c>
      <c r="T111" s="2924" t="s">
        <v>497</v>
      </c>
      <c r="U111" s="2924"/>
      <c r="V111" s="2924"/>
      <c r="W111" s="2924"/>
      <c r="X111" s="2924"/>
      <c r="Y111" s="2926" t="s">
        <v>498</v>
      </c>
      <c r="Z111" s="2927"/>
      <c r="AA111" s="2924" t="s">
        <v>499</v>
      </c>
      <c r="AB111" s="2924"/>
      <c r="AC111" s="2924"/>
      <c r="AD111" s="2924"/>
      <c r="AE111" s="2924"/>
      <c r="AF111" s="2924"/>
      <c r="AG111" s="2930"/>
    </row>
    <row r="112" spans="1:33" ht="18" x14ac:dyDescent="0.3">
      <c r="A112" s="2521"/>
      <c r="B112" s="977"/>
      <c r="C112" s="977"/>
      <c r="D112" s="977"/>
      <c r="E112" s="977"/>
      <c r="F112" s="977" t="s">
        <v>1123</v>
      </c>
      <c r="G112" s="2506"/>
      <c r="H112" s="2514"/>
      <c r="I112" s="978" t="s">
        <v>500</v>
      </c>
      <c r="J112" s="978" t="s">
        <v>501</v>
      </c>
      <c r="K112" s="979" t="s">
        <v>502</v>
      </c>
      <c r="L112" s="979" t="s">
        <v>503</v>
      </c>
      <c r="M112" s="2519"/>
      <c r="N112" s="2921"/>
      <c r="O112" s="2937"/>
      <c r="P112" s="2921"/>
      <c r="Q112" s="2921"/>
      <c r="R112" s="2923"/>
      <c r="S112" s="2051" t="s">
        <v>508</v>
      </c>
      <c r="T112" s="2925"/>
      <c r="U112" s="2925"/>
      <c r="V112" s="2925"/>
      <c r="W112" s="2925"/>
      <c r="X112" s="2925"/>
      <c r="Y112" s="2928"/>
      <c r="Z112" s="2929"/>
      <c r="AA112" s="2925"/>
      <c r="AB112" s="2925"/>
      <c r="AC112" s="2925"/>
      <c r="AD112" s="2925"/>
      <c r="AE112" s="2925"/>
      <c r="AF112" s="2925"/>
      <c r="AG112" s="2931"/>
    </row>
    <row r="113" spans="1:34" ht="15.6" x14ac:dyDescent="0.3">
      <c r="A113" s="2932" t="s">
        <v>1124</v>
      </c>
      <c r="B113" s="2933"/>
      <c r="C113" s="2933"/>
      <c r="D113" s="2933"/>
      <c r="E113" s="2933"/>
      <c r="F113" s="2933"/>
      <c r="G113" s="2933"/>
      <c r="H113" s="2933"/>
      <c r="I113" s="2933"/>
      <c r="J113" s="2933"/>
      <c r="K113" s="2933"/>
      <c r="L113" s="2933"/>
      <c r="M113" s="2933"/>
      <c r="N113" s="2933"/>
      <c r="O113" s="2933"/>
      <c r="P113" s="2933"/>
      <c r="Q113" s="2934"/>
      <c r="R113" s="2090"/>
      <c r="S113" s="2052"/>
      <c r="T113" s="2053" t="s">
        <v>510</v>
      </c>
      <c r="U113" s="2053" t="s">
        <v>11</v>
      </c>
      <c r="V113" s="2053" t="s">
        <v>511</v>
      </c>
      <c r="W113" s="2053" t="s">
        <v>512</v>
      </c>
      <c r="X113" s="2053" t="s">
        <v>513</v>
      </c>
      <c r="Y113" s="2054" t="s">
        <v>514</v>
      </c>
      <c r="Z113" s="2055" t="s">
        <v>515</v>
      </c>
      <c r="AA113" s="2056" t="s">
        <v>1</v>
      </c>
      <c r="AB113" s="2056" t="s">
        <v>0</v>
      </c>
      <c r="AC113" s="2056" t="s">
        <v>264</v>
      </c>
      <c r="AD113" s="2056" t="s">
        <v>265</v>
      </c>
      <c r="AE113" s="2056" t="s">
        <v>10</v>
      </c>
      <c r="AF113" s="2056" t="s">
        <v>178</v>
      </c>
      <c r="AG113" s="2057"/>
      <c r="AH113" s="850"/>
    </row>
    <row r="114" spans="1:34" ht="15.6" x14ac:dyDescent="0.3">
      <c r="A114" s="1754"/>
      <c r="B114" s="1754"/>
      <c r="C114" s="1754"/>
      <c r="D114" s="876"/>
      <c r="E114" s="876"/>
      <c r="F114" s="876"/>
      <c r="G114" s="876"/>
      <c r="H114" s="876"/>
      <c r="I114" s="878"/>
      <c r="J114" s="878"/>
      <c r="K114" s="879"/>
      <c r="L114" s="880"/>
      <c r="M114" s="881"/>
      <c r="N114" s="1698"/>
      <c r="O114" s="2016"/>
      <c r="P114" s="1699"/>
      <c r="Q114" s="1700"/>
      <c r="R114" s="1701"/>
      <c r="S114" s="2017"/>
      <c r="T114" s="2018"/>
      <c r="U114" s="2018"/>
      <c r="V114" s="2018"/>
      <c r="W114" s="2018"/>
      <c r="X114" s="10"/>
      <c r="Y114" s="1945"/>
      <c r="Z114" s="1946"/>
      <c r="AA114" s="10"/>
      <c r="AB114" s="10"/>
      <c r="AC114" s="10"/>
      <c r="AD114" s="10"/>
      <c r="AE114" s="10"/>
      <c r="AF114" s="10"/>
      <c r="AG114" s="1940"/>
      <c r="AH114" s="10"/>
    </row>
    <row r="115" spans="1:34" ht="15.6" x14ac:dyDescent="0.3">
      <c r="A115" s="891" t="s">
        <v>1136</v>
      </c>
      <c r="B115" s="891" t="s">
        <v>266</v>
      </c>
      <c r="C115" s="891" t="s">
        <v>1137</v>
      </c>
      <c r="D115" s="891" t="s">
        <v>267</v>
      </c>
      <c r="E115" s="891" t="s">
        <v>518</v>
      </c>
      <c r="F115" s="891">
        <v>65</v>
      </c>
      <c r="G115" s="893">
        <v>20</v>
      </c>
      <c r="H115" s="894" t="s">
        <v>22</v>
      </c>
      <c r="I115" s="895">
        <v>20</v>
      </c>
      <c r="J115" s="878"/>
      <c r="K115" s="879"/>
      <c r="L115" s="880"/>
      <c r="M115" s="896">
        <v>1</v>
      </c>
      <c r="N115" s="1702">
        <v>3289</v>
      </c>
      <c r="O115" s="898">
        <v>0.61</v>
      </c>
      <c r="P115" s="1702">
        <f>N115*(1-O115)</f>
        <v>1282.71</v>
      </c>
      <c r="Q115" s="1702">
        <f>P115*G115*M115</f>
        <v>25654.2</v>
      </c>
      <c r="R115" s="898">
        <f>Q115/Q123</f>
        <v>0.12583162805845871</v>
      </c>
      <c r="S115" s="2020">
        <f>Q115</f>
        <v>25654.2</v>
      </c>
      <c r="T115" s="2021"/>
      <c r="U115" s="2021">
        <f>S115</f>
        <v>25654.2</v>
      </c>
      <c r="V115" s="2021"/>
      <c r="W115" s="2021"/>
      <c r="X115" s="10"/>
      <c r="Y115" s="1945"/>
      <c r="Z115" s="1955">
        <f>S115</f>
        <v>25654.2</v>
      </c>
      <c r="AA115" s="860">
        <f>S115</f>
        <v>25654.2</v>
      </c>
      <c r="AB115" s="10"/>
      <c r="AC115" s="10"/>
      <c r="AD115" s="10"/>
      <c r="AE115" s="10"/>
      <c r="AF115" s="10"/>
      <c r="AG115" s="1946"/>
      <c r="AH115" s="10"/>
    </row>
    <row r="116" spans="1:34" x14ac:dyDescent="0.3">
      <c r="A116" s="891" t="s">
        <v>1136</v>
      </c>
      <c r="B116" s="891" t="s">
        <v>157</v>
      </c>
      <c r="C116" s="891" t="s">
        <v>1137</v>
      </c>
      <c r="D116" s="891" t="s">
        <v>268</v>
      </c>
      <c r="E116" s="891" t="s">
        <v>518</v>
      </c>
      <c r="F116" s="891">
        <v>80</v>
      </c>
      <c r="G116" s="893">
        <v>20</v>
      </c>
      <c r="H116" s="894" t="s">
        <v>22</v>
      </c>
      <c r="I116" s="895">
        <v>20</v>
      </c>
      <c r="J116" s="11"/>
      <c r="K116" s="895">
        <v>20</v>
      </c>
      <c r="L116" s="11"/>
      <c r="M116" s="896">
        <v>2</v>
      </c>
      <c r="N116" s="1702">
        <v>3255</v>
      </c>
      <c r="O116" s="898">
        <v>0.43</v>
      </c>
      <c r="P116" s="1702">
        <f>N116*(1-O116)</f>
        <v>1855.3500000000001</v>
      </c>
      <c r="Q116" s="1702">
        <f>P116*G116*M116</f>
        <v>74214</v>
      </c>
      <c r="R116" s="898">
        <f>Q116/Q123</f>
        <v>0.36401323934211377</v>
      </c>
      <c r="S116" s="2020">
        <f t="shared" ref="S116:S121" si="24">Q116</f>
        <v>74214</v>
      </c>
      <c r="T116" s="2021"/>
      <c r="U116" s="2021">
        <f>S116</f>
        <v>74214</v>
      </c>
      <c r="V116" s="2021"/>
      <c r="W116" s="2021"/>
      <c r="X116" s="2024"/>
      <c r="Y116" s="2031"/>
      <c r="Z116" s="2058">
        <f>S116</f>
        <v>74214</v>
      </c>
      <c r="AA116" s="863"/>
      <c r="AB116" s="1921">
        <f>S116</f>
        <v>74214</v>
      </c>
      <c r="AC116" s="863"/>
      <c r="AD116" s="863"/>
      <c r="AE116" s="863"/>
      <c r="AF116" s="1681"/>
      <c r="AG116" s="2032"/>
      <c r="AH116" s="1681"/>
    </row>
    <row r="117" spans="1:34" x14ac:dyDescent="0.3">
      <c r="A117" s="891" t="s">
        <v>1136</v>
      </c>
      <c r="B117" s="902" t="s">
        <v>288</v>
      </c>
      <c r="C117" s="902" t="s">
        <v>1075</v>
      </c>
      <c r="D117" s="902" t="s">
        <v>102</v>
      </c>
      <c r="E117" s="902" t="s">
        <v>518</v>
      </c>
      <c r="F117" s="902">
        <v>16</v>
      </c>
      <c r="G117" s="902">
        <v>3</v>
      </c>
      <c r="H117" s="902" t="s">
        <v>22</v>
      </c>
      <c r="I117" s="13"/>
      <c r="J117" s="13"/>
      <c r="K117" s="895">
        <v>3</v>
      </c>
      <c r="L117" s="11"/>
      <c r="M117" s="896">
        <v>1</v>
      </c>
      <c r="N117" s="1702">
        <v>16500</v>
      </c>
      <c r="O117" s="898">
        <v>0.25</v>
      </c>
      <c r="P117" s="1702">
        <f t="shared" ref="P117:P120" si="25">N117*(1-O117)</f>
        <v>12375</v>
      </c>
      <c r="Q117" s="1702">
        <f>P117*G117*M117</f>
        <v>37125</v>
      </c>
      <c r="R117" s="898">
        <f>Q117/Q123</f>
        <v>0.18209490811135329</v>
      </c>
      <c r="S117" s="2020">
        <f t="shared" si="24"/>
        <v>37125</v>
      </c>
      <c r="T117" s="2021">
        <f>S117</f>
        <v>37125</v>
      </c>
      <c r="U117" s="2021"/>
      <c r="V117" s="2021"/>
      <c r="W117" s="2021"/>
      <c r="X117" s="2024"/>
      <c r="Y117" s="2029">
        <f>S117</f>
        <v>37125</v>
      </c>
      <c r="Z117" s="2030"/>
      <c r="AA117" s="863"/>
      <c r="AB117" s="1921"/>
      <c r="AC117" s="1921">
        <f>S117</f>
        <v>37125</v>
      </c>
      <c r="AD117" s="863"/>
      <c r="AE117" s="863"/>
      <c r="AF117" s="1681"/>
      <c r="AG117" s="2032"/>
      <c r="AH117" s="1681"/>
    </row>
    <row r="118" spans="1:34" x14ac:dyDescent="0.3">
      <c r="A118" s="891" t="s">
        <v>1136</v>
      </c>
      <c r="B118" s="902" t="s">
        <v>273</v>
      </c>
      <c r="C118" s="902" t="s">
        <v>1075</v>
      </c>
      <c r="D118" s="902" t="s">
        <v>27</v>
      </c>
      <c r="E118" s="902" t="s">
        <v>520</v>
      </c>
      <c r="F118" s="902">
        <v>200</v>
      </c>
      <c r="G118" s="902">
        <v>12</v>
      </c>
      <c r="H118" s="902" t="s">
        <v>106</v>
      </c>
      <c r="I118" s="908">
        <v>12</v>
      </c>
      <c r="J118" s="895"/>
      <c r="K118" s="907"/>
      <c r="L118" s="907"/>
      <c r="M118" s="896">
        <v>1</v>
      </c>
      <c r="N118" s="1702">
        <v>2100</v>
      </c>
      <c r="O118" s="898">
        <v>0.33</v>
      </c>
      <c r="P118" s="1702">
        <f t="shared" si="25"/>
        <v>1406.9999999999998</v>
      </c>
      <c r="Q118" s="1702">
        <f t="shared" ref="Q118:Q119" si="26">P118*G118*M118</f>
        <v>16883.999999999996</v>
      </c>
      <c r="R118" s="1705">
        <f>Q118/Q123</f>
        <v>8.2814556998036054E-2</v>
      </c>
      <c r="S118" s="2020">
        <f t="shared" si="24"/>
        <v>16883.999999999996</v>
      </c>
      <c r="T118" s="2021">
        <f>S118</f>
        <v>16883.999999999996</v>
      </c>
      <c r="U118" s="2021"/>
      <c r="V118" s="2021"/>
      <c r="W118" s="2021"/>
      <c r="X118" s="2024"/>
      <c r="Y118" s="2031"/>
      <c r="Z118" s="2058">
        <f>S118</f>
        <v>16883.999999999996</v>
      </c>
      <c r="AA118" s="863"/>
      <c r="AB118" s="863"/>
      <c r="AC118" s="1921">
        <f>S118</f>
        <v>16883.999999999996</v>
      </c>
      <c r="AD118" s="863"/>
      <c r="AE118" s="863"/>
      <c r="AF118" s="1681"/>
      <c r="AG118" s="2032"/>
      <c r="AH118" s="1681"/>
    </row>
    <row r="119" spans="1:34" x14ac:dyDescent="0.3">
      <c r="A119" s="891" t="s">
        <v>1136</v>
      </c>
      <c r="B119" s="2028" t="s">
        <v>247</v>
      </c>
      <c r="C119" s="2028" t="s">
        <v>592</v>
      </c>
      <c r="D119" s="2028" t="s">
        <v>180</v>
      </c>
      <c r="E119" s="2028" t="s">
        <v>520</v>
      </c>
      <c r="F119" s="2028">
        <v>250</v>
      </c>
      <c r="G119" s="2028">
        <v>20</v>
      </c>
      <c r="H119" s="2028" t="s">
        <v>24</v>
      </c>
      <c r="I119" s="908">
        <v>20</v>
      </c>
      <c r="J119" s="895"/>
      <c r="K119" s="895"/>
      <c r="L119" s="2480"/>
      <c r="M119" s="896">
        <v>1</v>
      </c>
      <c r="N119" s="1706">
        <v>2500</v>
      </c>
      <c r="O119" s="910">
        <v>0.6</v>
      </c>
      <c r="P119" s="1706">
        <f t="shared" si="25"/>
        <v>1000</v>
      </c>
      <c r="Q119" s="1702">
        <f t="shared" si="26"/>
        <v>20000</v>
      </c>
      <c r="R119" s="1705">
        <f>Q119/Q123</f>
        <v>9.8098266996015246E-2</v>
      </c>
      <c r="S119" s="2020">
        <f t="shared" si="24"/>
        <v>20000</v>
      </c>
      <c r="T119" s="2021"/>
      <c r="U119" s="2021"/>
      <c r="V119" s="2021">
        <f>S119</f>
        <v>20000</v>
      </c>
      <c r="W119" s="2021"/>
      <c r="X119" s="2024"/>
      <c r="Y119" s="2029">
        <f>S119</f>
        <v>20000</v>
      </c>
      <c r="Z119" s="2033"/>
      <c r="AA119" s="863"/>
      <c r="AB119" s="863"/>
      <c r="AC119" s="1921"/>
      <c r="AD119" s="863"/>
      <c r="AE119" s="1921">
        <f>S119</f>
        <v>20000</v>
      </c>
      <c r="AG119" s="2032"/>
    </row>
    <row r="120" spans="1:34" x14ac:dyDescent="0.3">
      <c r="A120" s="891" t="s">
        <v>1136</v>
      </c>
      <c r="B120" s="2028" t="s">
        <v>130</v>
      </c>
      <c r="C120" s="2028" t="s">
        <v>1141</v>
      </c>
      <c r="D120" s="2028" t="s">
        <v>223</v>
      </c>
      <c r="E120" s="2028" t="s">
        <v>520</v>
      </c>
      <c r="F120" s="2028">
        <f>250*15</f>
        <v>3750</v>
      </c>
      <c r="G120" s="2028">
        <v>10</v>
      </c>
      <c r="H120" s="2028" t="s">
        <v>24</v>
      </c>
      <c r="I120" s="2887">
        <v>10</v>
      </c>
      <c r="J120" s="2918"/>
      <c r="K120" s="2918"/>
      <c r="L120" s="2888"/>
      <c r="M120" s="896">
        <v>1</v>
      </c>
      <c r="N120" s="1706">
        <v>3000</v>
      </c>
      <c r="O120" s="910">
        <v>0.8</v>
      </c>
      <c r="P120" s="1706">
        <f t="shared" si="25"/>
        <v>599.99999999999989</v>
      </c>
      <c r="Q120" s="1702">
        <f>P120*G120*M120</f>
        <v>5999.9999999999991</v>
      </c>
      <c r="R120" s="1705">
        <f>Q120/Q123</f>
        <v>2.942948009880457E-2</v>
      </c>
      <c r="S120" s="2020">
        <f t="shared" si="24"/>
        <v>5999.9999999999991</v>
      </c>
      <c r="T120" s="2021"/>
      <c r="U120" s="2021"/>
      <c r="V120" s="2021">
        <f>S120</f>
        <v>5999.9999999999991</v>
      </c>
      <c r="W120" s="2021"/>
      <c r="X120" s="2024"/>
      <c r="Y120" s="2029">
        <f>S120</f>
        <v>5999.9999999999991</v>
      </c>
      <c r="Z120" s="2033"/>
      <c r="AA120" s="863"/>
      <c r="AB120" s="863"/>
      <c r="AC120" s="863"/>
      <c r="AD120" s="1921"/>
      <c r="AE120" s="863"/>
      <c r="AF120" s="2034">
        <f>S120</f>
        <v>5999.9999999999991</v>
      </c>
      <c r="AG120" s="2032"/>
    </row>
    <row r="121" spans="1:34" x14ac:dyDescent="0.3">
      <c r="A121" s="915" t="s">
        <v>1136</v>
      </c>
      <c r="B121" s="2035" t="s">
        <v>529</v>
      </c>
      <c r="C121" s="2035"/>
      <c r="D121" s="2035"/>
      <c r="E121" s="2035"/>
      <c r="F121" s="2035"/>
      <c r="G121" s="2035"/>
      <c r="H121" s="2035"/>
      <c r="I121" s="2036"/>
      <c r="J121" s="2037"/>
      <c r="K121" s="2036"/>
      <c r="L121" s="2036"/>
      <c r="M121" s="2035"/>
      <c r="N121" s="2038"/>
      <c r="O121" s="2039"/>
      <c r="P121" s="2038"/>
      <c r="Q121" s="1709">
        <v>24000</v>
      </c>
      <c r="R121" s="2091">
        <f>Q121/Q123</f>
        <v>0.11771792039521829</v>
      </c>
      <c r="S121" s="2020">
        <f t="shared" si="24"/>
        <v>24000</v>
      </c>
      <c r="T121" s="2021"/>
      <c r="U121" s="2021"/>
      <c r="V121" s="2021"/>
      <c r="W121" s="2021"/>
      <c r="X121" s="2024">
        <f>S121</f>
        <v>24000</v>
      </c>
      <c r="Y121" s="1959"/>
      <c r="Z121" s="1946"/>
      <c r="AC121" s="860"/>
      <c r="AG121" s="1947"/>
    </row>
    <row r="122" spans="1:34" x14ac:dyDescent="0.3">
      <c r="A122" s="929"/>
      <c r="I122" s="1684">
        <f>I123/M123</f>
        <v>0.78095238095238095</v>
      </c>
      <c r="J122" s="1917"/>
      <c r="K122" s="1684">
        <f>K123/M123</f>
        <v>0.21904761904761905</v>
      </c>
      <c r="Q122" s="1711"/>
      <c r="R122" s="898"/>
      <c r="S122" s="2020"/>
      <c r="X122" s="860"/>
      <c r="Y122" s="1945"/>
      <c r="Z122" s="1946"/>
      <c r="AG122" s="1947"/>
    </row>
    <row r="123" spans="1:34" x14ac:dyDescent="0.3">
      <c r="A123" s="984" t="s">
        <v>531</v>
      </c>
      <c r="B123" s="985"/>
      <c r="C123" s="985"/>
      <c r="D123" s="985"/>
      <c r="E123" s="985"/>
      <c r="F123" s="985"/>
      <c r="G123" s="985"/>
      <c r="H123" s="985"/>
      <c r="I123" s="987">
        <f>I120+I119+I118+I116+I115</f>
        <v>82</v>
      </c>
      <c r="J123" s="988"/>
      <c r="K123" s="987">
        <f>K117+K116</f>
        <v>23</v>
      </c>
      <c r="L123" s="987"/>
      <c r="M123" s="987">
        <f>SUM(I123:L123)</f>
        <v>105</v>
      </c>
      <c r="N123" s="2065"/>
      <c r="O123" s="2066"/>
      <c r="P123" s="2065"/>
      <c r="Q123" s="2067">
        <f>SUM(Q114:Q121)</f>
        <v>203877.2</v>
      </c>
      <c r="R123" s="2068">
        <f>SUM(R114:R121)</f>
        <v>0.99999999999999989</v>
      </c>
      <c r="S123" s="2069">
        <f>SUM(S114:S121)</f>
        <v>203877.2</v>
      </c>
      <c r="T123" s="2070">
        <f>SUM(T113:T122)</f>
        <v>54009</v>
      </c>
      <c r="U123" s="2070">
        <f>SUM(U113:U122)</f>
        <v>99868.2</v>
      </c>
      <c r="V123" s="2070">
        <f>SUM(V113:V122)</f>
        <v>26000</v>
      </c>
      <c r="W123" s="2071"/>
      <c r="X123" s="2070">
        <f>SUM(X114:X122)</f>
        <v>24000</v>
      </c>
      <c r="Y123" s="2072">
        <f>SUM(Y113:Y122)</f>
        <v>63125</v>
      </c>
      <c r="Z123" s="2073">
        <f>SUM(Z113:Z122)</f>
        <v>116752.2</v>
      </c>
      <c r="AA123" s="2070">
        <f>SUM(AA113:AA122)</f>
        <v>25654.2</v>
      </c>
      <c r="AB123" s="2070">
        <f t="shared" ref="AB123:AF123" si="27">SUM(AB113:AB122)</f>
        <v>74214</v>
      </c>
      <c r="AC123" s="2070">
        <f t="shared" si="27"/>
        <v>54009</v>
      </c>
      <c r="AD123" s="2070">
        <f t="shared" si="27"/>
        <v>0</v>
      </c>
      <c r="AE123" s="2070">
        <f t="shared" si="27"/>
        <v>20000</v>
      </c>
      <c r="AF123" s="2070">
        <f t="shared" si="27"/>
        <v>5999.9999999999991</v>
      </c>
      <c r="AG123" s="2074"/>
    </row>
    <row r="124" spans="1:34" x14ac:dyDescent="0.3">
      <c r="A124" s="994" t="s">
        <v>532</v>
      </c>
      <c r="B124" s="995"/>
      <c r="C124" s="995"/>
      <c r="D124" s="995"/>
      <c r="E124" s="995"/>
      <c r="F124" s="995"/>
      <c r="G124" s="995"/>
      <c r="H124" s="995"/>
      <c r="I124" s="997">
        <f>I120+I119+I118+I116+I115</f>
        <v>82</v>
      </c>
      <c r="J124" s="997">
        <f>I120+I119+I118</f>
        <v>42</v>
      </c>
      <c r="K124" s="997">
        <f>I120+I119+K117+K116</f>
        <v>53</v>
      </c>
      <c r="L124" s="997"/>
      <c r="M124" s="998">
        <f>I124+J124+K124+L128+L124</f>
        <v>177</v>
      </c>
      <c r="N124" s="2075"/>
      <c r="O124" s="2076"/>
      <c r="P124" s="2075"/>
      <c r="Q124" s="2077"/>
      <c r="R124" s="2078"/>
      <c r="S124" s="2079"/>
      <c r="T124" s="2080"/>
      <c r="U124" s="2080"/>
      <c r="V124" s="2080"/>
      <c r="W124" s="2080"/>
      <c r="X124" s="2080"/>
      <c r="Y124" s="2081">
        <f>Y123/S123</f>
        <v>0.3096226552061731</v>
      </c>
      <c r="Z124" s="2082">
        <f>Z123/S123</f>
        <v>0.57265942439860851</v>
      </c>
      <c r="AA124" s="2083"/>
      <c r="AB124" s="2083"/>
      <c r="AC124" s="2083"/>
      <c r="AD124" s="2083"/>
      <c r="AE124" s="2083"/>
      <c r="AF124" s="2084"/>
      <c r="AG124" s="2085"/>
    </row>
    <row r="125" spans="1:34" x14ac:dyDescent="0.3">
      <c r="A125" s="243" t="s">
        <v>533</v>
      </c>
      <c r="B125" s="1725"/>
      <c r="C125" s="1725"/>
      <c r="D125" s="1725"/>
      <c r="E125" s="1725"/>
      <c r="F125" s="1725"/>
      <c r="G125" s="1725"/>
      <c r="H125" s="1725"/>
      <c r="I125" s="2201">
        <f>I124/$M$124</f>
        <v>0.4632768361581921</v>
      </c>
      <c r="J125" s="2201">
        <f t="shared" ref="J125:L125" si="28">J124/$M$124</f>
        <v>0.23728813559322035</v>
      </c>
      <c r="K125" s="2201">
        <f t="shared" si="28"/>
        <v>0.29943502824858759</v>
      </c>
      <c r="L125" s="2201">
        <f t="shared" si="28"/>
        <v>0</v>
      </c>
      <c r="M125" s="1726"/>
      <c r="N125" s="1728"/>
      <c r="O125" s="1996"/>
      <c r="P125" s="1728"/>
      <c r="Q125" s="1997">
        <f>T123</f>
        <v>54009</v>
      </c>
      <c r="R125" s="1730">
        <f>Q125/Q130</f>
        <v>0.26490946510938934</v>
      </c>
      <c r="S125" s="2086"/>
      <c r="T125" s="2087"/>
      <c r="U125" s="2087"/>
      <c r="V125" s="2087"/>
      <c r="W125" s="2087"/>
      <c r="X125" s="2087"/>
      <c r="Y125" s="1791">
        <f>I118+I119+I120</f>
        <v>42</v>
      </c>
      <c r="Z125" s="1792">
        <f>I115+I116+K116+K117</f>
        <v>63</v>
      </c>
      <c r="AA125" s="2009"/>
      <c r="AB125" s="2009"/>
      <c r="AC125" s="2009"/>
      <c r="AD125" s="2009"/>
      <c r="AE125" s="2009"/>
    </row>
    <row r="126" spans="1:34" x14ac:dyDescent="0.3">
      <c r="A126" s="251" t="s">
        <v>11</v>
      </c>
      <c r="B126" s="1733"/>
      <c r="C126" s="1733"/>
      <c r="D126" s="1734"/>
      <c r="E126" s="1734"/>
      <c r="F126" s="1733"/>
      <c r="G126" s="1733"/>
      <c r="H126" s="1733"/>
      <c r="I126" s="1733"/>
      <c r="J126" s="1733"/>
      <c r="K126" s="1733"/>
      <c r="L126" s="1733"/>
      <c r="M126" s="1735"/>
      <c r="N126" s="1737"/>
      <c r="O126" s="1998"/>
      <c r="P126" s="1737"/>
      <c r="Q126" s="1999">
        <f>U123</f>
        <v>99868.2</v>
      </c>
      <c r="R126" s="1730">
        <f>Q126/Q130</f>
        <v>0.48984486740057248</v>
      </c>
      <c r="S126" s="2088">
        <f>Q123/M123</f>
        <v>1941.6876190476191</v>
      </c>
      <c r="T126" s="2089" t="s">
        <v>535</v>
      </c>
      <c r="U126" s="2087"/>
      <c r="V126" s="2087"/>
      <c r="W126" s="2087"/>
      <c r="X126" s="2087"/>
      <c r="Y126" s="195">
        <f>Y125/M123</f>
        <v>0.4</v>
      </c>
      <c r="Z126" s="247">
        <f>Z125/M123</f>
        <v>0.6</v>
      </c>
      <c r="AA126" s="2009"/>
      <c r="AB126" s="2009"/>
      <c r="AC126" s="2009"/>
      <c r="AD126" s="2009"/>
      <c r="AE126" s="2009"/>
    </row>
    <row r="127" spans="1:34" x14ac:dyDescent="0.3">
      <c r="A127" s="251" t="s">
        <v>536</v>
      </c>
      <c r="B127" s="1733"/>
      <c r="C127" s="1733"/>
      <c r="D127" s="1734"/>
      <c r="E127" s="1734"/>
      <c r="F127" s="1735"/>
      <c r="G127" s="1733"/>
      <c r="H127" s="1733"/>
      <c r="I127" s="1733"/>
      <c r="J127" s="1733"/>
      <c r="K127" s="1733"/>
      <c r="L127" s="1733"/>
      <c r="M127" s="1733"/>
      <c r="N127" s="1737"/>
      <c r="O127" s="2001"/>
      <c r="P127" s="1737"/>
      <c r="Q127" s="1999">
        <f>V123</f>
        <v>26000</v>
      </c>
      <c r="R127" s="1730">
        <f>Q127/Q130</f>
        <v>0.12752774709481982</v>
      </c>
      <c r="S127" s="2086"/>
      <c r="Y127" s="2889" t="s">
        <v>537</v>
      </c>
      <c r="Z127" s="2890"/>
    </row>
    <row r="128" spans="1:34" x14ac:dyDescent="0.3">
      <c r="A128" s="251" t="s">
        <v>528</v>
      </c>
      <c r="B128" s="1733"/>
      <c r="C128" s="1733"/>
      <c r="D128" s="1733"/>
      <c r="E128" s="1733"/>
      <c r="F128" s="1733"/>
      <c r="G128" s="1733"/>
      <c r="H128" s="1733"/>
      <c r="I128" s="1733"/>
      <c r="J128" s="1733"/>
      <c r="K128" s="1733"/>
      <c r="L128" s="1733"/>
      <c r="M128" s="1733"/>
      <c r="N128" s="1737"/>
      <c r="O128" s="2001"/>
      <c r="P128" s="1737"/>
      <c r="Q128" s="1999">
        <f>W123/2</f>
        <v>0</v>
      </c>
      <c r="R128" s="1730">
        <f>Q128/Q130</f>
        <v>0</v>
      </c>
      <c r="S128" s="2086"/>
    </row>
    <row r="129" spans="1:33" x14ac:dyDescent="0.3">
      <c r="A129" s="464" t="s">
        <v>529</v>
      </c>
      <c r="B129" s="2003"/>
      <c r="C129" s="2003"/>
      <c r="D129" s="2003"/>
      <c r="E129" s="2003"/>
      <c r="F129" s="2003"/>
      <c r="G129" s="2003"/>
      <c r="H129" s="2003"/>
      <c r="I129" s="2003"/>
      <c r="J129" s="2003"/>
      <c r="K129" s="2003"/>
      <c r="L129" s="2003"/>
      <c r="M129" s="2003"/>
      <c r="N129" s="2004"/>
      <c r="O129" s="2005"/>
      <c r="P129" s="2004"/>
      <c r="Q129" s="2042">
        <f>X123</f>
        <v>24000</v>
      </c>
      <c r="R129" s="1730">
        <f>Q129/Q130</f>
        <v>0.11771792039521829</v>
      </c>
      <c r="S129" s="2086"/>
      <c r="T129" s="2087"/>
      <c r="U129" s="2087"/>
      <c r="V129" s="2087"/>
      <c r="W129" s="2087"/>
      <c r="X129" s="2087"/>
      <c r="Y129" s="2009"/>
      <c r="Z129" s="2009"/>
      <c r="AA129" s="2009"/>
      <c r="AB129" s="2009"/>
      <c r="AC129" s="2009"/>
      <c r="AD129" s="2009"/>
      <c r="AE129" s="2009"/>
    </row>
    <row r="130" spans="1:33" x14ac:dyDescent="0.3">
      <c r="A130" s="1969"/>
      <c r="B130" s="1979"/>
      <c r="C130" s="1979"/>
      <c r="D130" s="1979"/>
      <c r="E130" s="1979"/>
      <c r="F130" s="924"/>
      <c r="G130" s="1979"/>
      <c r="H130" s="1733"/>
      <c r="I130" s="1733"/>
      <c r="J130" s="1733"/>
      <c r="K130" s="1733"/>
      <c r="L130" s="1733"/>
      <c r="M130" s="1733"/>
      <c r="N130" s="1737"/>
      <c r="O130" s="2001"/>
      <c r="P130" s="1737"/>
      <c r="Q130" s="1999">
        <f>SUM(Q125:Q129)</f>
        <v>203877.2</v>
      </c>
      <c r="R130" s="2043">
        <f>SUM(R125:R129)</f>
        <v>1</v>
      </c>
      <c r="S130" s="1742"/>
    </row>
    <row r="131" spans="1:33" x14ac:dyDescent="0.3">
      <c r="A131" s="1703"/>
      <c r="J131" s="13"/>
      <c r="N131" s="1742"/>
      <c r="O131" s="2012"/>
      <c r="P131" s="1742"/>
      <c r="Q131" s="1742"/>
      <c r="R131" s="2013"/>
      <c r="S131" s="1742"/>
    </row>
    <row r="132" spans="1:33" x14ac:dyDescent="0.3">
      <c r="A132" s="1703"/>
      <c r="J132" s="13"/>
      <c r="N132" s="1742"/>
      <c r="O132" s="2012"/>
      <c r="P132" s="1742"/>
      <c r="Q132" s="1742"/>
      <c r="R132" s="2013"/>
      <c r="S132" s="1742"/>
    </row>
    <row r="133" spans="1:33" x14ac:dyDescent="0.3">
      <c r="A133" s="1703"/>
      <c r="H133" s="863"/>
      <c r="I133" s="13"/>
      <c r="J133" s="13"/>
      <c r="K133" s="13"/>
      <c r="N133" s="1742"/>
      <c r="O133" s="2012"/>
      <c r="P133" s="1742"/>
      <c r="Q133" s="1742"/>
      <c r="R133" s="2013"/>
      <c r="S133" s="1742"/>
    </row>
    <row r="134" spans="1:33" x14ac:dyDescent="0.3">
      <c r="A134" s="1703"/>
      <c r="H134" s="863" t="s">
        <v>1134</v>
      </c>
      <c r="I134" s="2919">
        <v>0.75</v>
      </c>
      <c r="J134" s="13"/>
      <c r="K134" s="13"/>
      <c r="N134" s="1742"/>
      <c r="O134" s="2012"/>
      <c r="P134" s="1742"/>
      <c r="Q134" s="1742"/>
      <c r="R134" s="2013"/>
      <c r="S134" s="1742"/>
    </row>
    <row r="135" spans="1:33" x14ac:dyDescent="0.3">
      <c r="A135" s="1703"/>
      <c r="H135" s="863" t="s">
        <v>861</v>
      </c>
      <c r="I135" s="13">
        <v>63</v>
      </c>
      <c r="J135" s="13"/>
      <c r="K135" s="13"/>
      <c r="N135" s="1742"/>
      <c r="O135" s="2012"/>
      <c r="P135" s="1742"/>
      <c r="Q135" s="1742"/>
      <c r="R135" s="2013"/>
      <c r="S135" s="1742"/>
    </row>
    <row r="136" spans="1:33" x14ac:dyDescent="0.3">
      <c r="A136" s="1703"/>
      <c r="H136" s="863" t="s">
        <v>475</v>
      </c>
      <c r="I136" s="2913">
        <v>14678</v>
      </c>
      <c r="J136" s="2913"/>
      <c r="K136" s="13"/>
      <c r="N136" s="1742"/>
      <c r="O136" s="2012"/>
      <c r="P136" s="1742"/>
      <c r="Q136" s="1742"/>
      <c r="R136" s="2013"/>
      <c r="S136" s="1742"/>
    </row>
    <row r="137" spans="1:33" x14ac:dyDescent="0.3">
      <c r="A137" s="1703"/>
      <c r="H137" s="863" t="s">
        <v>477</v>
      </c>
      <c r="I137" s="2913">
        <v>165037892</v>
      </c>
      <c r="J137" s="2913"/>
      <c r="K137" s="13"/>
      <c r="N137" s="1742"/>
      <c r="O137" s="2012"/>
      <c r="P137" s="1742"/>
      <c r="Q137" s="1742"/>
      <c r="R137" s="2013"/>
      <c r="S137" s="1742"/>
    </row>
    <row r="138" spans="1:33" x14ac:dyDescent="0.3">
      <c r="A138" s="1703"/>
      <c r="H138" s="13"/>
      <c r="I138" s="13"/>
      <c r="J138" s="13"/>
      <c r="K138" s="13"/>
      <c r="N138" s="1742"/>
      <c r="O138" s="2012"/>
      <c r="P138" s="1742"/>
      <c r="Q138" s="1742"/>
      <c r="R138" s="2013"/>
      <c r="S138" s="1742"/>
    </row>
    <row r="139" spans="1:33" x14ac:dyDescent="0.3">
      <c r="A139" s="2587" t="s">
        <v>480</v>
      </c>
      <c r="B139" s="2588"/>
      <c r="C139" s="2588"/>
      <c r="D139" s="2588"/>
      <c r="E139" s="2588"/>
      <c r="F139" s="2588"/>
      <c r="G139" s="2588"/>
      <c r="H139" s="2588"/>
      <c r="I139" s="2588"/>
      <c r="J139" s="2588"/>
      <c r="K139" s="2588"/>
      <c r="L139" s="2588"/>
      <c r="M139" s="2588"/>
      <c r="N139" s="2588"/>
      <c r="O139" s="2588"/>
      <c r="P139" s="2588"/>
      <c r="Q139" s="2588"/>
      <c r="R139" s="2589"/>
      <c r="S139" s="2865" t="s">
        <v>878</v>
      </c>
      <c r="T139" s="2865"/>
      <c r="U139" s="2865"/>
      <c r="V139" s="2865"/>
      <c r="W139" s="2865"/>
      <c r="X139" s="2865"/>
      <c r="Y139" s="2865"/>
      <c r="Z139" s="2865"/>
      <c r="AA139" s="2865"/>
      <c r="AB139" s="2865"/>
      <c r="AC139" s="2865"/>
      <c r="AD139" s="2865"/>
      <c r="AE139" s="2865"/>
      <c r="AF139" s="2865"/>
      <c r="AG139" s="2879"/>
    </row>
    <row r="140" spans="1:33" ht="69" x14ac:dyDescent="0.3">
      <c r="A140" s="2914" t="s">
        <v>482</v>
      </c>
      <c r="B140" s="2092" t="s">
        <v>483</v>
      </c>
      <c r="C140" s="2092" t="s">
        <v>484</v>
      </c>
      <c r="D140" s="2092" t="s">
        <v>555</v>
      </c>
      <c r="E140" s="2092" t="s">
        <v>1143</v>
      </c>
      <c r="F140" s="2092" t="s">
        <v>1121</v>
      </c>
      <c r="G140" s="2916" t="s">
        <v>1122</v>
      </c>
      <c r="H140" s="2906" t="s">
        <v>489</v>
      </c>
      <c r="I140" s="2908" t="s">
        <v>490</v>
      </c>
      <c r="J140" s="2908"/>
      <c r="K140" s="2908"/>
      <c r="L140" s="2908"/>
      <c r="M140" s="2909" t="s">
        <v>863</v>
      </c>
      <c r="N140" s="2891" t="s">
        <v>864</v>
      </c>
      <c r="O140" s="2911" t="s">
        <v>865</v>
      </c>
      <c r="P140" s="2891" t="s">
        <v>866</v>
      </c>
      <c r="Q140" s="2891" t="s">
        <v>867</v>
      </c>
      <c r="R140" s="2893" t="s">
        <v>495</v>
      </c>
      <c r="S140" s="2093" t="s">
        <v>496</v>
      </c>
      <c r="T140" s="2895" t="s">
        <v>497</v>
      </c>
      <c r="U140" s="2895"/>
      <c r="V140" s="2895"/>
      <c r="W140" s="2895"/>
      <c r="X140" s="2895"/>
      <c r="Y140" s="2897" t="s">
        <v>498</v>
      </c>
      <c r="Z140" s="2898"/>
      <c r="AA140" s="2895" t="s">
        <v>499</v>
      </c>
      <c r="AB140" s="2895"/>
      <c r="AC140" s="2895"/>
      <c r="AD140" s="2895"/>
      <c r="AE140" s="2895"/>
      <c r="AF140" s="2895"/>
      <c r="AG140" s="2901"/>
    </row>
    <row r="141" spans="1:33" ht="18" x14ac:dyDescent="0.3">
      <c r="A141" s="2915"/>
      <c r="B141" s="2094"/>
      <c r="C141" s="2094"/>
      <c r="D141" s="2094"/>
      <c r="E141" s="2094"/>
      <c r="F141" s="2094" t="s">
        <v>1123</v>
      </c>
      <c r="G141" s="2917"/>
      <c r="H141" s="2907"/>
      <c r="I141" s="2095" t="s">
        <v>500</v>
      </c>
      <c r="J141" s="2095" t="s">
        <v>501</v>
      </c>
      <c r="K141" s="2096" t="s">
        <v>502</v>
      </c>
      <c r="L141" s="2096" t="s">
        <v>503</v>
      </c>
      <c r="M141" s="2910"/>
      <c r="N141" s="2892"/>
      <c r="O141" s="2912"/>
      <c r="P141" s="2892"/>
      <c r="Q141" s="2892"/>
      <c r="R141" s="2894"/>
      <c r="S141" s="2097" t="s">
        <v>508</v>
      </c>
      <c r="T141" s="2896"/>
      <c r="U141" s="2896"/>
      <c r="V141" s="2896"/>
      <c r="W141" s="2896"/>
      <c r="X141" s="2896"/>
      <c r="Y141" s="2899"/>
      <c r="Z141" s="2900"/>
      <c r="AA141" s="2896"/>
      <c r="AB141" s="2896"/>
      <c r="AC141" s="2896"/>
      <c r="AD141" s="2896"/>
      <c r="AE141" s="2896"/>
      <c r="AF141" s="2896"/>
      <c r="AG141" s="2902"/>
    </row>
    <row r="142" spans="1:33" ht="15.6" x14ac:dyDescent="0.3">
      <c r="A142" s="2903" t="s">
        <v>568</v>
      </c>
      <c r="B142" s="2904"/>
      <c r="C142" s="2904"/>
      <c r="D142" s="2904"/>
      <c r="E142" s="2904"/>
      <c r="F142" s="2904"/>
      <c r="G142" s="2904"/>
      <c r="H142" s="2904"/>
      <c r="I142" s="2904"/>
      <c r="J142" s="2904"/>
      <c r="K142" s="2904"/>
      <c r="L142" s="2904"/>
      <c r="M142" s="2904"/>
      <c r="N142" s="2904"/>
      <c r="O142" s="2904"/>
      <c r="P142" s="2904"/>
      <c r="Q142" s="2905"/>
      <c r="R142" s="2098"/>
      <c r="S142" s="2099"/>
      <c r="T142" s="2100" t="s">
        <v>510</v>
      </c>
      <c r="U142" s="2100" t="s">
        <v>11</v>
      </c>
      <c r="V142" s="2100" t="s">
        <v>511</v>
      </c>
      <c r="W142" s="2100" t="s">
        <v>512</v>
      </c>
      <c r="X142" s="2101" t="s">
        <v>513</v>
      </c>
      <c r="Y142" s="2102" t="s">
        <v>514</v>
      </c>
      <c r="Z142" s="2103" t="s">
        <v>515</v>
      </c>
      <c r="AA142" s="2104" t="s">
        <v>1</v>
      </c>
      <c r="AB142" s="2104" t="s">
        <v>0</v>
      </c>
      <c r="AC142" s="2104" t="s">
        <v>264</v>
      </c>
      <c r="AD142" s="2104" t="s">
        <v>265</v>
      </c>
      <c r="AE142" s="2104" t="s">
        <v>10</v>
      </c>
      <c r="AF142" s="2104" t="s">
        <v>178</v>
      </c>
      <c r="AG142" s="2105"/>
    </row>
    <row r="143" spans="1:33" ht="15.6" x14ac:dyDescent="0.3">
      <c r="A143" s="875"/>
      <c r="B143" s="875"/>
      <c r="C143" s="875"/>
      <c r="D143" s="876"/>
      <c r="E143" s="876"/>
      <c r="F143" s="876"/>
      <c r="G143" s="876"/>
      <c r="H143" s="876"/>
      <c r="I143" s="878"/>
      <c r="J143" s="878"/>
      <c r="K143" s="879"/>
      <c r="L143" s="880"/>
      <c r="M143" s="881"/>
      <c r="N143" s="1698"/>
      <c r="O143" s="2016"/>
      <c r="P143" s="1699"/>
      <c r="Q143" s="1700"/>
      <c r="R143" s="885"/>
      <c r="S143" s="2017"/>
      <c r="T143" s="2018"/>
      <c r="U143" s="2018"/>
      <c r="V143" s="2018"/>
      <c r="W143" s="2018"/>
      <c r="X143" s="2106"/>
      <c r="Z143" s="1940"/>
      <c r="AF143" s="10"/>
      <c r="AG143" s="1940"/>
    </row>
    <row r="144" spans="1:33" ht="15.6" x14ac:dyDescent="0.3">
      <c r="A144" s="891" t="s">
        <v>1136</v>
      </c>
      <c r="B144" s="891" t="s">
        <v>266</v>
      </c>
      <c r="C144" s="891" t="s">
        <v>1137</v>
      </c>
      <c r="D144" s="891" t="s">
        <v>267</v>
      </c>
      <c r="E144" s="891" t="s">
        <v>518</v>
      </c>
      <c r="F144" s="891">
        <v>65</v>
      </c>
      <c r="G144" s="893">
        <v>7</v>
      </c>
      <c r="H144" s="894" t="s">
        <v>22</v>
      </c>
      <c r="I144" s="895">
        <v>7</v>
      </c>
      <c r="J144" s="878"/>
      <c r="K144" s="895">
        <v>7</v>
      </c>
      <c r="L144" s="880"/>
      <c r="M144" s="896">
        <v>2</v>
      </c>
      <c r="N144" s="1702">
        <v>3289</v>
      </c>
      <c r="O144" s="898">
        <v>0.61</v>
      </c>
      <c r="P144" s="1702">
        <f>N144*(1-O144)</f>
        <v>1282.71</v>
      </c>
      <c r="Q144" s="1702">
        <f>P144*G144*M144</f>
        <v>17957.940000000002</v>
      </c>
      <c r="R144" s="899">
        <f>Q144/Q153</f>
        <v>0.11947585332909487</v>
      </c>
      <c r="S144" s="2020">
        <f>Q144*3</f>
        <v>53873.820000000007</v>
      </c>
      <c r="T144" s="2021"/>
      <c r="U144" s="2021">
        <f>S144</f>
        <v>53873.820000000007</v>
      </c>
      <c r="V144" s="2021"/>
      <c r="W144" s="2021"/>
      <c r="X144" s="2106"/>
      <c r="Z144" s="1955">
        <f>S144</f>
        <v>53873.820000000007</v>
      </c>
      <c r="AA144" s="860">
        <f>S144</f>
        <v>53873.820000000007</v>
      </c>
      <c r="AG144" s="1947"/>
    </row>
    <row r="145" spans="1:33" x14ac:dyDescent="0.3">
      <c r="A145" s="891" t="s">
        <v>1136</v>
      </c>
      <c r="B145" s="891" t="s">
        <v>157</v>
      </c>
      <c r="C145" s="891" t="s">
        <v>1137</v>
      </c>
      <c r="D145" s="891" t="s">
        <v>268</v>
      </c>
      <c r="E145" s="891" t="s">
        <v>518</v>
      </c>
      <c r="F145" s="891">
        <v>80</v>
      </c>
      <c r="G145" s="893">
        <v>7</v>
      </c>
      <c r="H145" s="894" t="s">
        <v>22</v>
      </c>
      <c r="I145" s="895">
        <v>8</v>
      </c>
      <c r="J145" s="10"/>
      <c r="K145" s="895">
        <v>8</v>
      </c>
      <c r="L145" s="10"/>
      <c r="M145" s="896">
        <v>2</v>
      </c>
      <c r="N145" s="1702">
        <v>3255</v>
      </c>
      <c r="O145" s="898">
        <v>0.43</v>
      </c>
      <c r="P145" s="1702">
        <f>N145*(1-O145)</f>
        <v>1855.3500000000001</v>
      </c>
      <c r="Q145" s="1702">
        <f>P145*G145*M145</f>
        <v>25974.9</v>
      </c>
      <c r="R145" s="899">
        <f>Q145/Q153</f>
        <v>0.17281343754561526</v>
      </c>
      <c r="S145" s="2020">
        <f t="shared" ref="S145:S151" si="29">Q145*3</f>
        <v>77924.700000000012</v>
      </c>
      <c r="T145" s="2021"/>
      <c r="U145" s="2021">
        <f>S145</f>
        <v>77924.700000000012</v>
      </c>
      <c r="V145" s="2021"/>
      <c r="W145" s="2021"/>
      <c r="X145" s="2107"/>
      <c r="Y145" s="863"/>
      <c r="Z145" s="2058">
        <f>S145</f>
        <v>77924.700000000012</v>
      </c>
      <c r="AA145" s="863"/>
      <c r="AB145" s="1921">
        <f>S145</f>
        <v>77924.700000000012</v>
      </c>
      <c r="AC145" s="863"/>
      <c r="AD145" s="863"/>
      <c r="AE145" s="863"/>
      <c r="AG145" s="2032"/>
    </row>
    <row r="146" spans="1:33" x14ac:dyDescent="0.3">
      <c r="A146" s="891" t="s">
        <v>1136</v>
      </c>
      <c r="B146" s="2028" t="s">
        <v>157</v>
      </c>
      <c r="C146" s="2028" t="s">
        <v>1137</v>
      </c>
      <c r="D146" s="2028" t="s">
        <v>268</v>
      </c>
      <c r="E146" s="2028" t="s">
        <v>520</v>
      </c>
      <c r="F146" s="2028">
        <v>984</v>
      </c>
      <c r="G146" s="2028">
        <v>15</v>
      </c>
      <c r="H146" s="2028" t="s">
        <v>22</v>
      </c>
      <c r="I146" s="895">
        <v>15</v>
      </c>
      <c r="J146" s="908">
        <v>15</v>
      </c>
      <c r="K146" s="10"/>
      <c r="L146" s="10"/>
      <c r="M146" s="896">
        <f t="shared" ref="M146" si="30">COUNT(I146:L146)</f>
        <v>2</v>
      </c>
      <c r="N146" s="1702">
        <v>2082.02</v>
      </c>
      <c r="O146" s="898">
        <v>0.7</v>
      </c>
      <c r="P146" s="1702">
        <f t="shared" ref="P146:P149" si="31">N146*(1-O146)</f>
        <v>624.60600000000011</v>
      </c>
      <c r="Q146" s="1702">
        <f t="shared" ref="Q146" si="32">P146*G146*M146</f>
        <v>18738.180000000004</v>
      </c>
      <c r="R146" s="967">
        <f>Q146/Q153</f>
        <v>0.12466686297727797</v>
      </c>
      <c r="S146" s="2020">
        <f t="shared" si="29"/>
        <v>56214.540000000008</v>
      </c>
      <c r="T146" s="2021"/>
      <c r="U146" s="2021">
        <f>S146</f>
        <v>56214.540000000008</v>
      </c>
      <c r="V146" s="2021"/>
      <c r="W146" s="2021"/>
      <c r="X146" s="2107"/>
      <c r="Y146" s="1921">
        <f>S146</f>
        <v>56214.540000000008</v>
      </c>
      <c r="Z146" s="2030"/>
      <c r="AA146" s="863"/>
      <c r="AB146" s="1921">
        <f>S146</f>
        <v>56214.540000000008</v>
      </c>
      <c r="AC146" s="863"/>
      <c r="AD146" s="863"/>
      <c r="AE146" s="863"/>
      <c r="AG146" s="2032"/>
    </row>
    <row r="147" spans="1:33" x14ac:dyDescent="0.3">
      <c r="A147" s="891" t="s">
        <v>1136</v>
      </c>
      <c r="B147" s="2028" t="s">
        <v>288</v>
      </c>
      <c r="C147" s="2028" t="s">
        <v>1075</v>
      </c>
      <c r="D147" s="2028" t="s">
        <v>102</v>
      </c>
      <c r="E147" s="2028" t="s">
        <v>518</v>
      </c>
      <c r="F147" s="2028">
        <v>16</v>
      </c>
      <c r="G147" s="2028">
        <v>1</v>
      </c>
      <c r="H147" s="2028" t="s">
        <v>22</v>
      </c>
      <c r="I147" s="863"/>
      <c r="J147" s="863"/>
      <c r="K147" s="895">
        <v>1</v>
      </c>
      <c r="L147" s="10"/>
      <c r="M147" s="896">
        <v>1</v>
      </c>
      <c r="N147" s="1702">
        <v>16500</v>
      </c>
      <c r="O147" s="898">
        <v>0.25</v>
      </c>
      <c r="P147" s="1702">
        <f t="shared" si="31"/>
        <v>12375</v>
      </c>
      <c r="Q147" s="1702">
        <f>P147*G147*M147</f>
        <v>12375</v>
      </c>
      <c r="R147" s="899">
        <f>Q147/Q153</f>
        <v>8.2332031677773115E-2</v>
      </c>
      <c r="S147" s="2020">
        <f t="shared" si="29"/>
        <v>37125</v>
      </c>
      <c r="T147" s="2021">
        <f>S147</f>
        <v>37125</v>
      </c>
      <c r="U147" s="2021"/>
      <c r="V147" s="2021"/>
      <c r="W147" s="2021"/>
      <c r="X147" s="2107"/>
      <c r="Y147" s="863"/>
      <c r="Z147" s="2058">
        <f>S147</f>
        <v>37125</v>
      </c>
      <c r="AA147" s="863"/>
      <c r="AB147" s="863"/>
      <c r="AC147" s="1921">
        <f>S147</f>
        <v>37125</v>
      </c>
      <c r="AD147" s="863"/>
      <c r="AE147" s="863"/>
      <c r="AG147" s="2032"/>
    </row>
    <row r="148" spans="1:33" x14ac:dyDescent="0.3">
      <c r="A148" s="891" t="s">
        <v>1136</v>
      </c>
      <c r="B148" s="2028" t="s">
        <v>273</v>
      </c>
      <c r="C148" s="2028" t="s">
        <v>1075</v>
      </c>
      <c r="D148" s="2028" t="s">
        <v>89</v>
      </c>
      <c r="E148" s="2028" t="s">
        <v>520</v>
      </c>
      <c r="F148" s="2028">
        <v>200</v>
      </c>
      <c r="G148" s="2028">
        <v>10</v>
      </c>
      <c r="H148" s="2028" t="s">
        <v>106</v>
      </c>
      <c r="I148" s="2062">
        <v>10</v>
      </c>
      <c r="J148" s="2108"/>
      <c r="K148" s="907"/>
      <c r="L148" s="907"/>
      <c r="M148" s="896">
        <v>1</v>
      </c>
      <c r="N148" s="1702">
        <v>1800</v>
      </c>
      <c r="O148" s="898">
        <v>0.33</v>
      </c>
      <c r="P148" s="1702">
        <f t="shared" si="31"/>
        <v>1205.9999999999998</v>
      </c>
      <c r="Q148" s="1702">
        <f t="shared" ref="Q148:Q149" si="33">P148*G148*M148</f>
        <v>12059.999999999998</v>
      </c>
      <c r="R148" s="967">
        <f>Q148/Q153</f>
        <v>8.023630723506614E-2</v>
      </c>
      <c r="S148" s="2020">
        <f t="shared" si="29"/>
        <v>36179.999999999993</v>
      </c>
      <c r="T148" s="2021">
        <f>S148</f>
        <v>36179.999999999993</v>
      </c>
      <c r="U148" s="2021"/>
      <c r="V148" s="2021"/>
      <c r="W148" s="2021"/>
      <c r="X148" s="2107"/>
      <c r="Y148" s="1921">
        <f>S148</f>
        <v>36179.999999999993</v>
      </c>
      <c r="Z148" s="2033"/>
      <c r="AA148" s="863"/>
      <c r="AB148" s="863"/>
      <c r="AC148" s="1921">
        <f>S148</f>
        <v>36179.999999999993</v>
      </c>
      <c r="AD148" s="863"/>
      <c r="AE148" s="863"/>
      <c r="AG148" s="2032"/>
    </row>
    <row r="149" spans="1:33" x14ac:dyDescent="0.3">
      <c r="A149" s="891" t="s">
        <v>1136</v>
      </c>
      <c r="B149" s="2028" t="s">
        <v>247</v>
      </c>
      <c r="C149" s="2028" t="s">
        <v>592</v>
      </c>
      <c r="D149" s="2028" t="s">
        <v>180</v>
      </c>
      <c r="E149" s="2028" t="s">
        <v>520</v>
      </c>
      <c r="F149" s="2028">
        <v>250</v>
      </c>
      <c r="G149" s="2028">
        <v>17</v>
      </c>
      <c r="H149" s="2028" t="s">
        <v>24</v>
      </c>
      <c r="I149" s="908">
        <v>17</v>
      </c>
      <c r="J149" s="895"/>
      <c r="K149" s="895"/>
      <c r="L149" s="2480"/>
      <c r="M149" s="896">
        <v>1</v>
      </c>
      <c r="N149" s="1706">
        <v>2500</v>
      </c>
      <c r="O149" s="910">
        <v>0.6</v>
      </c>
      <c r="P149" s="1706">
        <f t="shared" si="31"/>
        <v>1000</v>
      </c>
      <c r="Q149" s="1702">
        <f t="shared" si="33"/>
        <v>17000</v>
      </c>
      <c r="R149" s="967">
        <f>Q149/Q153</f>
        <v>0.11310258897148628</v>
      </c>
      <c r="S149" s="2020">
        <f t="shared" si="29"/>
        <v>51000</v>
      </c>
      <c r="T149" s="2021"/>
      <c r="U149" s="2021"/>
      <c r="V149" s="2021">
        <f>S149</f>
        <v>51000</v>
      </c>
      <c r="W149" s="2021"/>
      <c r="X149" s="2107"/>
      <c r="Y149" s="1921">
        <f>S149</f>
        <v>51000</v>
      </c>
      <c r="Z149" s="2033"/>
      <c r="AA149" s="863"/>
      <c r="AB149" s="863"/>
      <c r="AC149" s="863"/>
      <c r="AD149" s="863"/>
      <c r="AE149" s="1921">
        <f>S149</f>
        <v>51000</v>
      </c>
      <c r="AG149" s="2032"/>
    </row>
    <row r="150" spans="1:33" x14ac:dyDescent="0.3">
      <c r="A150" s="891" t="s">
        <v>1136</v>
      </c>
      <c r="B150" s="2028" t="s">
        <v>288</v>
      </c>
      <c r="C150" s="2028" t="s">
        <v>1075</v>
      </c>
      <c r="D150" s="2028" t="s">
        <v>26</v>
      </c>
      <c r="E150" s="2028" t="s">
        <v>520</v>
      </c>
      <c r="F150" s="2028">
        <v>62</v>
      </c>
      <c r="G150" s="2028">
        <v>3</v>
      </c>
      <c r="H150" s="2028" t="s">
        <v>106</v>
      </c>
      <c r="I150" s="2887">
        <v>3</v>
      </c>
      <c r="J150" s="2888"/>
      <c r="K150" s="908" t="s">
        <v>1139</v>
      </c>
      <c r="L150" s="2480"/>
      <c r="M150" s="896">
        <v>1</v>
      </c>
      <c r="N150" s="1706">
        <v>16000</v>
      </c>
      <c r="O150" s="910">
        <v>0.35</v>
      </c>
      <c r="P150" s="1706">
        <f>N150*(1-O150)</f>
        <v>10400</v>
      </c>
      <c r="Q150" s="1702">
        <f>P150*G150*M150</f>
        <v>31200</v>
      </c>
      <c r="R150" s="967">
        <f>Q150/Q153</f>
        <v>0.20757651623002191</v>
      </c>
      <c r="S150" s="2020">
        <f t="shared" si="29"/>
        <v>93600</v>
      </c>
      <c r="T150" s="2021">
        <f>S150</f>
        <v>93600</v>
      </c>
      <c r="U150" s="2021"/>
      <c r="V150" s="2021"/>
      <c r="W150" s="2021"/>
      <c r="X150" s="2107"/>
      <c r="Y150" s="860">
        <f>S150</f>
        <v>93600</v>
      </c>
      <c r="Z150" s="1946"/>
      <c r="AC150" s="860">
        <f>S150</f>
        <v>93600</v>
      </c>
      <c r="AG150" s="1947"/>
    </row>
    <row r="151" spans="1:33" x14ac:dyDescent="0.3">
      <c r="A151" s="915" t="s">
        <v>1136</v>
      </c>
      <c r="B151" s="2035" t="s">
        <v>529</v>
      </c>
      <c r="C151" s="2035"/>
      <c r="D151" s="2035"/>
      <c r="E151" s="2035"/>
      <c r="F151" s="2035"/>
      <c r="G151" s="2035"/>
      <c r="H151" s="2035"/>
      <c r="I151" s="2036"/>
      <c r="J151" s="2037"/>
      <c r="K151" s="2036"/>
      <c r="L151" s="2036"/>
      <c r="M151" s="2035"/>
      <c r="N151" s="2038"/>
      <c r="O151" s="2039"/>
      <c r="P151" s="2038"/>
      <c r="Q151" s="1709">
        <v>15000</v>
      </c>
      <c r="R151" s="2040">
        <f>Q151/Q153</f>
        <v>9.9796402033664369E-2</v>
      </c>
      <c r="S151" s="2020">
        <f t="shared" si="29"/>
        <v>45000</v>
      </c>
      <c r="X151" s="2109">
        <f>S151</f>
        <v>45000</v>
      </c>
      <c r="Z151" s="1946"/>
      <c r="AG151" s="1947"/>
    </row>
    <row r="152" spans="1:33" x14ac:dyDescent="0.3">
      <c r="A152" s="929"/>
      <c r="I152" s="1684">
        <f>I153/$M$153</f>
        <v>0.65934065934065933</v>
      </c>
      <c r="J152" s="1684">
        <f t="shared" ref="J152:K152" si="34">J153/$M$153</f>
        <v>0.16483516483516483</v>
      </c>
      <c r="K152" s="1684">
        <f t="shared" si="34"/>
        <v>0.17582417582417584</v>
      </c>
      <c r="Q152" s="1711"/>
      <c r="R152" s="899"/>
      <c r="S152" s="2110"/>
      <c r="X152" s="2111"/>
      <c r="Z152" s="2112"/>
      <c r="AG152" s="2064"/>
    </row>
    <row r="153" spans="1:33" x14ac:dyDescent="0.3">
      <c r="A153" s="2113" t="s">
        <v>531</v>
      </c>
      <c r="B153" s="2114"/>
      <c r="C153" s="2114"/>
      <c r="D153" s="2114"/>
      <c r="E153" s="2114"/>
      <c r="F153" s="2114"/>
      <c r="G153" s="2114"/>
      <c r="H153" s="2114"/>
      <c r="I153" s="2115">
        <f>I150+I149+I148+I146+I145+I144</f>
        <v>60</v>
      </c>
      <c r="J153" s="2116">
        <f>J146</f>
        <v>15</v>
      </c>
      <c r="K153" s="2115">
        <f>K147+K145+K144</f>
        <v>16</v>
      </c>
      <c r="L153" s="2115"/>
      <c r="M153" s="2115">
        <f>SUM(I153:L153)</f>
        <v>91</v>
      </c>
      <c r="N153" s="2117"/>
      <c r="O153" s="2118"/>
      <c r="P153" s="2117"/>
      <c r="Q153" s="2119">
        <f>SUM(Q144:Q151)</f>
        <v>150306.02000000002</v>
      </c>
      <c r="R153" s="2120">
        <f>SUM(R144:R151)</f>
        <v>0.99999999999999989</v>
      </c>
      <c r="S153" s="2121">
        <f>SUM(S144:S151)</f>
        <v>450918.06000000006</v>
      </c>
      <c r="T153" s="2122">
        <f>SUM(T143:T152)</f>
        <v>166905</v>
      </c>
      <c r="U153" s="2122">
        <f>SUM(U143:U152)</f>
        <v>188013.06000000003</v>
      </c>
      <c r="V153" s="2122">
        <f>SUM(V143:V152)</f>
        <v>51000</v>
      </c>
      <c r="W153" s="2123"/>
      <c r="X153" s="2122">
        <f>SUM(X144:X152)</f>
        <v>45000</v>
      </c>
      <c r="Y153" s="2124">
        <f>SUM(Y143:Y152)</f>
        <v>236994.54</v>
      </c>
      <c r="Z153" s="2125">
        <f>SUM(Z143:Z152)</f>
        <v>168923.52000000002</v>
      </c>
      <c r="AA153" s="2122">
        <f>SUM(AA143:AA152)</f>
        <v>53873.820000000007</v>
      </c>
      <c r="AB153" s="2122">
        <f t="shared" ref="AB153" si="35">SUM(AB143:AB152)</f>
        <v>134139.24000000002</v>
      </c>
      <c r="AC153" s="2122">
        <f>SUM(AC143:AC152)</f>
        <v>166905</v>
      </c>
      <c r="AD153" s="2122">
        <f t="shared" ref="AD153:AF153" si="36">SUM(AD143:AD152)</f>
        <v>0</v>
      </c>
      <c r="AE153" s="2122">
        <f t="shared" si="36"/>
        <v>51000</v>
      </c>
      <c r="AF153" s="2122">
        <f t="shared" si="36"/>
        <v>0</v>
      </c>
      <c r="AG153" s="2126"/>
    </row>
    <row r="154" spans="1:33" x14ac:dyDescent="0.3">
      <c r="A154" s="2127" t="s">
        <v>532</v>
      </c>
      <c r="B154" s="2128"/>
      <c r="C154" s="2128"/>
      <c r="D154" s="2128"/>
      <c r="E154" s="2128"/>
      <c r="F154" s="2128"/>
      <c r="G154" s="2128"/>
      <c r="H154" s="2128"/>
      <c r="I154" s="2129">
        <f>I150+I149+I148+I146+I145+I144</f>
        <v>60</v>
      </c>
      <c r="J154" s="2129">
        <f>I150+I149+I148+J146</f>
        <v>45</v>
      </c>
      <c r="K154" s="2129">
        <f>I150+I149+K147+K145+K144</f>
        <v>36</v>
      </c>
      <c r="L154" s="2129"/>
      <c r="M154" s="2130">
        <f>I154+J154+K154+L158+L154</f>
        <v>141</v>
      </c>
      <c r="N154" s="2131"/>
      <c r="O154" s="2132"/>
      <c r="P154" s="2131"/>
      <c r="Q154" s="2133"/>
      <c r="R154" s="2134"/>
      <c r="S154" s="2135"/>
      <c r="T154" s="2136"/>
      <c r="U154" s="2136"/>
      <c r="V154" s="2136"/>
      <c r="W154" s="2136"/>
      <c r="X154" s="2136"/>
      <c r="Y154" s="2137">
        <f>Y153/S153</f>
        <v>0.52558227541385227</v>
      </c>
      <c r="Z154" s="2138">
        <f>Z153/S153</f>
        <v>0.37462132255248326</v>
      </c>
      <c r="AA154" s="2139"/>
      <c r="AB154" s="2139"/>
      <c r="AC154" s="2139"/>
      <c r="AD154" s="2139"/>
      <c r="AE154" s="2139"/>
      <c r="AF154" s="2140"/>
      <c r="AG154" s="2141"/>
    </row>
    <row r="155" spans="1:33" x14ac:dyDescent="0.3">
      <c r="A155" s="243" t="s">
        <v>533</v>
      </c>
      <c r="B155" s="1725"/>
      <c r="C155" s="1725"/>
      <c r="D155" s="1725"/>
      <c r="E155" s="1725"/>
      <c r="F155" s="1725"/>
      <c r="G155" s="1725"/>
      <c r="H155" s="1725"/>
      <c r="I155" s="2201">
        <f>I154/$M$154</f>
        <v>0.42553191489361702</v>
      </c>
      <c r="J155" s="2201">
        <f t="shared" ref="J155:K155" si="37">J154/$M$154</f>
        <v>0.31914893617021278</v>
      </c>
      <c r="K155" s="2201">
        <f t="shared" si="37"/>
        <v>0.25531914893617019</v>
      </c>
      <c r="L155" s="1725"/>
      <c r="M155" s="1726"/>
      <c r="N155" s="1728"/>
      <c r="O155" s="1996"/>
      <c r="P155" s="1728"/>
      <c r="Q155" s="1997">
        <f>T153/3</f>
        <v>55635</v>
      </c>
      <c r="R155" s="1730">
        <f>Q155/Q160</f>
        <v>0.37014485514286116</v>
      </c>
      <c r="S155" s="2086"/>
      <c r="T155" s="2087"/>
      <c r="U155" s="2087"/>
      <c r="V155" s="2087"/>
      <c r="W155" s="2087"/>
      <c r="X155" s="2087"/>
      <c r="Y155" s="1791">
        <f>I146+J146+I148+I149+I150+2</f>
        <v>62</v>
      </c>
      <c r="Z155" s="1792">
        <f>J144+K144+I145+K147</f>
        <v>16</v>
      </c>
      <c r="AA155" s="2009"/>
      <c r="AB155" s="2009"/>
      <c r="AC155" s="2009"/>
      <c r="AD155" s="2009"/>
      <c r="AE155" s="2009"/>
    </row>
    <row r="156" spans="1:33" x14ac:dyDescent="0.3">
      <c r="A156" s="251" t="s">
        <v>11</v>
      </c>
      <c r="B156" s="1733"/>
      <c r="C156" s="1733"/>
      <c r="D156" s="1734"/>
      <c r="E156" s="1734"/>
      <c r="F156" s="1733"/>
      <c r="G156" s="1733"/>
      <c r="H156" s="1733"/>
      <c r="I156" s="1733"/>
      <c r="J156" s="1733"/>
      <c r="K156" s="1733"/>
      <c r="L156" s="1733"/>
      <c r="M156" s="1735"/>
      <c r="N156" s="1737"/>
      <c r="O156" s="1998"/>
      <c r="P156" s="1737"/>
      <c r="Q156" s="1999">
        <f>U153/3</f>
        <v>62671.020000000011</v>
      </c>
      <c r="R156" s="1730">
        <f>Q156/Q160</f>
        <v>0.41695615385198814</v>
      </c>
      <c r="S156" s="2142">
        <f>Q153/M153</f>
        <v>1651.7145054945056</v>
      </c>
      <c r="T156" s="2143" t="s">
        <v>535</v>
      </c>
      <c r="U156" s="2087"/>
      <c r="V156" s="2087"/>
      <c r="W156" s="2087"/>
      <c r="X156" s="2087"/>
      <c r="Y156" s="195">
        <f>Y155/M153</f>
        <v>0.68131868131868134</v>
      </c>
      <c r="Z156" s="247">
        <f>Z155/M153</f>
        <v>0.17582417582417584</v>
      </c>
      <c r="AA156" s="2009"/>
      <c r="AB156" s="2009"/>
      <c r="AC156" s="2009"/>
      <c r="AD156" s="2009"/>
      <c r="AE156" s="2009"/>
    </row>
    <row r="157" spans="1:33" x14ac:dyDescent="0.3">
      <c r="A157" s="251" t="s">
        <v>536</v>
      </c>
      <c r="B157" s="1733"/>
      <c r="C157" s="1733"/>
      <c r="D157" s="1734"/>
      <c r="E157" s="1734"/>
      <c r="F157" s="1735"/>
      <c r="G157" s="1733"/>
      <c r="H157" s="1733"/>
      <c r="I157" s="1733"/>
      <c r="J157" s="1733"/>
      <c r="K157" s="1733"/>
      <c r="L157" s="1733"/>
      <c r="M157" s="1733"/>
      <c r="N157" s="1737"/>
      <c r="O157" s="2001"/>
      <c r="P157" s="1737"/>
      <c r="Q157" s="1999">
        <f>V153/3</f>
        <v>17000</v>
      </c>
      <c r="R157" s="1730">
        <f>Q157/Q160</f>
        <v>0.11310258897148628</v>
      </c>
      <c r="S157" s="2086"/>
      <c r="Y157" s="2889" t="s">
        <v>537</v>
      </c>
      <c r="Z157" s="2890"/>
    </row>
    <row r="158" spans="1:33" x14ac:dyDescent="0.3">
      <c r="A158" s="251" t="s">
        <v>528</v>
      </c>
      <c r="B158" s="1733"/>
      <c r="C158" s="1733"/>
      <c r="D158" s="1733"/>
      <c r="E158" s="1733"/>
      <c r="F158" s="1733"/>
      <c r="G158" s="1733"/>
      <c r="H158" s="1733"/>
      <c r="I158" s="1733"/>
      <c r="J158" s="1733"/>
      <c r="K158" s="1733"/>
      <c r="L158" s="1733"/>
      <c r="M158" s="1733"/>
      <c r="N158" s="1737"/>
      <c r="O158" s="2001"/>
      <c r="P158" s="1737"/>
      <c r="Q158" s="1999">
        <f>W153/3</f>
        <v>0</v>
      </c>
      <c r="R158" s="1730">
        <f>Q158/Q160</f>
        <v>0</v>
      </c>
      <c r="S158" s="2086"/>
    </row>
    <row r="159" spans="1:33" x14ac:dyDescent="0.3">
      <c r="A159" s="464" t="s">
        <v>529</v>
      </c>
      <c r="B159" s="2003"/>
      <c r="C159" s="2003"/>
      <c r="D159" s="2003"/>
      <c r="E159" s="2003"/>
      <c r="F159" s="2003"/>
      <c r="G159" s="2003"/>
      <c r="H159" s="2003"/>
      <c r="I159" s="2003"/>
      <c r="J159" s="2003"/>
      <c r="K159" s="2003"/>
      <c r="L159" s="2003"/>
      <c r="M159" s="2003"/>
      <c r="N159" s="2004"/>
      <c r="O159" s="2005"/>
      <c r="P159" s="2004"/>
      <c r="Q159" s="2042">
        <f>X153/3</f>
        <v>15000</v>
      </c>
      <c r="R159" s="1730">
        <f>Q159/Q160</f>
        <v>9.9796402033664369E-2</v>
      </c>
      <c r="S159" s="2086"/>
      <c r="T159" s="2087"/>
      <c r="U159" s="2087"/>
      <c r="V159" s="2087"/>
      <c r="W159" s="2087"/>
      <c r="X159" s="2087"/>
      <c r="Y159" s="2009"/>
      <c r="Z159" s="2009"/>
      <c r="AA159" s="2009"/>
      <c r="AB159" s="2009"/>
      <c r="AC159" s="2009"/>
      <c r="AD159" s="2009"/>
      <c r="AE159" s="2009"/>
    </row>
    <row r="160" spans="1:33" x14ac:dyDescent="0.3">
      <c r="A160" s="1969"/>
      <c r="B160" s="1979"/>
      <c r="C160" s="1979"/>
      <c r="D160" s="1979"/>
      <c r="E160" s="1979"/>
      <c r="F160" s="924"/>
      <c r="G160" s="1979"/>
      <c r="H160" s="1733"/>
      <c r="I160" s="1733"/>
      <c r="J160" s="1733"/>
      <c r="K160" s="1733"/>
      <c r="L160" s="1733"/>
      <c r="M160" s="1733"/>
      <c r="N160" s="1737"/>
      <c r="O160" s="2001"/>
      <c r="P160" s="1737"/>
      <c r="Q160" s="1999">
        <f>SUM(Q155:Q159)</f>
        <v>150306.02000000002</v>
      </c>
      <c r="R160" s="2043">
        <f>SUM(R155:R159)</f>
        <v>1</v>
      </c>
      <c r="S160" s="1742"/>
    </row>
    <row r="161" spans="1:33" x14ac:dyDescent="0.3">
      <c r="B161" s="11"/>
      <c r="C161" s="11"/>
      <c r="D161" s="2144"/>
      <c r="E161" s="2145"/>
      <c r="F161" s="11"/>
      <c r="G161" s="11"/>
      <c r="H161" s="11"/>
      <c r="I161" s="11"/>
      <c r="J161" s="11"/>
      <c r="K161" s="11"/>
      <c r="L161" s="11"/>
      <c r="M161" s="11"/>
      <c r="N161" s="1742"/>
      <c r="O161" s="2012"/>
      <c r="P161" s="1742"/>
      <c r="Q161" s="1742"/>
      <c r="R161" s="2013"/>
      <c r="S161" s="1742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spans="1:33" ht="15.6" x14ac:dyDescent="0.3">
      <c r="B162" s="11"/>
      <c r="C162" s="11"/>
      <c r="D162" s="2144"/>
      <c r="E162" s="2145"/>
      <c r="F162" s="11"/>
      <c r="G162" s="11"/>
      <c r="H162" s="11"/>
      <c r="I162" s="11"/>
      <c r="J162" s="11"/>
      <c r="K162" s="11"/>
      <c r="L162" s="11"/>
      <c r="M162" s="11"/>
      <c r="N162" s="1742"/>
      <c r="O162" s="2012"/>
      <c r="P162" s="1742"/>
      <c r="Q162" s="1742"/>
      <c r="R162" s="2013"/>
      <c r="S162" s="1742"/>
      <c r="T162" s="11"/>
      <c r="U162" s="11"/>
      <c r="V162" s="11"/>
      <c r="W162" s="11"/>
      <c r="X162" s="11"/>
      <c r="Y162" s="11"/>
      <c r="Z162" s="2146">
        <f>SUM(AA163:AF163)</f>
        <v>1991842.5960000001</v>
      </c>
      <c r="AA162" s="2147" t="s">
        <v>1</v>
      </c>
      <c r="AB162" s="2148" t="s">
        <v>0</v>
      </c>
      <c r="AC162" s="2148" t="s">
        <v>264</v>
      </c>
      <c r="AD162" s="2148" t="s">
        <v>265</v>
      </c>
      <c r="AE162" s="2148" t="s">
        <v>10</v>
      </c>
      <c r="AF162" s="2148" t="s">
        <v>178</v>
      </c>
      <c r="AG162" s="2149"/>
    </row>
    <row r="163" spans="1:33" x14ac:dyDescent="0.3">
      <c r="A163" s="1568" t="s">
        <v>878</v>
      </c>
      <c r="B163" s="1641"/>
      <c r="C163" s="1641"/>
      <c r="D163" s="1641"/>
      <c r="E163" s="1641"/>
      <c r="F163" s="1642"/>
      <c r="G163" s="1641"/>
      <c r="H163" s="1641"/>
      <c r="I163" s="1643"/>
      <c r="J163" s="1643"/>
      <c r="K163" s="1643"/>
      <c r="L163" s="1643"/>
      <c r="M163" s="1641"/>
      <c r="N163" s="1035"/>
      <c r="O163" s="1644"/>
      <c r="P163" s="1035"/>
      <c r="Q163" s="1645"/>
      <c r="R163" s="1646"/>
      <c r="S163" s="1647">
        <f>S153+S123+S99+S69+S45</f>
        <v>2332842.5959999999</v>
      </c>
      <c r="T163" s="11"/>
      <c r="Z163" t="s">
        <v>601</v>
      </c>
      <c r="AA163" s="1679">
        <f>AA153+AA123+AA99+AA69+AA45</f>
        <v>333504.60000000003</v>
      </c>
      <c r="AB163" s="1645">
        <f t="shared" ref="AB163:AG163" si="38">AB153+AB123+AB99+AB69+AB45</f>
        <v>514950.99600000004</v>
      </c>
      <c r="AC163" s="1645">
        <f t="shared" si="38"/>
        <v>830387</v>
      </c>
      <c r="AD163" s="1645">
        <f t="shared" si="38"/>
        <v>210000</v>
      </c>
      <c r="AE163" s="1645">
        <f t="shared" si="38"/>
        <v>91000</v>
      </c>
      <c r="AF163" s="1645">
        <f t="shared" si="38"/>
        <v>11999.999999999998</v>
      </c>
      <c r="AG163" s="1645">
        <f t="shared" si="38"/>
        <v>0</v>
      </c>
    </row>
    <row r="164" spans="1:33" x14ac:dyDescent="0.3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742"/>
      <c r="O164" s="2012"/>
      <c r="P164" s="1742"/>
      <c r="Q164" s="1742"/>
      <c r="R164" s="2013" t="s">
        <v>571</v>
      </c>
      <c r="S164" s="1742">
        <f>D24-S163</f>
        <v>-2332842.5959999999</v>
      </c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spans="1:33" x14ac:dyDescent="0.3">
      <c r="N165" s="1742"/>
      <c r="O165" s="2012"/>
      <c r="P165" s="1742"/>
      <c r="Q165" s="1742"/>
      <c r="R165" s="2013"/>
      <c r="S165" s="1742"/>
    </row>
    <row r="166" spans="1:33" x14ac:dyDescent="0.3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742"/>
      <c r="O166" s="2012"/>
      <c r="P166" s="1742"/>
      <c r="Q166" s="1742"/>
      <c r="R166" s="2013"/>
      <c r="S166" s="1742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spans="1:33" x14ac:dyDescent="0.3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742"/>
      <c r="O167" s="2012"/>
      <c r="P167" s="1742"/>
      <c r="Q167" s="1742"/>
      <c r="R167" s="2013"/>
      <c r="S167" s="1742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3" x14ac:dyDescent="0.3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742"/>
      <c r="O168" s="2012"/>
      <c r="P168" s="1742"/>
      <c r="Q168" s="1742"/>
      <c r="R168" s="2013"/>
      <c r="S168" s="1742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spans="1:33" x14ac:dyDescent="0.3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742"/>
      <c r="O169" s="2012"/>
      <c r="P169" s="1742"/>
      <c r="Q169" s="1742"/>
      <c r="R169" s="2013"/>
      <c r="S169" s="1742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spans="1:33" x14ac:dyDescent="0.3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742"/>
      <c r="O170" s="2012"/>
      <c r="P170" s="1742"/>
      <c r="Q170" s="1742"/>
      <c r="R170" s="2013"/>
      <c r="S170" s="1742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spans="1:33" x14ac:dyDescent="0.3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742"/>
      <c r="O171" s="2012"/>
      <c r="P171" s="1742"/>
      <c r="Q171" s="1742"/>
      <c r="R171" s="2013"/>
      <c r="S171" s="1742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3" x14ac:dyDescent="0.3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742"/>
      <c r="O172" s="2012"/>
      <c r="P172" s="1742"/>
      <c r="Q172" s="1742"/>
      <c r="R172" s="2013"/>
      <c r="S172" s="1742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spans="1:33" x14ac:dyDescent="0.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742"/>
      <c r="O173" s="2012"/>
      <c r="P173" s="1742"/>
      <c r="Q173" s="1742"/>
      <c r="R173" s="2013"/>
      <c r="S173" s="1742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spans="1:33" x14ac:dyDescent="0.3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742"/>
      <c r="O174" s="2012"/>
      <c r="P174" s="1742"/>
      <c r="Q174" s="1742"/>
      <c r="R174" s="2013"/>
      <c r="S174" s="1742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3" x14ac:dyDescent="0.3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742"/>
      <c r="O175" s="2012"/>
      <c r="P175" s="1742"/>
      <c r="Q175" s="1742"/>
      <c r="R175" s="2013"/>
      <c r="S175" s="1742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3" x14ac:dyDescent="0.3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742"/>
      <c r="O176" s="2012"/>
      <c r="P176" s="1742"/>
      <c r="Q176" s="1742"/>
      <c r="R176" s="2013"/>
      <c r="S176" s="1742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2:31" x14ac:dyDescent="0.3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742"/>
      <c r="O177" s="2012"/>
      <c r="P177" s="1742"/>
      <c r="Q177" s="1742"/>
      <c r="R177" s="2013"/>
      <c r="S177" s="1742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2:31" x14ac:dyDescent="0.3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742"/>
      <c r="O178" s="2012"/>
      <c r="P178" s="1742"/>
      <c r="Q178" s="1742"/>
      <c r="R178" s="2013"/>
      <c r="S178" s="1742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2:31" x14ac:dyDescent="0.3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742"/>
      <c r="O179" s="2012"/>
      <c r="P179" s="1742"/>
      <c r="Q179" s="1742"/>
      <c r="R179" s="2013"/>
      <c r="S179" s="1742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2:31" x14ac:dyDescent="0.3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742"/>
      <c r="O180" s="2012"/>
      <c r="P180" s="1742"/>
      <c r="Q180" s="1742"/>
      <c r="R180" s="2013"/>
      <c r="S180" s="1742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2:31" x14ac:dyDescent="0.3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742"/>
      <c r="O181" s="2012"/>
      <c r="P181" s="1742"/>
      <c r="Q181" s="1742"/>
      <c r="R181" s="2013"/>
      <c r="S181" s="1742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2:31" x14ac:dyDescent="0.3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742"/>
      <c r="O182" s="2012"/>
      <c r="P182" s="1742"/>
      <c r="Q182" s="1742"/>
      <c r="R182" s="2013"/>
      <c r="S182" s="1742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2:31" x14ac:dyDescent="0.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742"/>
      <c r="O183" s="2012"/>
      <c r="P183" s="1742"/>
      <c r="Q183" s="1742"/>
      <c r="R183" s="2013"/>
      <c r="S183" s="1742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2:31" x14ac:dyDescent="0.3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742"/>
      <c r="O184" s="2012"/>
      <c r="P184" s="1742"/>
      <c r="Q184" s="1742"/>
      <c r="R184" s="2013"/>
      <c r="S184" s="1742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2:31" x14ac:dyDescent="0.3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742"/>
      <c r="O185" s="2012"/>
      <c r="P185" s="1742"/>
      <c r="Q185" s="1742"/>
      <c r="R185" s="2013"/>
      <c r="S185" s="1742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2:31" x14ac:dyDescent="0.3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742"/>
      <c r="O186" s="2012"/>
      <c r="P186" s="1742"/>
      <c r="Q186" s="1742"/>
      <c r="R186" s="2013"/>
      <c r="S186" s="1742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2:31" x14ac:dyDescent="0.3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742"/>
      <c r="O187" s="2012"/>
      <c r="P187" s="1742"/>
      <c r="Q187" s="1742"/>
      <c r="R187" s="2013"/>
      <c r="S187" s="1742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2:31" x14ac:dyDescent="0.3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742"/>
      <c r="O188" s="2012"/>
      <c r="P188" s="1742"/>
      <c r="Q188" s="1742"/>
      <c r="R188" s="2013"/>
      <c r="S188" s="1742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2:31" x14ac:dyDescent="0.3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742"/>
      <c r="O189" s="2012"/>
      <c r="P189" s="1742"/>
      <c r="Q189" s="1742"/>
      <c r="R189" s="2013"/>
      <c r="S189" s="1742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2:31" x14ac:dyDescent="0.3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742"/>
      <c r="O190" s="2012"/>
      <c r="P190" s="1742"/>
      <c r="Q190" s="1742"/>
      <c r="R190" s="2013"/>
      <c r="S190" s="1742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2:31" x14ac:dyDescent="0.3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742"/>
      <c r="O191" s="2012"/>
      <c r="P191" s="1742"/>
      <c r="Q191" s="1742"/>
      <c r="R191" s="2013"/>
      <c r="S191" s="1742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2:31" x14ac:dyDescent="0.3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742"/>
      <c r="O192" s="2012"/>
      <c r="P192" s="1742"/>
      <c r="Q192" s="1742"/>
      <c r="R192" s="2013"/>
      <c r="S192" s="1742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2:31" x14ac:dyDescent="0.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742"/>
      <c r="O193" s="2012"/>
      <c r="P193" s="1742"/>
      <c r="Q193" s="1742"/>
      <c r="R193" s="2013"/>
      <c r="S193" s="1742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2:31" x14ac:dyDescent="0.3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742"/>
      <c r="O194" s="2012"/>
      <c r="P194" s="1742"/>
      <c r="Q194" s="1742"/>
      <c r="R194" s="2013"/>
      <c r="S194" s="1742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2:31" x14ac:dyDescent="0.3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742"/>
      <c r="O195" s="2012"/>
      <c r="P195" s="1742"/>
      <c r="Q195" s="1742"/>
      <c r="R195" s="2013"/>
      <c r="S195" s="1742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2:31" x14ac:dyDescent="0.3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742"/>
      <c r="O196" s="2012"/>
      <c r="P196" s="1742"/>
      <c r="Q196" s="1742"/>
      <c r="R196" s="2013"/>
      <c r="S196" s="1742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2:31" x14ac:dyDescent="0.3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742"/>
      <c r="O197" s="2012"/>
      <c r="P197" s="1742"/>
      <c r="Q197" s="1742"/>
      <c r="R197" s="2013"/>
      <c r="S197" s="1742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2:31" x14ac:dyDescent="0.3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742"/>
      <c r="O198" s="2012"/>
      <c r="P198" s="1742"/>
      <c r="Q198" s="1742"/>
      <c r="R198" s="2013"/>
      <c r="S198" s="1742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2:31" x14ac:dyDescent="0.3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742"/>
      <c r="O199" s="2012"/>
      <c r="P199" s="1742"/>
      <c r="Q199" s="1742"/>
      <c r="R199" s="2013"/>
      <c r="S199" s="1742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2:31" x14ac:dyDescent="0.3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742"/>
      <c r="O200" s="2012"/>
      <c r="P200" s="1742"/>
      <c r="Q200" s="1742"/>
      <c r="R200" s="2013"/>
      <c r="S200" s="1742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2:31" x14ac:dyDescent="0.3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742"/>
      <c r="O201" s="2012"/>
      <c r="P201" s="1742"/>
      <c r="Q201" s="1742"/>
      <c r="R201" s="2013"/>
      <c r="S201" s="1742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2:31" x14ac:dyDescent="0.3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742"/>
      <c r="O202" s="2012"/>
      <c r="P202" s="1742"/>
      <c r="Q202" s="1742"/>
      <c r="R202" s="2013"/>
      <c r="S202" s="1742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F66"/>
  <sheetViews>
    <sheetView topLeftCell="A17" workbookViewId="0">
      <selection activeCell="H32" sqref="H32:H38"/>
    </sheetView>
  </sheetViews>
  <sheetFormatPr defaultRowHeight="14.4" x14ac:dyDescent="0.3"/>
  <sheetData>
    <row r="1" spans="1:32" x14ac:dyDescent="0.3">
      <c r="A1" s="43" t="s">
        <v>309</v>
      </c>
      <c r="B1" s="43" t="s">
        <v>334</v>
      </c>
      <c r="C1" s="43" t="s">
        <v>310</v>
      </c>
      <c r="D1" s="43" t="s">
        <v>311</v>
      </c>
      <c r="E1" s="43" t="s">
        <v>312</v>
      </c>
      <c r="F1" s="43" t="s">
        <v>313</v>
      </c>
      <c r="G1" s="2185" t="s">
        <v>1167</v>
      </c>
      <c r="H1" s="2185" t="s">
        <v>1169</v>
      </c>
      <c r="I1" s="43" t="s">
        <v>314</v>
      </c>
      <c r="J1" s="43" t="s">
        <v>315</v>
      </c>
      <c r="K1" s="43" t="s">
        <v>335</v>
      </c>
      <c r="L1" s="43" t="s">
        <v>336</v>
      </c>
      <c r="M1" s="43" t="s">
        <v>316</v>
      </c>
      <c r="N1" s="43" t="s">
        <v>317</v>
      </c>
      <c r="O1" s="43" t="s">
        <v>318</v>
      </c>
      <c r="P1" s="43" t="s">
        <v>319</v>
      </c>
      <c r="Q1" s="43" t="s">
        <v>320</v>
      </c>
      <c r="R1" s="43" t="s">
        <v>321</v>
      </c>
      <c r="S1" s="43" t="s">
        <v>341</v>
      </c>
      <c r="T1" s="44" t="s">
        <v>337</v>
      </c>
      <c r="U1" s="43" t="s">
        <v>322</v>
      </c>
      <c r="V1" s="44" t="s">
        <v>338</v>
      </c>
      <c r="W1" s="44" t="s">
        <v>339</v>
      </c>
      <c r="X1" s="45"/>
      <c r="Y1" s="45"/>
      <c r="AB1" s="43"/>
      <c r="AD1" s="43"/>
    </row>
    <row r="2" spans="1:32" x14ac:dyDescent="0.3">
      <c r="A2" s="47" t="s">
        <v>327</v>
      </c>
      <c r="B2" s="47" t="s">
        <v>360</v>
      </c>
      <c r="C2" s="47" t="s">
        <v>375</v>
      </c>
      <c r="D2" s="47" t="s">
        <v>376</v>
      </c>
      <c r="E2" s="63" t="s">
        <v>266</v>
      </c>
      <c r="F2" s="65" t="s">
        <v>267</v>
      </c>
      <c r="G2" s="2203">
        <v>6</v>
      </c>
      <c r="H2" s="2186">
        <f>VLOOKUP(G2,Pesos!A:B,2,0)</f>
        <v>0.4</v>
      </c>
      <c r="I2" s="48"/>
      <c r="J2" s="48" t="s">
        <v>305</v>
      </c>
      <c r="K2" s="65">
        <v>10</v>
      </c>
      <c r="L2" s="48">
        <v>25</v>
      </c>
      <c r="M2" s="66">
        <v>7</v>
      </c>
      <c r="N2" s="67" t="s">
        <v>22</v>
      </c>
      <c r="O2" s="48"/>
      <c r="P2" s="48">
        <v>7</v>
      </c>
      <c r="Q2" s="48">
        <v>7</v>
      </c>
      <c r="R2" s="48"/>
      <c r="S2" s="48">
        <v>2</v>
      </c>
      <c r="T2" s="64">
        <v>3289</v>
      </c>
      <c r="U2" s="68">
        <v>0.61</v>
      </c>
      <c r="V2" s="49">
        <f>T2*(1-U2)</f>
        <v>1282.71</v>
      </c>
      <c r="W2" s="49">
        <f>V2*S2*M2</f>
        <v>17957.940000000002</v>
      </c>
      <c r="X2" s="50"/>
      <c r="Y2" s="51"/>
      <c r="Z2" s="48"/>
      <c r="AA2" s="47"/>
      <c r="AB2" s="43"/>
      <c r="AC2" s="43"/>
      <c r="AD2" s="43"/>
      <c r="AE2" s="43"/>
      <c r="AF2" s="43"/>
    </row>
    <row r="3" spans="1:32" x14ac:dyDescent="0.3">
      <c r="A3" s="47" t="s">
        <v>327</v>
      </c>
      <c r="B3" s="47" t="s">
        <v>360</v>
      </c>
      <c r="C3" s="47" t="s">
        <v>375</v>
      </c>
      <c r="D3" s="47" t="s">
        <v>376</v>
      </c>
      <c r="E3" s="63" t="s">
        <v>157</v>
      </c>
      <c r="F3" s="65" t="s">
        <v>268</v>
      </c>
      <c r="G3" s="2203">
        <v>4</v>
      </c>
      <c r="H3" s="2186">
        <f>VLOOKUP(G3,Pesos!A:B,2,0)</f>
        <v>0.6</v>
      </c>
      <c r="J3" s="48" t="s">
        <v>305</v>
      </c>
      <c r="K3" s="65">
        <v>10</v>
      </c>
      <c r="L3" s="48">
        <v>25</v>
      </c>
      <c r="M3" s="66">
        <v>13</v>
      </c>
      <c r="N3" s="67" t="s">
        <v>22</v>
      </c>
      <c r="O3" s="48">
        <v>13</v>
      </c>
      <c r="S3" s="48">
        <v>1</v>
      </c>
      <c r="T3" s="64">
        <v>3255</v>
      </c>
      <c r="U3" s="68">
        <v>0.43</v>
      </c>
      <c r="V3" s="49">
        <f t="shared" ref="V3:V8" si="0">T3*(1-U3)</f>
        <v>1855.3500000000001</v>
      </c>
      <c r="W3" s="49">
        <f t="shared" ref="W3:W15" si="1">V3*S3*M3</f>
        <v>24119.550000000003</v>
      </c>
      <c r="X3" s="52"/>
      <c r="Y3" s="53"/>
      <c r="Z3" s="48"/>
    </row>
    <row r="4" spans="1:32" x14ac:dyDescent="0.3">
      <c r="A4" s="47" t="s">
        <v>327</v>
      </c>
      <c r="B4" s="47" t="s">
        <v>360</v>
      </c>
      <c r="C4" s="47" t="s">
        <v>375</v>
      </c>
      <c r="D4" s="47" t="s">
        <v>376</v>
      </c>
      <c r="E4" s="48" t="s">
        <v>157</v>
      </c>
      <c r="F4" s="10" t="s">
        <v>268</v>
      </c>
      <c r="G4" s="2197">
        <v>4</v>
      </c>
      <c r="H4" s="2186">
        <f>VLOOKUP(G4,Pesos!A:B,2,0)</f>
        <v>0.6</v>
      </c>
      <c r="I4" s="48" t="s">
        <v>305</v>
      </c>
      <c r="K4" s="10">
        <v>10</v>
      </c>
      <c r="L4" s="48">
        <v>25</v>
      </c>
      <c r="M4" s="10">
        <v>10</v>
      </c>
      <c r="N4" s="10" t="s">
        <v>22</v>
      </c>
      <c r="O4" s="48">
        <v>10</v>
      </c>
      <c r="P4" s="48">
        <v>10</v>
      </c>
      <c r="S4" s="48">
        <v>2</v>
      </c>
      <c r="T4" s="64">
        <v>2082.02</v>
      </c>
      <c r="U4" s="68">
        <v>0.7</v>
      </c>
      <c r="V4" s="49">
        <f t="shared" si="0"/>
        <v>624.60600000000011</v>
      </c>
      <c r="W4" s="49">
        <f t="shared" si="1"/>
        <v>12492.120000000003</v>
      </c>
      <c r="X4" s="52"/>
      <c r="Y4" s="53"/>
      <c r="Z4" s="48"/>
    </row>
    <row r="5" spans="1:32" x14ac:dyDescent="0.3">
      <c r="A5" s="47" t="s">
        <v>327</v>
      </c>
      <c r="B5" s="47" t="s">
        <v>360</v>
      </c>
      <c r="C5" s="47" t="s">
        <v>375</v>
      </c>
      <c r="D5" s="47" t="s">
        <v>376</v>
      </c>
      <c r="E5" s="48" t="s">
        <v>269</v>
      </c>
      <c r="F5" s="10" t="s">
        <v>102</v>
      </c>
      <c r="G5" s="2197">
        <v>2</v>
      </c>
      <c r="H5" s="2186">
        <f>VLOOKUP(G5,Pesos!A:B,2,0)</f>
        <v>0.8</v>
      </c>
      <c r="J5" s="48" t="s">
        <v>305</v>
      </c>
      <c r="K5" s="10">
        <v>3</v>
      </c>
      <c r="L5" s="54" t="s">
        <v>263</v>
      </c>
      <c r="M5" s="10">
        <v>3</v>
      </c>
      <c r="N5" s="10" t="s">
        <v>22</v>
      </c>
      <c r="Q5" s="48">
        <v>3</v>
      </c>
      <c r="R5" s="48">
        <v>3</v>
      </c>
      <c r="S5" s="48">
        <v>2</v>
      </c>
      <c r="T5" s="64">
        <v>16500</v>
      </c>
      <c r="U5" s="68">
        <v>0.25</v>
      </c>
      <c r="V5" s="49">
        <f t="shared" si="0"/>
        <v>12375</v>
      </c>
      <c r="W5" s="49">
        <f t="shared" si="1"/>
        <v>74250</v>
      </c>
      <c r="X5" s="50"/>
      <c r="Y5" s="53"/>
      <c r="Z5" s="48"/>
    </row>
    <row r="6" spans="1:32" x14ac:dyDescent="0.3">
      <c r="A6" s="47" t="s">
        <v>327</v>
      </c>
      <c r="B6" s="47" t="s">
        <v>360</v>
      </c>
      <c r="C6" s="47" t="s">
        <v>375</v>
      </c>
      <c r="D6" s="47" t="s">
        <v>376</v>
      </c>
      <c r="E6" s="48" t="s">
        <v>269</v>
      </c>
      <c r="F6" s="10" t="s">
        <v>27</v>
      </c>
      <c r="G6" s="2197">
        <v>1</v>
      </c>
      <c r="H6" s="2186">
        <f>VLOOKUP(G6,Pesos!A:B,2,0)</f>
        <v>0.9</v>
      </c>
      <c r="I6" s="48" t="s">
        <v>305</v>
      </c>
      <c r="K6" s="10">
        <v>10</v>
      </c>
      <c r="L6" s="54" t="s">
        <v>83</v>
      </c>
      <c r="M6" s="10">
        <v>15</v>
      </c>
      <c r="N6" s="10" t="s">
        <v>106</v>
      </c>
      <c r="O6" s="48">
        <v>15</v>
      </c>
      <c r="S6" s="48">
        <v>1</v>
      </c>
      <c r="T6" s="64">
        <v>2100</v>
      </c>
      <c r="U6" s="68">
        <v>0.33</v>
      </c>
      <c r="V6" s="49">
        <f t="shared" si="0"/>
        <v>1406.9999999999998</v>
      </c>
      <c r="W6" s="49">
        <f t="shared" si="1"/>
        <v>21104.999999999996</v>
      </c>
      <c r="X6" s="52"/>
      <c r="Y6" s="53"/>
      <c r="Z6" s="48"/>
    </row>
    <row r="7" spans="1:32" x14ac:dyDescent="0.3">
      <c r="A7" s="47" t="s">
        <v>327</v>
      </c>
      <c r="B7" s="47" t="s">
        <v>360</v>
      </c>
      <c r="C7" s="47" t="s">
        <v>375</v>
      </c>
      <c r="D7" s="47" t="s">
        <v>376</v>
      </c>
      <c r="E7" s="48" t="s">
        <v>270</v>
      </c>
      <c r="F7" s="10" t="s">
        <v>271</v>
      </c>
      <c r="G7" s="2197">
        <v>3</v>
      </c>
      <c r="H7" s="2186">
        <f>VLOOKUP(G7,Pesos!A:B,2,0)</f>
        <v>0.7</v>
      </c>
      <c r="I7" s="48" t="s">
        <v>305</v>
      </c>
      <c r="K7" s="10">
        <v>2</v>
      </c>
      <c r="L7" s="54" t="s">
        <v>229</v>
      </c>
      <c r="M7" s="10">
        <v>2</v>
      </c>
      <c r="N7" s="10" t="s">
        <v>24</v>
      </c>
      <c r="O7" s="48">
        <v>2</v>
      </c>
      <c r="S7" s="48">
        <v>1</v>
      </c>
      <c r="T7" s="61">
        <v>35000</v>
      </c>
      <c r="U7" s="69">
        <v>0.5</v>
      </c>
      <c r="V7" s="49">
        <f t="shared" si="0"/>
        <v>17500</v>
      </c>
      <c r="W7" s="49">
        <f t="shared" si="1"/>
        <v>35000</v>
      </c>
      <c r="X7" s="52"/>
      <c r="Y7" s="53"/>
      <c r="Z7" s="48"/>
    </row>
    <row r="8" spans="1:32" x14ac:dyDescent="0.3">
      <c r="A8" s="47" t="s">
        <v>327</v>
      </c>
      <c r="B8" s="47" t="s">
        <v>360</v>
      </c>
      <c r="C8" s="47" t="s">
        <v>375</v>
      </c>
      <c r="D8" s="47" t="s">
        <v>376</v>
      </c>
      <c r="E8" s="48" t="s">
        <v>269</v>
      </c>
      <c r="F8" s="10" t="s">
        <v>26</v>
      </c>
      <c r="G8" s="2197">
        <v>5</v>
      </c>
      <c r="H8" s="2186">
        <f>VLOOKUP(G8,Pesos!A:B,2,0)</f>
        <v>0.5</v>
      </c>
      <c r="I8" s="48" t="s">
        <v>305</v>
      </c>
      <c r="K8" s="10">
        <v>2</v>
      </c>
      <c r="L8" s="54" t="s">
        <v>354</v>
      </c>
      <c r="M8" s="10">
        <v>4</v>
      </c>
      <c r="N8" s="10" t="s">
        <v>106</v>
      </c>
      <c r="O8" s="48">
        <v>4</v>
      </c>
      <c r="Q8" s="48">
        <v>4</v>
      </c>
      <c r="S8" s="48">
        <v>2</v>
      </c>
      <c r="T8" s="61">
        <v>16000</v>
      </c>
      <c r="U8" s="69">
        <v>0.35</v>
      </c>
      <c r="V8" s="49">
        <f t="shared" si="0"/>
        <v>10400</v>
      </c>
      <c r="W8" s="49">
        <f t="shared" si="1"/>
        <v>83200</v>
      </c>
      <c r="X8" s="52"/>
      <c r="Y8" s="53"/>
      <c r="Z8" s="48"/>
    </row>
    <row r="9" spans="1:32" x14ac:dyDescent="0.3">
      <c r="G9" s="2196"/>
      <c r="H9" s="2196"/>
      <c r="L9" s="54"/>
      <c r="M9" s="48"/>
      <c r="T9" s="55"/>
      <c r="U9" s="56"/>
      <c r="V9" s="57"/>
      <c r="X9" s="52"/>
      <c r="Y9" s="53"/>
      <c r="Z9" s="48"/>
    </row>
    <row r="10" spans="1:32" x14ac:dyDescent="0.3">
      <c r="A10" s="47" t="s">
        <v>340</v>
      </c>
      <c r="B10" s="47" t="s">
        <v>360</v>
      </c>
      <c r="C10" s="47" t="s">
        <v>375</v>
      </c>
      <c r="D10" s="47" t="s">
        <v>376</v>
      </c>
      <c r="E10" s="65" t="s">
        <v>266</v>
      </c>
      <c r="F10" s="65" t="s">
        <v>267</v>
      </c>
      <c r="G10" s="2203">
        <v>5</v>
      </c>
      <c r="H10" s="2186">
        <f>VLOOKUP(G10,Pesos!A:B,2,0)</f>
        <v>0.5</v>
      </c>
      <c r="J10" s="48" t="s">
        <v>305</v>
      </c>
      <c r="K10" s="65">
        <v>10</v>
      </c>
      <c r="L10" s="48">
        <v>25</v>
      </c>
      <c r="M10" s="66">
        <v>25</v>
      </c>
      <c r="N10" s="67" t="s">
        <v>22</v>
      </c>
      <c r="O10" s="48">
        <v>25</v>
      </c>
      <c r="Q10" s="48">
        <v>25</v>
      </c>
      <c r="S10" s="48">
        <v>2</v>
      </c>
      <c r="T10" s="64">
        <v>3289</v>
      </c>
      <c r="U10" s="68">
        <v>0.61</v>
      </c>
      <c r="V10" s="49">
        <f t="shared" ref="V10:V15" si="2">T10*(1-U10)</f>
        <v>1282.71</v>
      </c>
      <c r="W10" s="49">
        <f t="shared" si="1"/>
        <v>64135.5</v>
      </c>
      <c r="X10" s="52"/>
      <c r="Y10" s="53"/>
      <c r="Z10" s="48"/>
    </row>
    <row r="11" spans="1:32" x14ac:dyDescent="0.3">
      <c r="A11" s="47" t="s">
        <v>340</v>
      </c>
      <c r="B11" s="47" t="s">
        <v>360</v>
      </c>
      <c r="C11" s="47" t="s">
        <v>375</v>
      </c>
      <c r="D11" s="47" t="s">
        <v>376</v>
      </c>
      <c r="E11" s="65" t="s">
        <v>157</v>
      </c>
      <c r="F11" s="65" t="s">
        <v>268</v>
      </c>
      <c r="G11" s="2203">
        <v>1</v>
      </c>
      <c r="H11" s="2186">
        <f>VLOOKUP(G11,Pesos!A:B,2,0)</f>
        <v>0.9</v>
      </c>
      <c r="J11" s="48" t="s">
        <v>305</v>
      </c>
      <c r="K11" s="65">
        <v>10</v>
      </c>
      <c r="L11" s="48">
        <v>25</v>
      </c>
      <c r="M11" s="66">
        <v>20</v>
      </c>
      <c r="N11" s="67" t="s">
        <v>22</v>
      </c>
      <c r="O11" s="48">
        <v>20</v>
      </c>
      <c r="R11" s="48">
        <v>20</v>
      </c>
      <c r="S11" s="48">
        <v>2</v>
      </c>
      <c r="T11" s="64">
        <v>3255</v>
      </c>
      <c r="U11" s="68">
        <v>0.43</v>
      </c>
      <c r="V11" s="57">
        <f t="shared" si="2"/>
        <v>1855.3500000000001</v>
      </c>
      <c r="W11" s="49">
        <f t="shared" si="1"/>
        <v>74214</v>
      </c>
      <c r="X11" s="52"/>
      <c r="Y11" s="53"/>
      <c r="Z11" s="48"/>
    </row>
    <row r="12" spans="1:32" x14ac:dyDescent="0.3">
      <c r="A12" s="47" t="s">
        <v>340</v>
      </c>
      <c r="B12" s="47" t="s">
        <v>360</v>
      </c>
      <c r="C12" s="47" t="s">
        <v>375</v>
      </c>
      <c r="D12" s="47" t="s">
        <v>376</v>
      </c>
      <c r="E12" s="10" t="s">
        <v>157</v>
      </c>
      <c r="F12" s="10" t="s">
        <v>268</v>
      </c>
      <c r="G12" s="2197">
        <v>1</v>
      </c>
      <c r="H12" s="2186">
        <f>VLOOKUP(G12,Pesos!A:B,2,0)</f>
        <v>0.9</v>
      </c>
      <c r="I12" s="48" t="s">
        <v>305</v>
      </c>
      <c r="K12" s="10">
        <v>10</v>
      </c>
      <c r="L12" s="48">
        <v>25</v>
      </c>
      <c r="M12" s="10">
        <v>20</v>
      </c>
      <c r="N12" s="10" t="s">
        <v>22</v>
      </c>
      <c r="P12" s="48">
        <v>20</v>
      </c>
      <c r="Q12" s="48">
        <v>20</v>
      </c>
      <c r="S12" s="48">
        <v>2</v>
      </c>
      <c r="T12" s="64">
        <v>2082.02</v>
      </c>
      <c r="U12" s="68">
        <v>0.7</v>
      </c>
      <c r="V12" s="57">
        <f t="shared" si="2"/>
        <v>624.60600000000011</v>
      </c>
      <c r="W12" s="49">
        <f t="shared" si="1"/>
        <v>24984.240000000005</v>
      </c>
      <c r="X12" s="52"/>
      <c r="Y12" s="53"/>
      <c r="Z12" s="48"/>
    </row>
    <row r="13" spans="1:32" x14ac:dyDescent="0.3">
      <c r="A13" s="47" t="s">
        <v>340</v>
      </c>
      <c r="B13" s="47" t="s">
        <v>360</v>
      </c>
      <c r="C13" s="47" t="s">
        <v>375</v>
      </c>
      <c r="D13" s="47" t="s">
        <v>376</v>
      </c>
      <c r="E13" s="10" t="s">
        <v>272</v>
      </c>
      <c r="F13" s="10" t="s">
        <v>27</v>
      </c>
      <c r="G13" s="2197">
        <v>2</v>
      </c>
      <c r="H13" s="2186">
        <f>VLOOKUP(G13,Pesos!A:B,2,0)</f>
        <v>0.8</v>
      </c>
      <c r="I13" s="48" t="s">
        <v>305</v>
      </c>
      <c r="K13" s="10">
        <v>10</v>
      </c>
      <c r="L13" s="54" t="s">
        <v>83</v>
      </c>
      <c r="M13" s="10">
        <v>25</v>
      </c>
      <c r="N13" s="10" t="s">
        <v>106</v>
      </c>
      <c r="O13" s="48">
        <v>25</v>
      </c>
      <c r="S13" s="48">
        <v>1</v>
      </c>
      <c r="T13" s="64">
        <v>2100</v>
      </c>
      <c r="U13" s="68">
        <v>0.33</v>
      </c>
      <c r="V13" s="57">
        <f t="shared" si="2"/>
        <v>1406.9999999999998</v>
      </c>
      <c r="W13" s="49">
        <f t="shared" si="1"/>
        <v>35174.999999999993</v>
      </c>
      <c r="X13" s="52"/>
      <c r="Y13" s="53"/>
      <c r="Z13" s="48"/>
    </row>
    <row r="14" spans="1:32" x14ac:dyDescent="0.3">
      <c r="A14" s="47" t="s">
        <v>340</v>
      </c>
      <c r="B14" s="47" t="s">
        <v>360</v>
      </c>
      <c r="C14" s="47" t="s">
        <v>375</v>
      </c>
      <c r="D14" s="47" t="s">
        <v>376</v>
      </c>
      <c r="E14" s="10" t="s">
        <v>247</v>
      </c>
      <c r="F14" s="10" t="s">
        <v>180</v>
      </c>
      <c r="G14" s="2197">
        <v>3</v>
      </c>
      <c r="H14" s="2186">
        <f>VLOOKUP(G14,Pesos!A:B,2,0)</f>
        <v>0.7</v>
      </c>
      <c r="I14" s="48" t="s">
        <v>305</v>
      </c>
      <c r="K14" s="10">
        <v>10</v>
      </c>
      <c r="L14" s="54" t="s">
        <v>51</v>
      </c>
      <c r="M14" s="10">
        <v>20</v>
      </c>
      <c r="N14" s="10" t="s">
        <v>24</v>
      </c>
      <c r="O14" s="48">
        <v>20</v>
      </c>
      <c r="S14" s="48">
        <v>1</v>
      </c>
      <c r="T14" s="61">
        <v>2500</v>
      </c>
      <c r="U14" s="69">
        <v>0.6</v>
      </c>
      <c r="V14" s="57">
        <f t="shared" si="2"/>
        <v>1000</v>
      </c>
      <c r="W14" s="49">
        <f t="shared" si="1"/>
        <v>20000</v>
      </c>
      <c r="X14" s="52"/>
      <c r="Y14" s="53"/>
      <c r="Z14" s="48"/>
    </row>
    <row r="15" spans="1:32" x14ac:dyDescent="0.3">
      <c r="A15" s="47" t="s">
        <v>340</v>
      </c>
      <c r="B15" s="47" t="s">
        <v>360</v>
      </c>
      <c r="C15" s="47" t="s">
        <v>375</v>
      </c>
      <c r="D15" s="47" t="s">
        <v>376</v>
      </c>
      <c r="E15" s="10" t="s">
        <v>130</v>
      </c>
      <c r="F15" s="10" t="s">
        <v>223</v>
      </c>
      <c r="G15" s="2197">
        <v>4</v>
      </c>
      <c r="H15" s="2186">
        <f>VLOOKUP(G15,Pesos!A:B,2,0)</f>
        <v>0.6</v>
      </c>
      <c r="I15" s="48" t="s">
        <v>305</v>
      </c>
      <c r="K15" s="10">
        <v>10</v>
      </c>
      <c r="L15" s="54" t="s">
        <v>83</v>
      </c>
      <c r="M15" s="10">
        <v>10</v>
      </c>
      <c r="N15" s="10" t="s">
        <v>24</v>
      </c>
      <c r="O15" s="48">
        <v>10</v>
      </c>
      <c r="S15" s="48">
        <v>1</v>
      </c>
      <c r="T15" s="61">
        <v>3000</v>
      </c>
      <c r="U15" s="69">
        <v>0.8</v>
      </c>
      <c r="V15" s="57">
        <f t="shared" si="2"/>
        <v>599.99999999999989</v>
      </c>
      <c r="W15" s="49">
        <f t="shared" si="1"/>
        <v>5999.9999999999991</v>
      </c>
      <c r="X15" s="52"/>
    </row>
    <row r="16" spans="1:32" x14ac:dyDescent="0.3">
      <c r="G16" s="2196"/>
      <c r="H16" s="2196"/>
      <c r="M16" s="54"/>
      <c r="R16" s="52"/>
      <c r="T16" s="55"/>
      <c r="U16" s="60"/>
      <c r="V16" s="57"/>
      <c r="W16" s="57"/>
      <c r="X16" s="52"/>
    </row>
    <row r="17" spans="1:24" x14ac:dyDescent="0.3">
      <c r="A17" s="47" t="s">
        <v>342</v>
      </c>
      <c r="B17" s="47" t="s">
        <v>360</v>
      </c>
      <c r="C17" s="47" t="s">
        <v>375</v>
      </c>
      <c r="D17" s="47" t="s">
        <v>376</v>
      </c>
      <c r="E17" s="65" t="s">
        <v>266</v>
      </c>
      <c r="F17" s="65" t="s">
        <v>267</v>
      </c>
      <c r="G17" s="2203">
        <v>6</v>
      </c>
      <c r="H17" s="2186">
        <f>VLOOKUP(G17,Pesos!A:B,2,0)</f>
        <v>0.4</v>
      </c>
      <c r="J17" s="48" t="s">
        <v>305</v>
      </c>
      <c r="K17" s="65">
        <v>7</v>
      </c>
      <c r="L17" s="48">
        <v>20</v>
      </c>
      <c r="M17" s="66">
        <v>15</v>
      </c>
      <c r="N17" s="67" t="s">
        <v>22</v>
      </c>
      <c r="O17" s="48">
        <v>15</v>
      </c>
      <c r="Q17" s="48">
        <v>15</v>
      </c>
      <c r="R17" s="50"/>
      <c r="S17" s="48">
        <v>2</v>
      </c>
      <c r="T17" s="64">
        <v>3289</v>
      </c>
      <c r="U17" s="68">
        <v>0.61</v>
      </c>
      <c r="V17" s="57">
        <f t="shared" ref="V17:V38" si="3">T17*(1-U17)</f>
        <v>1282.71</v>
      </c>
      <c r="W17" s="57">
        <f t="shared" ref="W17:W38" si="4">V17*S17*M17</f>
        <v>38481.300000000003</v>
      </c>
      <c r="X17" s="52"/>
    </row>
    <row r="18" spans="1:24" x14ac:dyDescent="0.3">
      <c r="A18" s="47" t="s">
        <v>342</v>
      </c>
      <c r="B18" s="47" t="s">
        <v>360</v>
      </c>
      <c r="C18" s="47" t="s">
        <v>375</v>
      </c>
      <c r="D18" s="47" t="s">
        <v>376</v>
      </c>
      <c r="E18" s="65" t="s">
        <v>157</v>
      </c>
      <c r="F18" s="65" t="s">
        <v>268</v>
      </c>
      <c r="G18" s="2203">
        <v>4</v>
      </c>
      <c r="H18" s="2186">
        <f>VLOOKUP(G18,Pesos!A:B,2,0)</f>
        <v>0.6</v>
      </c>
      <c r="J18" s="48" t="s">
        <v>305</v>
      </c>
      <c r="K18" s="65">
        <v>7</v>
      </c>
      <c r="L18" s="48">
        <v>20</v>
      </c>
      <c r="M18" s="66">
        <v>10</v>
      </c>
      <c r="N18" s="67" t="s">
        <v>22</v>
      </c>
      <c r="O18" s="48">
        <v>10</v>
      </c>
      <c r="R18" s="50"/>
      <c r="S18" s="48">
        <v>1</v>
      </c>
      <c r="T18" s="64">
        <v>3255</v>
      </c>
      <c r="U18" s="68">
        <v>0.43</v>
      </c>
      <c r="V18" s="57">
        <f t="shared" si="3"/>
        <v>1855.3500000000001</v>
      </c>
      <c r="W18" s="57">
        <f t="shared" si="4"/>
        <v>18553.5</v>
      </c>
      <c r="X18" s="52"/>
    </row>
    <row r="19" spans="1:24" x14ac:dyDescent="0.3">
      <c r="A19" s="47" t="s">
        <v>342</v>
      </c>
      <c r="B19" s="47" t="s">
        <v>360</v>
      </c>
      <c r="C19" s="47" t="s">
        <v>375</v>
      </c>
      <c r="D19" s="47" t="s">
        <v>376</v>
      </c>
      <c r="E19" s="10" t="s">
        <v>157</v>
      </c>
      <c r="F19" s="10" t="s">
        <v>268</v>
      </c>
      <c r="G19" s="2197">
        <v>4</v>
      </c>
      <c r="H19" s="2186">
        <f>VLOOKUP(G19,Pesos!A:B,2,0)</f>
        <v>0.6</v>
      </c>
      <c r="I19" s="48" t="s">
        <v>305</v>
      </c>
      <c r="K19" s="10">
        <v>7</v>
      </c>
      <c r="L19" s="48">
        <v>20</v>
      </c>
      <c r="M19" s="10">
        <v>12</v>
      </c>
      <c r="N19" s="10" t="s">
        <v>22</v>
      </c>
      <c r="P19" s="48">
        <v>12</v>
      </c>
      <c r="Q19" s="48">
        <v>12</v>
      </c>
      <c r="S19" s="48">
        <v>2</v>
      </c>
      <c r="T19" s="64">
        <v>2082.02</v>
      </c>
      <c r="U19" s="68">
        <v>0.7</v>
      </c>
      <c r="V19" s="57">
        <f t="shared" si="3"/>
        <v>624.60600000000011</v>
      </c>
      <c r="W19" s="57">
        <f t="shared" si="4"/>
        <v>14990.544000000002</v>
      </c>
    </row>
    <row r="20" spans="1:24" x14ac:dyDescent="0.3">
      <c r="A20" s="47" t="s">
        <v>342</v>
      </c>
      <c r="B20" s="47" t="s">
        <v>360</v>
      </c>
      <c r="C20" s="47" t="s">
        <v>375</v>
      </c>
      <c r="D20" s="47" t="s">
        <v>376</v>
      </c>
      <c r="E20" s="10" t="s">
        <v>288</v>
      </c>
      <c r="F20" s="10" t="s">
        <v>102</v>
      </c>
      <c r="G20" s="2197">
        <v>3</v>
      </c>
      <c r="H20" s="2186">
        <f>VLOOKUP(G20,Pesos!A:B,2,0)</f>
        <v>0.7</v>
      </c>
      <c r="J20" s="48" t="s">
        <v>305</v>
      </c>
      <c r="K20" s="10">
        <v>2</v>
      </c>
      <c r="L20" s="48">
        <v>5</v>
      </c>
      <c r="M20" s="10">
        <v>2</v>
      </c>
      <c r="N20" s="10" t="s">
        <v>22</v>
      </c>
      <c r="Q20" s="48">
        <v>2</v>
      </c>
      <c r="S20" s="48">
        <v>1</v>
      </c>
      <c r="T20" s="64">
        <v>16500</v>
      </c>
      <c r="U20" s="68">
        <v>0.25</v>
      </c>
      <c r="V20" s="57">
        <f t="shared" si="3"/>
        <v>12375</v>
      </c>
      <c r="W20" s="57">
        <f t="shared" si="4"/>
        <v>24750</v>
      </c>
    </row>
    <row r="21" spans="1:24" x14ac:dyDescent="0.3">
      <c r="A21" s="47" t="s">
        <v>342</v>
      </c>
      <c r="B21" s="47" t="s">
        <v>360</v>
      </c>
      <c r="C21" s="47" t="s">
        <v>375</v>
      </c>
      <c r="D21" s="47" t="s">
        <v>376</v>
      </c>
      <c r="E21" s="10" t="s">
        <v>272</v>
      </c>
      <c r="F21" s="10" t="s">
        <v>27</v>
      </c>
      <c r="G21" s="2197">
        <v>1</v>
      </c>
      <c r="H21" s="2186">
        <f>VLOOKUP(G21,Pesos!A:B,2,0)</f>
        <v>0.9</v>
      </c>
      <c r="I21" s="48" t="s">
        <v>305</v>
      </c>
      <c r="K21" s="10">
        <v>7</v>
      </c>
      <c r="L21" s="48">
        <v>22</v>
      </c>
      <c r="M21" s="10">
        <v>21</v>
      </c>
      <c r="N21" s="10" t="s">
        <v>106</v>
      </c>
      <c r="O21" s="48">
        <v>21</v>
      </c>
      <c r="S21" s="48">
        <v>1</v>
      </c>
      <c r="T21" s="64">
        <v>2100</v>
      </c>
      <c r="U21" s="68">
        <v>0.33</v>
      </c>
      <c r="V21" s="57">
        <f t="shared" si="3"/>
        <v>1406.9999999999998</v>
      </c>
      <c r="W21" s="57">
        <f t="shared" si="4"/>
        <v>29546.999999999996</v>
      </c>
    </row>
    <row r="22" spans="1:24" x14ac:dyDescent="0.3">
      <c r="A22" s="47" t="s">
        <v>342</v>
      </c>
      <c r="B22" s="47" t="s">
        <v>360</v>
      </c>
      <c r="C22" s="47" t="s">
        <v>375</v>
      </c>
      <c r="D22" s="47" t="s">
        <v>376</v>
      </c>
      <c r="E22" s="10" t="s">
        <v>270</v>
      </c>
      <c r="F22" s="10" t="s">
        <v>271</v>
      </c>
      <c r="G22" s="2197">
        <v>2</v>
      </c>
      <c r="H22" s="2186">
        <f>VLOOKUP(G22,Pesos!A:B,2,0)</f>
        <v>0.8</v>
      </c>
      <c r="I22" s="48" t="s">
        <v>305</v>
      </c>
      <c r="K22" s="10">
        <v>1</v>
      </c>
      <c r="L22" s="48">
        <v>3</v>
      </c>
      <c r="M22" s="10">
        <v>2</v>
      </c>
      <c r="N22" s="10" t="s">
        <v>24</v>
      </c>
      <c r="O22" s="48">
        <v>2</v>
      </c>
      <c r="S22" s="48">
        <v>1</v>
      </c>
      <c r="T22" s="61">
        <v>35000</v>
      </c>
      <c r="U22" s="69">
        <v>0.5</v>
      </c>
      <c r="V22" s="57">
        <f t="shared" si="3"/>
        <v>17500</v>
      </c>
      <c r="W22" s="57">
        <f t="shared" si="4"/>
        <v>35000</v>
      </c>
    </row>
    <row r="23" spans="1:24" x14ac:dyDescent="0.3">
      <c r="A23" s="47" t="s">
        <v>342</v>
      </c>
      <c r="B23" s="47" t="s">
        <v>360</v>
      </c>
      <c r="C23" s="47" t="s">
        <v>375</v>
      </c>
      <c r="D23" s="47" t="s">
        <v>376</v>
      </c>
      <c r="E23" s="10" t="s">
        <v>270</v>
      </c>
      <c r="F23" s="10" t="s">
        <v>26</v>
      </c>
      <c r="G23" s="2197">
        <v>5</v>
      </c>
      <c r="H23" s="2186">
        <f>VLOOKUP(G23,Pesos!A:B,2,0)</f>
        <v>0.5</v>
      </c>
      <c r="I23" s="48" t="s">
        <v>305</v>
      </c>
      <c r="K23" s="10">
        <v>1</v>
      </c>
      <c r="L23" s="48">
        <v>4</v>
      </c>
      <c r="M23" s="10">
        <v>2</v>
      </c>
      <c r="N23" s="10" t="s">
        <v>106</v>
      </c>
      <c r="O23" s="48">
        <v>2</v>
      </c>
      <c r="S23" s="48">
        <v>1</v>
      </c>
      <c r="T23" s="61">
        <v>16000</v>
      </c>
      <c r="U23" s="69">
        <v>0.35</v>
      </c>
      <c r="V23" s="57">
        <f t="shared" si="3"/>
        <v>10400</v>
      </c>
      <c r="W23" s="57">
        <f t="shared" si="4"/>
        <v>20800</v>
      </c>
    </row>
    <row r="24" spans="1:24" x14ac:dyDescent="0.3">
      <c r="G24" s="2196"/>
      <c r="H24" s="2196"/>
      <c r="M24" s="54"/>
      <c r="T24" s="58"/>
      <c r="U24" s="59"/>
      <c r="V24" s="57"/>
      <c r="W24" s="57"/>
    </row>
    <row r="25" spans="1:24" x14ac:dyDescent="0.3">
      <c r="A25" s="47" t="s">
        <v>343</v>
      </c>
      <c r="B25" s="47" t="s">
        <v>360</v>
      </c>
      <c r="C25" s="47" t="s">
        <v>375</v>
      </c>
      <c r="D25" s="47" t="s">
        <v>376</v>
      </c>
      <c r="E25" s="65" t="s">
        <v>266</v>
      </c>
      <c r="F25" s="65" t="s">
        <v>267</v>
      </c>
      <c r="G25" s="2203">
        <v>6</v>
      </c>
      <c r="H25" s="2186">
        <f>VLOOKUP(G25,Pesos!A:B,2,0)</f>
        <v>0.4</v>
      </c>
      <c r="J25" s="48" t="s">
        <v>305</v>
      </c>
      <c r="K25" s="65">
        <v>7</v>
      </c>
      <c r="L25" s="48">
        <v>20</v>
      </c>
      <c r="M25" s="66">
        <v>20</v>
      </c>
      <c r="N25" s="67" t="s">
        <v>22</v>
      </c>
      <c r="O25" s="48">
        <v>20</v>
      </c>
      <c r="S25" s="48">
        <v>1</v>
      </c>
      <c r="T25" s="64">
        <v>3289</v>
      </c>
      <c r="U25" s="70">
        <v>0.61</v>
      </c>
      <c r="V25" s="57">
        <f t="shared" si="3"/>
        <v>1282.71</v>
      </c>
      <c r="W25" s="57">
        <f t="shared" si="4"/>
        <v>25654.2</v>
      </c>
    </row>
    <row r="26" spans="1:24" x14ac:dyDescent="0.3">
      <c r="A26" s="47" t="s">
        <v>343</v>
      </c>
      <c r="B26" s="47" t="s">
        <v>360</v>
      </c>
      <c r="C26" s="47" t="s">
        <v>375</v>
      </c>
      <c r="D26" s="47" t="s">
        <v>376</v>
      </c>
      <c r="E26" s="65" t="s">
        <v>157</v>
      </c>
      <c r="F26" s="65" t="s">
        <v>268</v>
      </c>
      <c r="G26" s="2203">
        <v>3</v>
      </c>
      <c r="H26" s="2186">
        <f>VLOOKUP(G26,Pesos!A:B,2,0)</f>
        <v>0.7</v>
      </c>
      <c r="J26" s="48" t="s">
        <v>305</v>
      </c>
      <c r="K26" s="65">
        <v>7</v>
      </c>
      <c r="L26" s="48">
        <v>20</v>
      </c>
      <c r="M26" s="66">
        <v>20</v>
      </c>
      <c r="N26" s="67" t="s">
        <v>22</v>
      </c>
      <c r="O26" s="48">
        <v>20</v>
      </c>
      <c r="Q26" s="48">
        <v>20</v>
      </c>
      <c r="S26" s="48">
        <v>2</v>
      </c>
      <c r="T26" s="64">
        <v>3255</v>
      </c>
      <c r="U26" s="70">
        <v>0.43</v>
      </c>
      <c r="V26" s="57">
        <f t="shared" si="3"/>
        <v>1855.3500000000001</v>
      </c>
      <c r="W26" s="57">
        <f t="shared" si="4"/>
        <v>74214</v>
      </c>
    </row>
    <row r="27" spans="1:24" x14ac:dyDescent="0.3">
      <c r="A27" s="47" t="s">
        <v>343</v>
      </c>
      <c r="B27" s="47" t="s">
        <v>360</v>
      </c>
      <c r="C27" s="47" t="s">
        <v>375</v>
      </c>
      <c r="D27" s="47" t="s">
        <v>376</v>
      </c>
      <c r="E27" s="11" t="s">
        <v>288</v>
      </c>
      <c r="F27" s="11" t="s">
        <v>102</v>
      </c>
      <c r="G27" s="2204">
        <v>1</v>
      </c>
      <c r="H27" s="2186">
        <f>VLOOKUP(G27,Pesos!A:B,2,0)</f>
        <v>0.9</v>
      </c>
      <c r="J27" s="48" t="s">
        <v>305</v>
      </c>
      <c r="K27" s="11">
        <v>2</v>
      </c>
      <c r="L27" s="48">
        <v>5</v>
      </c>
      <c r="M27" s="11">
        <v>3</v>
      </c>
      <c r="N27" s="11" t="s">
        <v>22</v>
      </c>
      <c r="P27" s="48">
        <v>3</v>
      </c>
      <c r="S27" s="48">
        <v>1</v>
      </c>
      <c r="T27" s="64">
        <v>16500</v>
      </c>
      <c r="U27" s="70">
        <v>0.25</v>
      </c>
      <c r="V27" s="57">
        <f t="shared" si="3"/>
        <v>12375</v>
      </c>
      <c r="W27" s="57">
        <f t="shared" si="4"/>
        <v>37125</v>
      </c>
    </row>
    <row r="28" spans="1:24" x14ac:dyDescent="0.3">
      <c r="A28" s="47" t="s">
        <v>343</v>
      </c>
      <c r="B28" s="47" t="s">
        <v>360</v>
      </c>
      <c r="C28" s="47" t="s">
        <v>375</v>
      </c>
      <c r="D28" s="47" t="s">
        <v>376</v>
      </c>
      <c r="E28" s="11" t="s">
        <v>273</v>
      </c>
      <c r="F28" s="11" t="s">
        <v>27</v>
      </c>
      <c r="G28" s="2204">
        <v>2</v>
      </c>
      <c r="H28" s="2186">
        <f>VLOOKUP(G28,Pesos!A:B,2,0)</f>
        <v>0.8</v>
      </c>
      <c r="I28" s="48" t="s">
        <v>305</v>
      </c>
      <c r="K28" s="11">
        <v>7</v>
      </c>
      <c r="L28" s="48">
        <v>22</v>
      </c>
      <c r="M28" s="11">
        <v>12</v>
      </c>
      <c r="N28" s="11" t="s">
        <v>106</v>
      </c>
      <c r="O28" s="48">
        <v>12</v>
      </c>
      <c r="S28" s="48">
        <v>1</v>
      </c>
      <c r="T28" s="64">
        <v>2100</v>
      </c>
      <c r="U28" s="70">
        <v>0.33</v>
      </c>
      <c r="V28" s="57">
        <f t="shared" si="3"/>
        <v>1406.9999999999998</v>
      </c>
      <c r="W28" s="57">
        <f t="shared" si="4"/>
        <v>16883.999999999996</v>
      </c>
    </row>
    <row r="29" spans="1:24" x14ac:dyDescent="0.3">
      <c r="A29" s="47" t="s">
        <v>343</v>
      </c>
      <c r="B29" s="47" t="s">
        <v>360</v>
      </c>
      <c r="C29" s="47" t="s">
        <v>375</v>
      </c>
      <c r="D29" s="47" t="s">
        <v>376</v>
      </c>
      <c r="E29" s="10" t="s">
        <v>247</v>
      </c>
      <c r="F29" s="10" t="s">
        <v>180</v>
      </c>
      <c r="G29" s="2197">
        <v>4</v>
      </c>
      <c r="H29" s="2186">
        <f>VLOOKUP(G29,Pesos!A:B,2,0)</f>
        <v>0.6</v>
      </c>
      <c r="I29" s="48" t="s">
        <v>305</v>
      </c>
      <c r="K29" s="10">
        <v>10</v>
      </c>
      <c r="L29" s="48">
        <v>22</v>
      </c>
      <c r="M29" s="10">
        <v>20</v>
      </c>
      <c r="N29" s="10" t="s">
        <v>24</v>
      </c>
      <c r="O29" s="48">
        <v>20</v>
      </c>
      <c r="S29" s="48">
        <v>1</v>
      </c>
      <c r="T29" s="61">
        <v>2500</v>
      </c>
      <c r="U29" s="71">
        <v>0.6</v>
      </c>
      <c r="V29" s="57">
        <f t="shared" si="3"/>
        <v>1000</v>
      </c>
      <c r="W29" s="57">
        <f t="shared" si="4"/>
        <v>20000</v>
      </c>
    </row>
    <row r="30" spans="1:24" x14ac:dyDescent="0.3">
      <c r="A30" s="47" t="s">
        <v>343</v>
      </c>
      <c r="B30" s="47" t="s">
        <v>360</v>
      </c>
      <c r="C30" s="47" t="s">
        <v>375</v>
      </c>
      <c r="D30" s="47" t="s">
        <v>376</v>
      </c>
      <c r="E30" s="10" t="s">
        <v>130</v>
      </c>
      <c r="F30" s="10" t="s">
        <v>223</v>
      </c>
      <c r="G30" s="2197">
        <v>5</v>
      </c>
      <c r="H30" s="2186">
        <f>VLOOKUP(G30,Pesos!A:B,2,0)</f>
        <v>0.5</v>
      </c>
      <c r="I30" s="48" t="s">
        <v>305</v>
      </c>
      <c r="K30" s="10">
        <v>7</v>
      </c>
      <c r="L30" s="48">
        <v>20</v>
      </c>
      <c r="M30" s="10">
        <v>10</v>
      </c>
      <c r="N30" s="10" t="s">
        <v>24</v>
      </c>
      <c r="O30" s="48">
        <v>10</v>
      </c>
      <c r="S30" s="48">
        <v>1</v>
      </c>
      <c r="T30" s="61">
        <v>3000</v>
      </c>
      <c r="U30" s="71">
        <v>0.8</v>
      </c>
      <c r="V30" s="57">
        <f t="shared" si="3"/>
        <v>599.99999999999989</v>
      </c>
      <c r="W30" s="57">
        <f t="shared" si="4"/>
        <v>5999.9999999999991</v>
      </c>
    </row>
    <row r="31" spans="1:24" x14ac:dyDescent="0.3">
      <c r="E31" s="20"/>
      <c r="F31" s="20"/>
      <c r="G31" s="2205"/>
      <c r="H31" s="2205"/>
      <c r="M31" s="20"/>
      <c r="N31" s="20"/>
      <c r="T31" s="61"/>
      <c r="U31" s="62"/>
      <c r="V31" s="57"/>
      <c r="W31" s="57"/>
    </row>
    <row r="32" spans="1:24" x14ac:dyDescent="0.3">
      <c r="A32" s="47" t="s">
        <v>326</v>
      </c>
      <c r="B32" s="47" t="s">
        <v>360</v>
      </c>
      <c r="C32" s="47" t="s">
        <v>375</v>
      </c>
      <c r="D32" s="47" t="s">
        <v>376</v>
      </c>
      <c r="E32" s="65" t="s">
        <v>266</v>
      </c>
      <c r="F32" s="65" t="s">
        <v>267</v>
      </c>
      <c r="G32" s="2203">
        <v>6</v>
      </c>
      <c r="H32" s="2186">
        <f>VLOOKUP(G32,Pesos!A:B,2,0)</f>
        <v>0.4</v>
      </c>
      <c r="J32" s="48" t="s">
        <v>305</v>
      </c>
      <c r="K32" s="63">
        <v>5</v>
      </c>
      <c r="L32" s="48">
        <v>15</v>
      </c>
      <c r="M32" s="2" t="s">
        <v>169</v>
      </c>
      <c r="N32" s="67" t="s">
        <v>22</v>
      </c>
      <c r="O32" s="48">
        <v>7</v>
      </c>
      <c r="Q32" s="48">
        <v>7</v>
      </c>
      <c r="S32" s="48">
        <v>2</v>
      </c>
      <c r="T32" s="35">
        <v>3289</v>
      </c>
      <c r="U32" s="41">
        <v>0.61</v>
      </c>
      <c r="V32" s="57">
        <f t="shared" si="3"/>
        <v>1282.71</v>
      </c>
      <c r="W32" s="57">
        <f t="shared" si="4"/>
        <v>118412090.94</v>
      </c>
    </row>
    <row r="33" spans="1:30" x14ac:dyDescent="0.3">
      <c r="A33" s="47" t="s">
        <v>326</v>
      </c>
      <c r="B33" s="47" t="s">
        <v>360</v>
      </c>
      <c r="C33" s="47" t="s">
        <v>375</v>
      </c>
      <c r="D33" s="47" t="s">
        <v>376</v>
      </c>
      <c r="E33" s="65" t="s">
        <v>157</v>
      </c>
      <c r="F33" s="65" t="s">
        <v>268</v>
      </c>
      <c r="G33" s="2203">
        <v>2</v>
      </c>
      <c r="H33" s="2186">
        <f>VLOOKUP(G33,Pesos!A:B,2,0)</f>
        <v>0.8</v>
      </c>
      <c r="J33" s="48" t="s">
        <v>305</v>
      </c>
      <c r="K33" s="20">
        <v>5</v>
      </c>
      <c r="L33" s="48">
        <v>15</v>
      </c>
      <c r="M33" s="2" t="s">
        <v>169</v>
      </c>
      <c r="N33" s="67" t="s">
        <v>22</v>
      </c>
      <c r="O33" s="48">
        <v>8</v>
      </c>
      <c r="Q33" s="48">
        <v>8</v>
      </c>
      <c r="S33" s="48">
        <v>2</v>
      </c>
      <c r="T33" s="35">
        <v>3255</v>
      </c>
      <c r="U33" s="41">
        <v>0.43</v>
      </c>
      <c r="V33" s="57">
        <f t="shared" si="3"/>
        <v>1855.3500000000001</v>
      </c>
      <c r="W33" s="57">
        <f t="shared" si="4"/>
        <v>171274779.90000001</v>
      </c>
    </row>
    <row r="34" spans="1:30" x14ac:dyDescent="0.3">
      <c r="A34" s="47" t="s">
        <v>326</v>
      </c>
      <c r="B34" s="47" t="s">
        <v>360</v>
      </c>
      <c r="C34" s="47" t="s">
        <v>375</v>
      </c>
      <c r="D34" s="47" t="s">
        <v>376</v>
      </c>
      <c r="E34" s="10" t="s">
        <v>157</v>
      </c>
      <c r="F34" s="10" t="s">
        <v>268</v>
      </c>
      <c r="G34" s="2197">
        <v>2</v>
      </c>
      <c r="H34" s="2186">
        <f>VLOOKUP(G34,Pesos!A:B,2,0)</f>
        <v>0.8</v>
      </c>
      <c r="I34" s="48" t="s">
        <v>305</v>
      </c>
      <c r="K34" s="20">
        <v>5</v>
      </c>
      <c r="L34" s="48">
        <v>15</v>
      </c>
      <c r="M34" s="2" t="s">
        <v>169</v>
      </c>
      <c r="N34" s="10" t="s">
        <v>22</v>
      </c>
      <c r="O34" s="48">
        <v>15</v>
      </c>
      <c r="P34" s="48">
        <v>15</v>
      </c>
      <c r="S34" s="48">
        <v>2</v>
      </c>
      <c r="T34" s="35">
        <v>2082.02</v>
      </c>
      <c r="U34" s="41">
        <v>0.7</v>
      </c>
      <c r="V34" s="57">
        <f t="shared" si="3"/>
        <v>624.60600000000011</v>
      </c>
      <c r="W34" s="57">
        <f t="shared" si="4"/>
        <v>57659878.284000009</v>
      </c>
    </row>
    <row r="35" spans="1:30" x14ac:dyDescent="0.3">
      <c r="A35" s="47" t="s">
        <v>326</v>
      </c>
      <c r="B35" s="47" t="s">
        <v>360</v>
      </c>
      <c r="C35" s="47" t="s">
        <v>375</v>
      </c>
      <c r="D35" s="47" t="s">
        <v>376</v>
      </c>
      <c r="E35" s="10" t="s">
        <v>288</v>
      </c>
      <c r="F35" s="10" t="s">
        <v>102</v>
      </c>
      <c r="G35" s="2197">
        <v>1</v>
      </c>
      <c r="H35" s="2186">
        <f>VLOOKUP(G35,Pesos!A:B,2,0)</f>
        <v>0.9</v>
      </c>
      <c r="J35" s="48" t="s">
        <v>305</v>
      </c>
      <c r="K35" s="20">
        <v>1</v>
      </c>
      <c r="L35" s="48">
        <v>3</v>
      </c>
      <c r="M35" s="2" t="s">
        <v>43</v>
      </c>
      <c r="N35" s="10" t="s">
        <v>22</v>
      </c>
      <c r="Q35" s="48">
        <v>1</v>
      </c>
      <c r="S35" s="48">
        <v>1</v>
      </c>
      <c r="T35" s="35">
        <v>16500</v>
      </c>
      <c r="U35" s="41">
        <v>0.25</v>
      </c>
      <c r="V35" s="57">
        <f t="shared" si="3"/>
        <v>12375</v>
      </c>
      <c r="W35" s="57">
        <f t="shared" si="4"/>
        <v>569559375</v>
      </c>
    </row>
    <row r="36" spans="1:30" x14ac:dyDescent="0.3">
      <c r="A36" s="47" t="s">
        <v>326</v>
      </c>
      <c r="B36" s="47" t="s">
        <v>360</v>
      </c>
      <c r="C36" s="47" t="s">
        <v>375</v>
      </c>
      <c r="D36" s="47" t="s">
        <v>376</v>
      </c>
      <c r="E36" s="10" t="s">
        <v>273</v>
      </c>
      <c r="F36" s="10" t="s">
        <v>89</v>
      </c>
      <c r="G36" s="2197">
        <v>4</v>
      </c>
      <c r="H36" s="2186">
        <f>VLOOKUP(G36,Pesos!A:B,2,0)</f>
        <v>0.6</v>
      </c>
      <c r="I36" s="48" t="s">
        <v>305</v>
      </c>
      <c r="K36" s="20">
        <v>5</v>
      </c>
      <c r="L36" s="48">
        <v>15</v>
      </c>
      <c r="M36" s="2" t="s">
        <v>169</v>
      </c>
      <c r="N36" s="10" t="s">
        <v>106</v>
      </c>
      <c r="O36" s="48">
        <v>10</v>
      </c>
      <c r="S36" s="48">
        <v>1</v>
      </c>
      <c r="T36" s="35">
        <v>1800</v>
      </c>
      <c r="U36" s="41">
        <v>0.33</v>
      </c>
      <c r="V36" s="57">
        <f t="shared" si="3"/>
        <v>1205.9999999999998</v>
      </c>
      <c r="W36" s="57">
        <f t="shared" si="4"/>
        <v>55665341.999999993</v>
      </c>
    </row>
    <row r="37" spans="1:30" x14ac:dyDescent="0.3">
      <c r="A37" s="47" t="s">
        <v>326</v>
      </c>
      <c r="B37" s="47" t="s">
        <v>360</v>
      </c>
      <c r="C37" s="47" t="s">
        <v>375</v>
      </c>
      <c r="D37" s="47" t="s">
        <v>376</v>
      </c>
      <c r="E37" s="10" t="s">
        <v>247</v>
      </c>
      <c r="F37" s="10" t="s">
        <v>180</v>
      </c>
      <c r="G37" s="2197">
        <v>3</v>
      </c>
      <c r="H37" s="2186">
        <f>VLOOKUP(G37,Pesos!A:B,2,0)</f>
        <v>0.7</v>
      </c>
      <c r="I37" s="48" t="s">
        <v>305</v>
      </c>
      <c r="K37" s="20">
        <v>7</v>
      </c>
      <c r="L37" s="48">
        <v>17</v>
      </c>
      <c r="M37" s="2" t="s">
        <v>377</v>
      </c>
      <c r="N37" s="10" t="s">
        <v>24</v>
      </c>
      <c r="O37" s="48">
        <v>17</v>
      </c>
      <c r="S37" s="48">
        <v>1</v>
      </c>
      <c r="T37" s="21">
        <v>2500</v>
      </c>
      <c r="U37" s="42">
        <v>0.6</v>
      </c>
      <c r="V37" s="57">
        <f t="shared" si="3"/>
        <v>1000</v>
      </c>
      <c r="W37" s="57">
        <f t="shared" si="4"/>
        <v>46220000</v>
      </c>
    </row>
    <row r="38" spans="1:30" x14ac:dyDescent="0.3">
      <c r="A38" s="47" t="s">
        <v>326</v>
      </c>
      <c r="B38" s="47" t="s">
        <v>360</v>
      </c>
      <c r="C38" s="47" t="s">
        <v>375</v>
      </c>
      <c r="D38" s="47" t="s">
        <v>376</v>
      </c>
      <c r="E38" s="10" t="s">
        <v>288</v>
      </c>
      <c r="F38" s="10" t="s">
        <v>26</v>
      </c>
      <c r="G38" s="2197">
        <v>5</v>
      </c>
      <c r="H38" s="2186">
        <f>VLOOKUP(G38,Pesos!A:B,2,0)</f>
        <v>0.5</v>
      </c>
      <c r="I38" s="48" t="s">
        <v>305</v>
      </c>
      <c r="K38" s="20">
        <v>1</v>
      </c>
      <c r="L38" s="48">
        <v>3</v>
      </c>
      <c r="M38" s="2" t="s">
        <v>43</v>
      </c>
      <c r="N38" s="10" t="s">
        <v>106</v>
      </c>
      <c r="O38" s="48">
        <v>3</v>
      </c>
      <c r="Q38" s="48">
        <v>3</v>
      </c>
      <c r="S38" s="48">
        <v>2</v>
      </c>
      <c r="T38" s="21">
        <v>16000</v>
      </c>
      <c r="U38" s="42">
        <v>0.35</v>
      </c>
      <c r="V38" s="57">
        <f t="shared" si="3"/>
        <v>10400</v>
      </c>
      <c r="W38" s="57">
        <f t="shared" si="4"/>
        <v>957320000</v>
      </c>
    </row>
    <row r="39" spans="1:30" x14ac:dyDescent="0.3">
      <c r="E39" s="20"/>
      <c r="F39" s="20"/>
      <c r="G39" s="20"/>
      <c r="H39" s="20"/>
      <c r="K39" s="20"/>
      <c r="M39" s="20"/>
      <c r="N39" s="20"/>
      <c r="T39" s="61"/>
      <c r="U39" s="62"/>
      <c r="V39" s="57"/>
      <c r="W39" s="57"/>
    </row>
    <row r="40" spans="1:30" x14ac:dyDescent="0.3">
      <c r="E40" s="20"/>
      <c r="F40" s="20"/>
      <c r="G40" s="20"/>
      <c r="H40" s="20"/>
      <c r="K40" s="20"/>
      <c r="M40" s="20"/>
      <c r="N40" s="20"/>
      <c r="T40" s="61"/>
      <c r="U40" s="62"/>
      <c r="V40" s="57"/>
      <c r="W40" s="57"/>
    </row>
    <row r="43" spans="1:30" x14ac:dyDescent="0.3">
      <c r="A43" s="47"/>
      <c r="D43" s="43" t="s">
        <v>1158</v>
      </c>
      <c r="E43" s="43" t="s">
        <v>1159</v>
      </c>
      <c r="F43" s="43" t="s">
        <v>1160</v>
      </c>
      <c r="G43" s="4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6"/>
      <c r="U43" s="24"/>
      <c r="V43" s="26"/>
      <c r="W43" s="26"/>
      <c r="X43" s="16"/>
      <c r="Y43" s="16"/>
      <c r="AB43" s="1"/>
      <c r="AD43" s="1"/>
    </row>
    <row r="44" spans="1:30" x14ac:dyDescent="0.3">
      <c r="A44" s="47" t="s">
        <v>1161</v>
      </c>
      <c r="B44" s="2174"/>
      <c r="C44" s="2174"/>
      <c r="D44" s="2181">
        <f>E44*(1-10%)</f>
        <v>3630.7047162162162</v>
      </c>
      <c r="E44" s="427">
        <f>FORTALEZA!S48</f>
        <v>4034.1163513513511</v>
      </c>
      <c r="F44" s="427">
        <f>E44*(1+15%)</f>
        <v>4639.2338040540535</v>
      </c>
      <c r="G44" s="42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8"/>
      <c r="U44" s="29"/>
      <c r="V44" s="26"/>
      <c r="W44" s="26"/>
      <c r="X44" s="16"/>
      <c r="Y44" s="16"/>
      <c r="AB44" s="1"/>
      <c r="AD44" s="1"/>
    </row>
    <row r="45" spans="1:30" x14ac:dyDescent="0.3">
      <c r="A45" s="47" t="s">
        <v>1162</v>
      </c>
      <c r="B45" s="2174"/>
      <c r="C45" s="2174"/>
      <c r="D45" s="2181">
        <f>E45*(1-25%)</f>
        <v>1072.3327297297296</v>
      </c>
      <c r="E45" s="427">
        <f>FORTALEZA!S72</f>
        <v>1429.776972972973</v>
      </c>
      <c r="F45" s="427">
        <f>E45*(1+5%)</f>
        <v>1501.2658216216216</v>
      </c>
      <c r="G45" s="42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8"/>
      <c r="U45" s="29"/>
      <c r="V45" s="26"/>
      <c r="W45" s="26"/>
      <c r="X45" s="16"/>
      <c r="Y45" s="16"/>
      <c r="AB45" s="1"/>
      <c r="AD45" s="1"/>
    </row>
    <row r="46" spans="1:30" x14ac:dyDescent="0.3">
      <c r="A46" s="47" t="s">
        <v>550</v>
      </c>
      <c r="B46" s="2174"/>
      <c r="C46" s="2174"/>
      <c r="D46" s="2181">
        <f>E46*(1-15%)</f>
        <v>1906.6372791208792</v>
      </c>
      <c r="E46" s="427">
        <f>FORTALEZA!S102</f>
        <v>2243.1026813186813</v>
      </c>
      <c r="F46" s="427">
        <f>E46*(1+15%)</f>
        <v>2579.5680835164835</v>
      </c>
      <c r="G46" s="42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8"/>
      <c r="U46" s="29"/>
      <c r="V46" s="26"/>
      <c r="W46" s="26"/>
      <c r="X46" s="16"/>
      <c r="Y46" s="16"/>
      <c r="AB46" s="1"/>
      <c r="AD46" s="1"/>
    </row>
    <row r="47" spans="1:30" x14ac:dyDescent="0.3">
      <c r="A47" s="47" t="s">
        <v>679</v>
      </c>
      <c r="B47" s="2174"/>
      <c r="C47" s="2174"/>
      <c r="D47" s="2181">
        <f>E47*(1-25%)</f>
        <v>1456.2657142857142</v>
      </c>
      <c r="E47" s="427">
        <f>FORTALEZA!S126</f>
        <v>1941.6876190476191</v>
      </c>
      <c r="F47" s="427">
        <f>E47*(1+5%)</f>
        <v>2038.7720000000002</v>
      </c>
      <c r="G47" s="427"/>
      <c r="H47" s="1"/>
      <c r="I47" s="1"/>
      <c r="J47" s="1"/>
      <c r="K47" s="1"/>
      <c r="L47" s="1"/>
      <c r="N47" s="1"/>
      <c r="O47" s="1"/>
      <c r="P47" s="1"/>
      <c r="Q47" s="1"/>
      <c r="R47" s="1"/>
      <c r="S47" s="1"/>
      <c r="T47" s="25"/>
      <c r="U47" s="1"/>
      <c r="V47" s="25"/>
      <c r="W47" s="25"/>
      <c r="X47" s="16"/>
      <c r="Y47" s="16"/>
      <c r="AB47" s="1"/>
      <c r="AD47" s="1"/>
    </row>
    <row r="48" spans="1:30" x14ac:dyDescent="0.3">
      <c r="A48" s="47" t="s">
        <v>568</v>
      </c>
      <c r="B48" s="2174"/>
      <c r="C48" s="2174"/>
      <c r="D48" s="2181">
        <f>E48*(1-25%)</f>
        <v>1238.7858791208791</v>
      </c>
      <c r="E48" s="427">
        <f>FORTALEZA!S156</f>
        <v>1651.7145054945056</v>
      </c>
      <c r="F48" s="427">
        <f>E48*(1+5%)</f>
        <v>1734.3002307692309</v>
      </c>
      <c r="G48" s="427"/>
      <c r="H48" s="1"/>
      <c r="I48" s="1"/>
      <c r="J48" s="1"/>
      <c r="K48" s="1"/>
      <c r="L48" s="1"/>
      <c r="N48" s="1"/>
      <c r="O48" s="1"/>
      <c r="P48" s="1"/>
      <c r="Q48" s="1"/>
      <c r="R48" s="1"/>
      <c r="S48" s="1"/>
      <c r="T48" s="25"/>
      <c r="U48" s="1"/>
      <c r="V48" s="25"/>
      <c r="W48" s="25"/>
      <c r="X48" s="16"/>
      <c r="Y48" s="16"/>
      <c r="AB48" s="1"/>
      <c r="AD48" s="1"/>
    </row>
    <row r="49" spans="1:30" x14ac:dyDescent="0.3">
      <c r="A49" s="47"/>
      <c r="B49" s="47"/>
      <c r="C49" s="47"/>
      <c r="D49" s="48"/>
      <c r="E49" s="1"/>
      <c r="F49" s="1"/>
      <c r="G49" s="1"/>
      <c r="H49" s="1"/>
      <c r="I49" s="1"/>
      <c r="J49" s="1"/>
      <c r="K49" s="1"/>
      <c r="L49" s="1"/>
      <c r="N49" s="1"/>
      <c r="O49" s="1"/>
      <c r="P49" s="1"/>
      <c r="Q49" s="1"/>
      <c r="R49" s="1"/>
      <c r="S49" s="1"/>
      <c r="T49" s="25"/>
      <c r="U49" s="1"/>
      <c r="V49" s="25"/>
      <c r="W49" s="25"/>
      <c r="X49" s="16"/>
      <c r="Y49" s="16"/>
      <c r="AB49" s="1"/>
      <c r="AD49" s="1"/>
    </row>
    <row r="50" spans="1:30" x14ac:dyDescent="0.3">
      <c r="A50" s="47"/>
      <c r="B50" s="46"/>
      <c r="C50" s="46"/>
      <c r="D50" s="2314" t="s">
        <v>1163</v>
      </c>
      <c r="E50" s="2315"/>
      <c r="F50" s="2315"/>
      <c r="G50" s="2316"/>
      <c r="H50" s="1"/>
      <c r="I50" s="1"/>
      <c r="J50" s="1"/>
      <c r="K50" s="1"/>
      <c r="L50" s="1"/>
      <c r="N50" s="1"/>
      <c r="O50" s="1"/>
      <c r="P50" s="1"/>
      <c r="Q50" s="1"/>
      <c r="R50" s="1"/>
      <c r="S50" s="1"/>
      <c r="T50" s="25"/>
      <c r="U50" s="1"/>
      <c r="V50" s="25"/>
      <c r="W50" s="25"/>
      <c r="X50" s="16"/>
      <c r="Y50" s="16"/>
      <c r="AB50" s="1"/>
      <c r="AD50" s="1"/>
    </row>
    <row r="51" spans="1:30" x14ac:dyDescent="0.3">
      <c r="A51" s="47" t="s">
        <v>1161</v>
      </c>
      <c r="B51" s="2175"/>
      <c r="C51" s="2175"/>
      <c r="D51" s="3">
        <v>0.59459459459459463</v>
      </c>
      <c r="E51" s="3">
        <v>0.22972972972972974</v>
      </c>
      <c r="F51" s="3">
        <v>0.13513513513513514</v>
      </c>
      <c r="G51" s="3">
        <v>4.0540540540540543E-2</v>
      </c>
      <c r="H51" s="1"/>
      <c r="I51" s="1"/>
      <c r="J51" s="1"/>
      <c r="K51" s="1"/>
      <c r="L51" s="1"/>
      <c r="N51" s="1"/>
      <c r="O51" s="1"/>
      <c r="P51" s="1"/>
      <c r="Q51" s="1"/>
      <c r="R51" s="1"/>
      <c r="S51" s="1"/>
      <c r="T51" s="25"/>
      <c r="U51" s="1"/>
      <c r="V51" s="25"/>
      <c r="W51" s="25"/>
      <c r="X51" s="16"/>
      <c r="Y51" s="16"/>
      <c r="AB51" s="1"/>
      <c r="AD51" s="1"/>
    </row>
    <row r="52" spans="1:30" x14ac:dyDescent="0.3">
      <c r="A52" s="47" t="s">
        <v>1162</v>
      </c>
      <c r="B52" s="2175"/>
      <c r="C52" s="2175"/>
      <c r="D52" s="2175">
        <v>0.40540540540540543</v>
      </c>
      <c r="E52" s="304">
        <v>0.10810810810810811</v>
      </c>
      <c r="F52" s="304">
        <v>0.24324324324324326</v>
      </c>
      <c r="G52" s="304">
        <v>0.24324324324324326</v>
      </c>
      <c r="H52" s="1"/>
      <c r="I52" s="1"/>
      <c r="J52" s="1"/>
      <c r="K52" s="1"/>
      <c r="L52" s="1"/>
      <c r="N52" s="1"/>
      <c r="O52" s="1"/>
      <c r="P52" s="1"/>
      <c r="Q52" s="1"/>
      <c r="R52" s="1"/>
      <c r="S52" s="1"/>
      <c r="T52" s="25"/>
      <c r="U52" s="1"/>
      <c r="V52" s="25"/>
      <c r="W52" s="25"/>
      <c r="X52" s="16"/>
      <c r="Y52" s="16"/>
      <c r="AB52" s="1"/>
      <c r="AD52" s="1"/>
    </row>
    <row r="53" spans="1:30" x14ac:dyDescent="0.3">
      <c r="A53" s="47" t="s">
        <v>550</v>
      </c>
      <c r="B53" s="2175"/>
      <c r="C53" s="2175"/>
      <c r="D53" s="2175">
        <v>0.51648351648351654</v>
      </c>
      <c r="E53" s="304"/>
      <c r="F53" s="304">
        <v>0.18681318681318682</v>
      </c>
      <c r="G53" s="304"/>
      <c r="H53" s="1"/>
      <c r="I53" s="1"/>
      <c r="J53" s="1"/>
      <c r="K53" s="1"/>
      <c r="L53" s="1"/>
      <c r="N53" s="1"/>
      <c r="O53" s="1"/>
      <c r="P53" s="1"/>
      <c r="Q53" s="1"/>
      <c r="R53" s="1"/>
      <c r="S53" s="1"/>
      <c r="T53" s="25"/>
      <c r="U53" s="1"/>
      <c r="V53" s="25"/>
      <c r="W53" s="25"/>
      <c r="X53" s="16"/>
      <c r="Y53" s="16"/>
      <c r="AB53" s="1"/>
      <c r="AD53" s="1"/>
    </row>
    <row r="54" spans="1:30" x14ac:dyDescent="0.3">
      <c r="A54" s="47" t="s">
        <v>679</v>
      </c>
      <c r="B54" s="2175"/>
      <c r="C54" s="2175"/>
      <c r="D54" s="2175">
        <v>0.78095238095238095</v>
      </c>
      <c r="E54" s="304"/>
      <c r="F54" s="304">
        <v>0.21904761904761905</v>
      </c>
      <c r="G54" s="304"/>
      <c r="H54" s="1"/>
      <c r="I54" s="1"/>
      <c r="J54" s="1"/>
      <c r="K54" s="1"/>
      <c r="L54" s="1"/>
      <c r="N54" s="1"/>
      <c r="O54" s="1"/>
      <c r="P54" s="1"/>
      <c r="Q54" s="1"/>
      <c r="R54" s="1"/>
      <c r="S54" s="1"/>
      <c r="T54" s="25"/>
      <c r="U54" s="1"/>
      <c r="V54" s="25"/>
      <c r="W54" s="25"/>
      <c r="X54" s="16"/>
      <c r="Y54" s="16"/>
      <c r="AB54" s="1"/>
      <c r="AD54" s="1"/>
    </row>
    <row r="55" spans="1:30" x14ac:dyDescent="0.3">
      <c r="A55" s="47" t="s">
        <v>568</v>
      </c>
      <c r="B55" s="47"/>
      <c r="C55" s="47"/>
      <c r="D55" s="2175">
        <v>0.65934065934065933</v>
      </c>
      <c r="E55" s="3">
        <v>0.16483516483516483</v>
      </c>
      <c r="F55" s="304">
        <v>0.17582417582417584</v>
      </c>
      <c r="G55" s="1"/>
      <c r="H55" s="1"/>
      <c r="I55" s="1"/>
      <c r="J55" s="1"/>
      <c r="K55" s="1"/>
      <c r="L55" s="1"/>
      <c r="N55" s="1"/>
      <c r="O55" s="1"/>
      <c r="P55" s="1"/>
      <c r="Q55" s="1"/>
      <c r="R55" s="1"/>
      <c r="S55" s="1"/>
      <c r="T55" s="25"/>
      <c r="U55" s="1"/>
      <c r="V55" s="25"/>
      <c r="W55" s="25"/>
      <c r="X55" s="16"/>
      <c r="Y55" s="16"/>
      <c r="AB55" s="1"/>
      <c r="AD55" s="1"/>
    </row>
    <row r="56" spans="1:30" x14ac:dyDescent="0.3">
      <c r="A56" s="47"/>
      <c r="B56" s="47"/>
      <c r="C56" s="47"/>
      <c r="D56" s="48"/>
      <c r="E56" s="1"/>
      <c r="F56" s="1"/>
      <c r="G56" s="1"/>
      <c r="H56" s="1"/>
      <c r="I56" s="1"/>
      <c r="J56" s="1"/>
      <c r="K56" s="1"/>
      <c r="L56" s="1"/>
      <c r="N56" s="1"/>
      <c r="O56" s="1"/>
      <c r="P56" s="1"/>
      <c r="Q56" s="1"/>
      <c r="R56" s="1"/>
      <c r="S56" s="1"/>
      <c r="T56" s="25"/>
      <c r="U56" s="1"/>
      <c r="V56" s="25"/>
      <c r="W56" s="25"/>
      <c r="X56" s="16"/>
      <c r="Y56" s="16"/>
      <c r="AB56" s="1"/>
      <c r="AD56" s="1"/>
    </row>
    <row r="57" spans="1:30" x14ac:dyDescent="0.3">
      <c r="A57" s="47"/>
      <c r="B57" s="47"/>
      <c r="C57" s="47"/>
      <c r="D57" s="48"/>
      <c r="E57" s="1"/>
      <c r="F57" s="1"/>
      <c r="G57" s="1"/>
      <c r="H57" s="1"/>
      <c r="I57" s="1"/>
      <c r="J57" s="1"/>
      <c r="K57" s="1"/>
      <c r="L57" s="1"/>
      <c r="N57" s="1"/>
      <c r="O57" s="1"/>
      <c r="P57" s="1"/>
      <c r="Q57" s="1"/>
      <c r="R57" s="1"/>
      <c r="S57" s="1"/>
      <c r="T57" s="25"/>
      <c r="U57" s="1"/>
      <c r="V57" s="25"/>
      <c r="W57" s="25"/>
      <c r="X57" s="16"/>
      <c r="Y57" s="16"/>
      <c r="AB57" s="1"/>
      <c r="AD57" s="1"/>
    </row>
    <row r="58" spans="1:30" x14ac:dyDescent="0.3">
      <c r="A58" s="47"/>
      <c r="B58" s="47"/>
      <c r="C58" s="47"/>
      <c r="D58" s="48"/>
      <c r="E58" s="1"/>
      <c r="F58" s="1"/>
      <c r="G58" s="1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25"/>
      <c r="U58" s="1"/>
      <c r="V58" s="25"/>
      <c r="W58" s="25"/>
      <c r="X58" s="16"/>
      <c r="Y58" s="16"/>
      <c r="AB58" s="1"/>
      <c r="AD58" s="1"/>
    </row>
    <row r="59" spans="1:30" x14ac:dyDescent="0.3">
      <c r="A59" s="47"/>
      <c r="B59" s="46"/>
      <c r="C59" s="46"/>
      <c r="D59" s="2314" t="s">
        <v>1164</v>
      </c>
      <c r="E59" s="2315"/>
      <c r="F59" s="2315"/>
      <c r="G59" s="2316"/>
      <c r="H59" s="1"/>
      <c r="I59" s="1"/>
      <c r="J59" s="1"/>
      <c r="K59" s="1"/>
      <c r="L59" s="1"/>
      <c r="N59" s="1"/>
      <c r="O59" s="1"/>
      <c r="P59" s="1"/>
      <c r="Q59" s="1"/>
      <c r="R59" s="1"/>
      <c r="S59" s="1"/>
      <c r="T59" s="25"/>
      <c r="U59" s="1"/>
      <c r="V59" s="25"/>
      <c r="W59" s="25"/>
      <c r="X59" s="16"/>
      <c r="Y59" s="16"/>
      <c r="AB59" s="1"/>
      <c r="AD59" s="1"/>
    </row>
    <row r="60" spans="1:30" x14ac:dyDescent="0.3">
      <c r="A60" s="47" t="s">
        <v>1161</v>
      </c>
      <c r="B60" s="2175"/>
      <c r="C60" s="2175"/>
      <c r="D60" s="2175">
        <v>0.41121495327102803</v>
      </c>
      <c r="E60" s="2175">
        <v>0.35514018691588783</v>
      </c>
      <c r="F60" s="2175">
        <v>0.14953271028037382</v>
      </c>
      <c r="G60" s="2175">
        <v>8.4112149532710276E-2</v>
      </c>
      <c r="H60" s="1"/>
      <c r="I60" s="1"/>
      <c r="J60" s="1"/>
      <c r="K60" s="1"/>
      <c r="L60" s="1"/>
      <c r="N60" s="1"/>
      <c r="O60" s="1"/>
      <c r="P60" s="1"/>
      <c r="Q60" s="1"/>
      <c r="R60" s="1"/>
      <c r="S60" s="1"/>
      <c r="T60" s="25"/>
      <c r="U60" s="1"/>
      <c r="V60" s="25"/>
      <c r="W60" s="25"/>
      <c r="X60" s="16"/>
      <c r="Y60" s="16"/>
      <c r="AB60" s="1"/>
      <c r="AD60" s="1"/>
    </row>
    <row r="61" spans="1:30" x14ac:dyDescent="0.3">
      <c r="A61" s="47" t="s">
        <v>1162</v>
      </c>
      <c r="B61" s="6"/>
      <c r="C61" s="6"/>
      <c r="D61" s="6">
        <v>0.25</v>
      </c>
      <c r="E61" s="2175">
        <v>0.25</v>
      </c>
      <c r="F61" s="2175">
        <v>0.25</v>
      </c>
      <c r="G61" s="2175">
        <v>0.25</v>
      </c>
      <c r="H61" s="1"/>
      <c r="I61" s="1"/>
      <c r="J61" s="1"/>
      <c r="K61" s="1"/>
      <c r="L61" s="1"/>
      <c r="N61" s="1"/>
      <c r="O61" s="1"/>
      <c r="P61" s="1"/>
      <c r="Q61" s="1"/>
      <c r="R61" s="1"/>
      <c r="S61" s="1"/>
      <c r="T61" s="25"/>
      <c r="U61" s="1"/>
      <c r="V61" s="25"/>
      <c r="W61" s="25"/>
      <c r="X61" s="16"/>
      <c r="Y61" s="16"/>
      <c r="AB61" s="1"/>
      <c r="AD61" s="1"/>
    </row>
    <row r="62" spans="1:30" x14ac:dyDescent="0.3">
      <c r="A62" s="47" t="s">
        <v>550</v>
      </c>
      <c r="B62" s="2175"/>
      <c r="C62" s="2175"/>
      <c r="D62" s="2175">
        <v>0.39166666666666666</v>
      </c>
      <c r="E62" s="2175">
        <v>0.43333333333333335</v>
      </c>
      <c r="F62" s="2175">
        <v>0.17499999999999999</v>
      </c>
      <c r="G62" s="2175"/>
      <c r="H62" s="1"/>
      <c r="I62" s="1"/>
      <c r="J62" s="1"/>
      <c r="K62" s="1"/>
      <c r="L62" s="1"/>
      <c r="N62" s="1"/>
      <c r="O62" s="1"/>
      <c r="P62" s="1"/>
      <c r="Q62" s="1"/>
      <c r="R62" s="1"/>
      <c r="S62" s="1"/>
      <c r="T62" s="25"/>
      <c r="U62" s="1"/>
      <c r="V62" s="25"/>
      <c r="W62" s="25"/>
      <c r="X62" s="16"/>
      <c r="Y62" s="16"/>
      <c r="AB62" s="1"/>
      <c r="AD62" s="1"/>
    </row>
    <row r="63" spans="1:30" x14ac:dyDescent="0.3">
      <c r="A63" s="47" t="s">
        <v>679</v>
      </c>
      <c r="B63" s="2175"/>
      <c r="C63" s="2175"/>
      <c r="D63" s="6">
        <v>0.4632768361581921</v>
      </c>
      <c r="E63" s="6">
        <v>0.23728813559322035</v>
      </c>
      <c r="F63" s="6">
        <v>0.29943502824858759</v>
      </c>
      <c r="G63" s="2200"/>
      <c r="H63" s="1"/>
      <c r="I63" s="1"/>
      <c r="J63" s="1"/>
      <c r="K63" s="1"/>
      <c r="L63" s="1"/>
      <c r="N63" s="1"/>
      <c r="O63" s="1"/>
      <c r="P63" s="1"/>
      <c r="Q63" s="1"/>
      <c r="R63" s="1"/>
      <c r="S63" s="1"/>
      <c r="T63" s="25"/>
      <c r="U63" s="1"/>
      <c r="V63" s="25"/>
      <c r="W63" s="25"/>
      <c r="X63" s="16"/>
      <c r="Y63" s="16"/>
      <c r="AB63" s="1"/>
      <c r="AD63" s="1"/>
    </row>
    <row r="64" spans="1:30" x14ac:dyDescent="0.3">
      <c r="A64" s="47" t="s">
        <v>568</v>
      </c>
      <c r="B64" s="47"/>
      <c r="C64" s="47"/>
      <c r="D64" s="6">
        <v>0.42553191489361702</v>
      </c>
      <c r="E64" s="2175">
        <v>0.31914893617021278</v>
      </c>
      <c r="F64" s="2175">
        <v>0.25531914893617019</v>
      </c>
      <c r="G64" s="2175"/>
      <c r="H64" s="1"/>
      <c r="I64" s="1"/>
      <c r="J64" s="1"/>
      <c r="K64" s="1"/>
      <c r="L64" s="1"/>
      <c r="N64" s="1"/>
      <c r="O64" s="1"/>
      <c r="P64" s="1"/>
      <c r="Q64" s="1"/>
      <c r="R64" s="1"/>
      <c r="S64" s="1"/>
      <c r="T64" s="25"/>
      <c r="U64" s="1"/>
      <c r="V64" s="25"/>
      <c r="W64" s="25"/>
      <c r="X64" s="16"/>
      <c r="Y64" s="16"/>
      <c r="AB64" s="1"/>
      <c r="AD64" s="1"/>
    </row>
    <row r="65" spans="5:30" x14ac:dyDescent="0.3">
      <c r="E65" s="1"/>
      <c r="F65" s="1"/>
      <c r="G65" s="1"/>
      <c r="H65" s="1"/>
      <c r="I65" s="1"/>
      <c r="J65" s="1"/>
      <c r="K65" s="1"/>
      <c r="L65" s="1"/>
      <c r="N65" s="1"/>
      <c r="O65" s="1"/>
      <c r="P65" s="1"/>
      <c r="Q65" s="1"/>
      <c r="R65" s="1"/>
      <c r="S65" s="1"/>
      <c r="T65" s="25"/>
      <c r="U65" s="1"/>
      <c r="V65" s="25"/>
      <c r="W65" s="25"/>
      <c r="X65" s="16"/>
      <c r="Y65" s="16"/>
      <c r="AB65" s="1"/>
      <c r="AD65" s="1"/>
    </row>
    <row r="66" spans="5:30" x14ac:dyDescent="0.3">
      <c r="E66" s="1"/>
      <c r="F66" s="1"/>
      <c r="G66" s="1"/>
      <c r="H66" s="1"/>
      <c r="I66" s="1"/>
      <c r="J66" s="1"/>
      <c r="K66" s="1"/>
      <c r="L66" s="1"/>
      <c r="N66" s="1"/>
      <c r="O66" s="1"/>
      <c r="P66" s="1"/>
      <c r="Q66" s="1"/>
      <c r="R66" s="1"/>
      <c r="S66" s="1"/>
      <c r="T66" s="25"/>
      <c r="U66" s="1"/>
      <c r="V66" s="25"/>
      <c r="W66" s="25"/>
      <c r="X66" s="16"/>
      <c r="Y66" s="16"/>
      <c r="AB66" s="1"/>
      <c r="AD66" s="1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N169"/>
  <sheetViews>
    <sheetView workbookViewId="0"/>
  </sheetViews>
  <sheetFormatPr defaultRowHeight="14.4" x14ac:dyDescent="0.3"/>
  <sheetData>
    <row r="1" spans="1:5" ht="21" x14ac:dyDescent="0.4">
      <c r="A1" s="92" t="s">
        <v>1144</v>
      </c>
    </row>
    <row r="2" spans="1:5" x14ac:dyDescent="0.3">
      <c r="A2" t="s">
        <v>452</v>
      </c>
    </row>
    <row r="5" spans="1:5" x14ac:dyDescent="0.3">
      <c r="B5" s="95"/>
    </row>
    <row r="6" spans="1:5" x14ac:dyDescent="0.3">
      <c r="B6" s="96"/>
      <c r="C6" s="603"/>
    </row>
    <row r="7" spans="1:5" x14ac:dyDescent="0.3">
      <c r="A7" s="100" t="s">
        <v>1145</v>
      </c>
      <c r="B7" s="101">
        <v>2572835.2199999997</v>
      </c>
      <c r="C7" s="102"/>
    </row>
    <row r="8" spans="1:5" x14ac:dyDescent="0.3">
      <c r="A8" s="100" t="s">
        <v>1146</v>
      </c>
      <c r="B8" s="101">
        <v>3528539.6399999997</v>
      </c>
      <c r="C8" s="97"/>
    </row>
    <row r="9" spans="1:5" x14ac:dyDescent="0.3">
      <c r="C9" s="97"/>
    </row>
    <row r="10" spans="1:5" x14ac:dyDescent="0.3">
      <c r="A10" s="103" t="s">
        <v>1147</v>
      </c>
      <c r="B10" s="104">
        <v>4290318</v>
      </c>
      <c r="C10" s="105"/>
    </row>
    <row r="11" spans="1:5" x14ac:dyDescent="0.3">
      <c r="A11" s="100" t="s">
        <v>1148</v>
      </c>
      <c r="B11" s="101">
        <v>5362897.5</v>
      </c>
      <c r="C11" s="3"/>
    </row>
    <row r="14" spans="1:5" x14ac:dyDescent="0.3">
      <c r="A14" s="4" t="s">
        <v>457</v>
      </c>
    </row>
    <row r="15" spans="1:5" x14ac:dyDescent="0.3">
      <c r="A15" s="106" t="s">
        <v>458</v>
      </c>
      <c r="B15" s="106"/>
      <c r="C15" s="106" t="s">
        <v>459</v>
      </c>
      <c r="D15" s="106" t="s">
        <v>460</v>
      </c>
      <c r="E15" s="106" t="s">
        <v>461</v>
      </c>
    </row>
    <row r="16" spans="1:5" x14ac:dyDescent="0.3">
      <c r="A16" s="107" t="s">
        <v>606</v>
      </c>
      <c r="B16" s="108" t="s">
        <v>463</v>
      </c>
      <c r="C16" s="109">
        <v>0.47</v>
      </c>
      <c r="D16" s="110">
        <v>2016449.46</v>
      </c>
      <c r="E16" s="110">
        <v>672149.82</v>
      </c>
    </row>
    <row r="17" spans="1:40" x14ac:dyDescent="0.3">
      <c r="A17" s="107" t="s">
        <v>607</v>
      </c>
      <c r="B17" s="108" t="s">
        <v>465</v>
      </c>
      <c r="C17" s="109">
        <v>0.53</v>
      </c>
      <c r="D17" s="110">
        <v>2273868.54</v>
      </c>
      <c r="E17" s="110">
        <v>454773.70799999998</v>
      </c>
    </row>
    <row r="18" spans="1:40" x14ac:dyDescent="0.3">
      <c r="A18" s="107" t="s">
        <v>608</v>
      </c>
      <c r="B18" s="108">
        <v>3</v>
      </c>
      <c r="C18" s="109"/>
      <c r="D18" s="110">
        <v>0</v>
      </c>
      <c r="E18" s="110">
        <v>0</v>
      </c>
    </row>
    <row r="19" spans="1:40" x14ac:dyDescent="0.3">
      <c r="B19" s="1" t="s">
        <v>467</v>
      </c>
      <c r="C19" s="3">
        <v>1</v>
      </c>
      <c r="D19" s="112">
        <v>4290318</v>
      </c>
    </row>
    <row r="22" spans="1:40" x14ac:dyDescent="0.3">
      <c r="A22" s="100" t="s">
        <v>769</v>
      </c>
      <c r="B22" s="769">
        <v>2417678</v>
      </c>
      <c r="Q22" s="115"/>
    </row>
    <row r="23" spans="1:40" x14ac:dyDescent="0.3">
      <c r="A23" s="714" t="s">
        <v>579</v>
      </c>
      <c r="B23" s="770">
        <v>1129304</v>
      </c>
      <c r="E23" s="1" t="s">
        <v>470</v>
      </c>
      <c r="F23" s="2" t="s">
        <v>1043</v>
      </c>
      <c r="H23" s="1" t="s">
        <v>472</v>
      </c>
      <c r="J23" s="304">
        <v>0.55000000000000004</v>
      </c>
      <c r="K23" s="304"/>
      <c r="L23" s="304"/>
    </row>
    <row r="24" spans="1:40" x14ac:dyDescent="0.3">
      <c r="E24" s="1" t="s">
        <v>473</v>
      </c>
      <c r="F24" s="2" t="s">
        <v>152</v>
      </c>
      <c r="H24" s="1" t="s">
        <v>473</v>
      </c>
      <c r="J24" s="1">
        <v>42</v>
      </c>
      <c r="K24" s="1"/>
      <c r="L24" s="1"/>
    </row>
    <row r="25" spans="1:40" x14ac:dyDescent="0.3">
      <c r="E25" s="1" t="s">
        <v>475</v>
      </c>
      <c r="F25" s="2" t="s">
        <v>1149</v>
      </c>
      <c r="H25" s="1" t="s">
        <v>475</v>
      </c>
      <c r="J25" s="95">
        <v>2854</v>
      </c>
      <c r="K25" s="95"/>
      <c r="L25" s="95"/>
      <c r="P25" s="115"/>
    </row>
    <row r="26" spans="1:40" x14ac:dyDescent="0.3">
      <c r="E26" s="1" t="s">
        <v>477</v>
      </c>
      <c r="F26" s="2" t="s">
        <v>1150</v>
      </c>
      <c r="H26" s="1" t="s">
        <v>477</v>
      </c>
      <c r="J26" s="95">
        <v>32232249</v>
      </c>
      <c r="K26" s="95"/>
      <c r="L26" s="95"/>
      <c r="O26" s="98"/>
      <c r="S26" s="116"/>
    </row>
    <row r="27" spans="1:40" x14ac:dyDescent="0.3">
      <c r="O27" s="98"/>
      <c r="P27" s="117"/>
    </row>
    <row r="28" spans="1:40" x14ac:dyDescent="0.3">
      <c r="O28" s="119"/>
    </row>
    <row r="29" spans="1:40" x14ac:dyDescent="0.3">
      <c r="A29" s="2587" t="s">
        <v>480</v>
      </c>
      <c r="B29" s="2588"/>
      <c r="C29" s="2588"/>
      <c r="D29" s="2588"/>
      <c r="E29" s="2588"/>
      <c r="F29" s="2588"/>
      <c r="G29" s="2588"/>
      <c r="H29" s="2588"/>
      <c r="I29" s="2588"/>
      <c r="J29" s="2588"/>
      <c r="K29" s="2588"/>
      <c r="L29" s="2588"/>
      <c r="M29" s="2588"/>
      <c r="N29" s="2588"/>
      <c r="O29" s="2588"/>
      <c r="P29" s="2588"/>
      <c r="Q29" s="2588"/>
      <c r="R29" s="2588"/>
      <c r="S29" s="2560" t="s">
        <v>878</v>
      </c>
      <c r="T29" s="2561"/>
      <c r="U29" s="2561"/>
      <c r="V29" s="2561"/>
      <c r="W29" s="2561"/>
      <c r="X29" s="2561"/>
      <c r="Y29" s="2561"/>
      <c r="Z29" s="2561"/>
      <c r="AA29" s="2561"/>
      <c r="AB29" s="2561"/>
      <c r="AC29" s="2561"/>
      <c r="AD29" s="2561"/>
      <c r="AE29" s="2561"/>
      <c r="AF29" s="2561"/>
      <c r="AG29" s="2561"/>
      <c r="AH29" s="2561"/>
      <c r="AI29" s="2561"/>
      <c r="AJ29" s="2561"/>
    </row>
    <row r="30" spans="1:40" ht="15.6" x14ac:dyDescent="0.3">
      <c r="A30" s="2284" t="s">
        <v>482</v>
      </c>
      <c r="B30" s="2286" t="s">
        <v>483</v>
      </c>
      <c r="C30" s="2286" t="s">
        <v>484</v>
      </c>
      <c r="D30" s="2286" t="s">
        <v>485</v>
      </c>
      <c r="E30" s="2286" t="s">
        <v>486</v>
      </c>
      <c r="F30" s="2288" t="s">
        <v>487</v>
      </c>
      <c r="G30" s="2288" t="s">
        <v>1135</v>
      </c>
      <c r="H30" s="2286" t="s">
        <v>489</v>
      </c>
      <c r="I30" s="2945" t="s">
        <v>490</v>
      </c>
      <c r="J30" s="2946"/>
      <c r="K30" s="2946"/>
      <c r="L30" s="2947"/>
      <c r="M30" s="265" t="s">
        <v>491</v>
      </c>
      <c r="N30" s="491" t="s">
        <v>492</v>
      </c>
      <c r="O30" s="2150" t="s">
        <v>493</v>
      </c>
      <c r="P30" s="491" t="s">
        <v>492</v>
      </c>
      <c r="Q30" s="491" t="s">
        <v>494</v>
      </c>
      <c r="R30" s="2267" t="s">
        <v>495</v>
      </c>
      <c r="S30" s="2151" t="s">
        <v>496</v>
      </c>
      <c r="T30" s="2969" t="s">
        <v>497</v>
      </c>
      <c r="U30" s="2969"/>
      <c r="V30" s="2969"/>
      <c r="W30" s="2969"/>
      <c r="X30" s="2969"/>
      <c r="Y30" s="2972" t="s">
        <v>498</v>
      </c>
      <c r="Z30" s="2969"/>
      <c r="AA30" s="2968" t="s">
        <v>499</v>
      </c>
      <c r="AB30" s="2969"/>
      <c r="AC30" s="2969"/>
      <c r="AD30" s="2969"/>
      <c r="AE30" s="2969"/>
      <c r="AF30" s="2969"/>
      <c r="AG30" s="2969"/>
      <c r="AH30" s="2969"/>
      <c r="AI30" s="2969"/>
      <c r="AJ30" s="2969"/>
      <c r="AK30" s="125"/>
      <c r="AL30" s="125"/>
      <c r="AM30" s="125"/>
      <c r="AN30" s="125"/>
    </row>
    <row r="31" spans="1:40" ht="15.6" x14ac:dyDescent="0.3">
      <c r="A31" s="2285"/>
      <c r="B31" s="2287"/>
      <c r="C31" s="2287"/>
      <c r="D31" s="2287"/>
      <c r="E31" s="2287"/>
      <c r="F31" s="2289"/>
      <c r="G31" s="2289"/>
      <c r="H31" s="2287"/>
      <c r="I31" s="269" t="s">
        <v>500</v>
      </c>
      <c r="J31" s="269" t="s">
        <v>501</v>
      </c>
      <c r="K31" s="269" t="s">
        <v>502</v>
      </c>
      <c r="L31" s="269" t="s">
        <v>503</v>
      </c>
      <c r="M31" s="270" t="s">
        <v>504</v>
      </c>
      <c r="N31" s="271" t="s">
        <v>505</v>
      </c>
      <c r="O31" s="1928" t="s">
        <v>506</v>
      </c>
      <c r="P31" s="271" t="s">
        <v>507</v>
      </c>
      <c r="Q31" s="271" t="s">
        <v>507</v>
      </c>
      <c r="R31" s="2268"/>
      <c r="S31" s="2152" t="s">
        <v>508</v>
      </c>
      <c r="T31" s="2971"/>
      <c r="U31" s="2971"/>
      <c r="V31" s="2971"/>
      <c r="W31" s="2971"/>
      <c r="X31" s="2971"/>
      <c r="Y31" s="2973"/>
      <c r="Z31" s="2971"/>
      <c r="AA31" s="2970"/>
      <c r="AB31" s="2971"/>
      <c r="AC31" s="2971"/>
      <c r="AD31" s="2971"/>
      <c r="AE31" s="2971"/>
      <c r="AF31" s="2971"/>
      <c r="AG31" s="2971"/>
      <c r="AH31" s="2971"/>
      <c r="AI31" s="2971"/>
      <c r="AJ31" s="2971"/>
      <c r="AK31" s="125"/>
      <c r="AL31" s="125"/>
      <c r="AM31" s="125"/>
      <c r="AN31" s="125"/>
    </row>
    <row r="32" spans="1:40" ht="15.6" x14ac:dyDescent="0.3">
      <c r="A32" s="2943" t="s">
        <v>509</v>
      </c>
      <c r="B32" s="2944"/>
      <c r="C32" s="2944"/>
      <c r="D32" s="2944"/>
      <c r="E32" s="2944"/>
      <c r="F32" s="2944"/>
      <c r="G32" s="2944"/>
      <c r="H32" s="2944"/>
      <c r="I32" s="2944"/>
      <c r="J32" s="2944"/>
      <c r="K32" s="2944"/>
      <c r="L32" s="2944"/>
      <c r="M32" s="2944"/>
      <c r="N32" s="2944"/>
      <c r="O32" s="2944"/>
      <c r="P32" s="2944"/>
      <c r="Q32" s="2944"/>
      <c r="R32" s="2944"/>
      <c r="S32" s="1931"/>
      <c r="T32" s="1932" t="s">
        <v>510</v>
      </c>
      <c r="U32" s="1932" t="s">
        <v>11</v>
      </c>
      <c r="V32" s="1932" t="s">
        <v>511</v>
      </c>
      <c r="W32" s="1932" t="s">
        <v>512</v>
      </c>
      <c r="X32" s="1932" t="s">
        <v>513</v>
      </c>
      <c r="Y32" s="1933" t="s">
        <v>514</v>
      </c>
      <c r="Z32" s="1934" t="s">
        <v>515</v>
      </c>
      <c r="AA32" s="2153" t="s">
        <v>289</v>
      </c>
      <c r="AB32" s="2153" t="s">
        <v>294</v>
      </c>
      <c r="AC32" s="2153" t="s">
        <v>290</v>
      </c>
      <c r="AD32" s="2153" t="s">
        <v>291</v>
      </c>
      <c r="AE32" s="2153" t="s">
        <v>292</v>
      </c>
      <c r="AF32" s="2153" t="s">
        <v>293</v>
      </c>
      <c r="AG32" s="2153" t="s">
        <v>205</v>
      </c>
      <c r="AH32" s="2154" t="s">
        <v>295</v>
      </c>
      <c r="AI32" s="2154" t="s">
        <v>5</v>
      </c>
      <c r="AJ32" s="2154" t="s">
        <v>0</v>
      </c>
      <c r="AK32" s="2155"/>
      <c r="AL32" s="2155"/>
      <c r="AM32" s="2155"/>
      <c r="AN32" s="2155"/>
    </row>
    <row r="33" spans="1:36" x14ac:dyDescent="0.3">
      <c r="A33" s="154"/>
      <c r="B33" s="462"/>
      <c r="C33" s="462"/>
      <c r="D33" s="462"/>
      <c r="E33" s="462"/>
      <c r="F33" s="463"/>
      <c r="G33" s="462"/>
      <c r="H33" s="462"/>
      <c r="I33" s="464"/>
      <c r="J33" s="465"/>
      <c r="K33" s="465"/>
      <c r="L33" s="466"/>
      <c r="M33" s="467"/>
      <c r="N33" s="468"/>
      <c r="O33" s="469"/>
      <c r="P33" s="468"/>
      <c r="Q33" s="468"/>
      <c r="R33" s="501"/>
      <c r="S33" s="166"/>
      <c r="T33" s="188"/>
      <c r="X33" s="286"/>
      <c r="Y33" s="188"/>
      <c r="Z33" s="286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</row>
    <row r="34" spans="1:36" x14ac:dyDescent="0.3">
      <c r="A34" s="157"/>
      <c r="B34" s="157"/>
      <c r="C34" s="157"/>
      <c r="D34" s="157"/>
      <c r="E34" s="157"/>
      <c r="F34" s="158"/>
      <c r="G34" s="157"/>
      <c r="H34" s="157"/>
      <c r="I34" s="188"/>
      <c r="L34" s="286"/>
      <c r="M34" s="163"/>
      <c r="N34" s="164"/>
      <c r="O34" s="165"/>
      <c r="P34" s="164"/>
      <c r="Q34" s="164"/>
      <c r="R34" s="1046"/>
      <c r="S34" s="164"/>
      <c r="T34" s="394"/>
      <c r="U34" s="169"/>
      <c r="V34" s="169"/>
      <c r="W34" s="169"/>
      <c r="X34" s="395"/>
      <c r="Y34" s="394"/>
      <c r="Z34" s="395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</row>
    <row r="35" spans="1:36" x14ac:dyDescent="0.3">
      <c r="A35" s="157" t="s">
        <v>1151</v>
      </c>
      <c r="B35" s="157" t="s">
        <v>274</v>
      </c>
      <c r="C35" s="157" t="s">
        <v>1017</v>
      </c>
      <c r="D35" s="157" t="s">
        <v>275</v>
      </c>
      <c r="E35" s="157" t="s">
        <v>520</v>
      </c>
      <c r="F35" s="158" t="s">
        <v>1152</v>
      </c>
      <c r="G35" s="157">
        <v>10</v>
      </c>
      <c r="H35" s="157" t="s">
        <v>63</v>
      </c>
      <c r="I35" s="188"/>
      <c r="K35" s="161">
        <v>10</v>
      </c>
      <c r="L35" s="2209"/>
      <c r="M35" s="163">
        <v>1</v>
      </c>
      <c r="N35" s="166">
        <v>5627</v>
      </c>
      <c r="O35" s="173">
        <v>0.1</v>
      </c>
      <c r="P35" s="166">
        <f t="shared" ref="P35:P48" si="0">N35*(1-O35)</f>
        <v>5064.3</v>
      </c>
      <c r="Q35" s="166">
        <f t="shared" ref="Q35:Q48" si="1">P35*M35*G35</f>
        <v>50643</v>
      </c>
      <c r="R35" s="184">
        <f t="shared" ref="R35:R46" si="2">Q35/$Q$53</f>
        <v>7.5243002873870854E-2</v>
      </c>
      <c r="S35" s="503">
        <f t="shared" ref="S35:S51" si="3">Q35*2</f>
        <v>101286</v>
      </c>
      <c r="T35" s="394">
        <f t="shared" ref="T35:T39" si="4">S35</f>
        <v>101286</v>
      </c>
      <c r="X35" s="286"/>
      <c r="Y35" s="394">
        <f>S35</f>
        <v>101286</v>
      </c>
      <c r="Z35" s="395"/>
      <c r="AA35" s="174">
        <f>S35</f>
        <v>101286</v>
      </c>
      <c r="AB35" s="172"/>
      <c r="AC35" s="172"/>
      <c r="AD35" s="174"/>
      <c r="AE35" s="174"/>
      <c r="AF35" s="172"/>
      <c r="AG35" s="172"/>
      <c r="AH35" s="172"/>
      <c r="AI35" s="172"/>
      <c r="AJ35" s="172"/>
    </row>
    <row r="36" spans="1:36" x14ac:dyDescent="0.3">
      <c r="A36" s="157" t="s">
        <v>1151</v>
      </c>
      <c r="B36" s="157" t="s">
        <v>274</v>
      </c>
      <c r="C36" s="157" t="s">
        <v>1017</v>
      </c>
      <c r="D36" s="157" t="s">
        <v>102</v>
      </c>
      <c r="E36" s="157" t="s">
        <v>518</v>
      </c>
      <c r="F36" s="158" t="s">
        <v>655</v>
      </c>
      <c r="G36" s="157">
        <v>2</v>
      </c>
      <c r="H36" s="157" t="s">
        <v>24</v>
      </c>
      <c r="I36" s="182">
        <v>2</v>
      </c>
      <c r="J36" s="183"/>
      <c r="K36" s="183"/>
      <c r="L36" s="2239"/>
      <c r="M36" s="163">
        <v>1</v>
      </c>
      <c r="N36" s="166">
        <v>15600</v>
      </c>
      <c r="O36" s="173">
        <v>0.05</v>
      </c>
      <c r="P36" s="166">
        <f>N36*(1-O36)</f>
        <v>14820</v>
      </c>
      <c r="Q36" s="166">
        <f t="shared" si="1"/>
        <v>29640</v>
      </c>
      <c r="R36" s="167">
        <f t="shared" si="2"/>
        <v>4.4037726935243417E-2</v>
      </c>
      <c r="S36" s="503">
        <f t="shared" si="3"/>
        <v>59280</v>
      </c>
      <c r="T36" s="394">
        <f t="shared" si="4"/>
        <v>59280</v>
      </c>
      <c r="X36" s="286"/>
      <c r="Y36" s="394"/>
      <c r="Z36" s="395">
        <f>S36</f>
        <v>59280</v>
      </c>
      <c r="AA36" s="174">
        <f>S36</f>
        <v>59280</v>
      </c>
      <c r="AB36" s="172"/>
      <c r="AC36" s="172"/>
      <c r="AD36" s="174"/>
      <c r="AE36" s="174"/>
      <c r="AF36" s="172"/>
      <c r="AG36" s="172"/>
      <c r="AH36" s="172"/>
      <c r="AI36" s="172"/>
      <c r="AJ36" s="172"/>
    </row>
    <row r="37" spans="1:36" x14ac:dyDescent="0.3">
      <c r="A37" s="157" t="s">
        <v>1151</v>
      </c>
      <c r="B37" s="157" t="s">
        <v>274</v>
      </c>
      <c r="C37" s="157" t="s">
        <v>1017</v>
      </c>
      <c r="D37" s="157" t="s">
        <v>26</v>
      </c>
      <c r="E37" s="157" t="s">
        <v>520</v>
      </c>
      <c r="F37" s="158" t="s">
        <v>521</v>
      </c>
      <c r="G37" s="157">
        <v>4</v>
      </c>
      <c r="H37" s="157" t="s">
        <v>63</v>
      </c>
      <c r="I37" s="182">
        <v>4</v>
      </c>
      <c r="J37" s="183"/>
      <c r="L37" s="286"/>
      <c r="M37" s="163">
        <v>1</v>
      </c>
      <c r="N37" s="166">
        <v>21500</v>
      </c>
      <c r="O37" s="173">
        <v>0.2</v>
      </c>
      <c r="P37" s="166">
        <f t="shared" ref="P37:P38" si="5">N37*(1-O37)</f>
        <v>17200</v>
      </c>
      <c r="Q37" s="166">
        <f t="shared" si="1"/>
        <v>68800</v>
      </c>
      <c r="R37" s="184">
        <f t="shared" si="2"/>
        <v>0.1022198250048835</v>
      </c>
      <c r="S37" s="503">
        <f t="shared" si="3"/>
        <v>137600</v>
      </c>
      <c r="T37" s="394">
        <f t="shared" si="4"/>
        <v>137600</v>
      </c>
      <c r="X37" s="286"/>
      <c r="Y37" s="394">
        <f>S37</f>
        <v>137600</v>
      </c>
      <c r="Z37" s="395"/>
      <c r="AA37" s="174">
        <f>S37</f>
        <v>137600</v>
      </c>
      <c r="AB37" s="172"/>
      <c r="AC37" s="172"/>
      <c r="AD37" s="174"/>
      <c r="AE37" s="174"/>
      <c r="AF37" s="172"/>
      <c r="AG37" s="172"/>
      <c r="AH37" s="172"/>
      <c r="AI37" s="172"/>
      <c r="AJ37" s="172"/>
    </row>
    <row r="38" spans="1:36" x14ac:dyDescent="0.3">
      <c r="A38" s="157" t="s">
        <v>1151</v>
      </c>
      <c r="B38" s="157" t="s">
        <v>276</v>
      </c>
      <c r="C38" s="157" t="s">
        <v>1017</v>
      </c>
      <c r="D38" s="157" t="s">
        <v>277</v>
      </c>
      <c r="E38" s="157" t="s">
        <v>518</v>
      </c>
      <c r="F38" s="158" t="s">
        <v>203</v>
      </c>
      <c r="G38" s="157">
        <v>1</v>
      </c>
      <c r="H38" s="157" t="s">
        <v>63</v>
      </c>
      <c r="I38" s="188"/>
      <c r="K38" s="176">
        <v>10</v>
      </c>
      <c r="L38" s="177"/>
      <c r="M38" s="163">
        <v>1</v>
      </c>
      <c r="N38" s="166">
        <v>80000</v>
      </c>
      <c r="O38" s="173">
        <v>0.1</v>
      </c>
      <c r="P38" s="166">
        <f t="shared" si="5"/>
        <v>72000</v>
      </c>
      <c r="Q38" s="166">
        <f t="shared" si="1"/>
        <v>72000</v>
      </c>
      <c r="R38" s="167">
        <f t="shared" si="2"/>
        <v>0.10697423547022691</v>
      </c>
      <c r="S38" s="503">
        <f t="shared" si="3"/>
        <v>144000</v>
      </c>
      <c r="T38" s="394"/>
      <c r="U38" s="169">
        <f>S38</f>
        <v>144000</v>
      </c>
      <c r="X38" s="286"/>
      <c r="Y38" s="394"/>
      <c r="Z38" s="395">
        <f>S38</f>
        <v>144000</v>
      </c>
      <c r="AA38" s="172"/>
      <c r="AB38" s="174">
        <f>S38</f>
        <v>144000</v>
      </c>
      <c r="AC38" s="172"/>
      <c r="AD38" s="172"/>
      <c r="AE38" s="174"/>
      <c r="AF38" s="172"/>
      <c r="AG38" s="172"/>
      <c r="AH38" s="172"/>
      <c r="AI38" s="172"/>
      <c r="AJ38" s="172"/>
    </row>
    <row r="39" spans="1:36" x14ac:dyDescent="0.3">
      <c r="A39" s="157" t="s">
        <v>1151</v>
      </c>
      <c r="B39" s="157" t="s">
        <v>278</v>
      </c>
      <c r="C39" s="157" t="s">
        <v>1017</v>
      </c>
      <c r="D39" s="157" t="s">
        <v>279</v>
      </c>
      <c r="E39" s="157" t="s">
        <v>520</v>
      </c>
      <c r="F39" s="158" t="s">
        <v>1152</v>
      </c>
      <c r="G39" s="157">
        <v>21</v>
      </c>
      <c r="H39" s="157" t="s">
        <v>63</v>
      </c>
      <c r="I39" s="175">
        <v>21</v>
      </c>
      <c r="J39" s="688"/>
      <c r="L39" s="286"/>
      <c r="M39" s="163">
        <v>1</v>
      </c>
      <c r="N39" s="166">
        <v>5627</v>
      </c>
      <c r="O39" s="173">
        <v>0.1</v>
      </c>
      <c r="P39" s="166">
        <f t="shared" si="0"/>
        <v>5064.3</v>
      </c>
      <c r="Q39" s="166">
        <f t="shared" si="1"/>
        <v>106350.3</v>
      </c>
      <c r="R39" s="184">
        <f t="shared" si="2"/>
        <v>0.15801030603512881</v>
      </c>
      <c r="S39" s="503">
        <f t="shared" si="3"/>
        <v>212700.6</v>
      </c>
      <c r="T39" s="394">
        <f t="shared" si="4"/>
        <v>212700.6</v>
      </c>
      <c r="X39" s="286"/>
      <c r="Y39" s="394">
        <f>S39</f>
        <v>212700.6</v>
      </c>
      <c r="Z39" s="395"/>
      <c r="AA39" s="172"/>
      <c r="AB39" s="172"/>
      <c r="AC39" s="174">
        <f>S39</f>
        <v>212700.6</v>
      </c>
      <c r="AD39" s="172"/>
      <c r="AE39" s="174"/>
      <c r="AF39" s="172"/>
      <c r="AG39" s="172"/>
      <c r="AH39" s="172"/>
      <c r="AI39" s="172"/>
      <c r="AJ39" s="172"/>
    </row>
    <row r="40" spans="1:36" x14ac:dyDescent="0.3">
      <c r="A40" s="2156" t="s">
        <v>1151</v>
      </c>
      <c r="B40" s="2156" t="s">
        <v>280</v>
      </c>
      <c r="C40" s="2156" t="s">
        <v>1017</v>
      </c>
      <c r="D40" s="2156" t="s">
        <v>29</v>
      </c>
      <c r="E40" s="2156" t="s">
        <v>520</v>
      </c>
      <c r="F40" s="2157" t="s">
        <v>654</v>
      </c>
      <c r="G40" s="2156">
        <v>1</v>
      </c>
      <c r="H40" s="2156" t="s">
        <v>24</v>
      </c>
      <c r="I40" s="182">
        <v>1</v>
      </c>
      <c r="J40" s="183"/>
      <c r="K40" s="183"/>
      <c r="L40" s="2239"/>
      <c r="M40" s="163">
        <v>1</v>
      </c>
      <c r="N40" s="166">
        <v>110000</v>
      </c>
      <c r="O40" s="173">
        <v>0.55000000000000004</v>
      </c>
      <c r="P40" s="166">
        <f t="shared" si="0"/>
        <v>49499.999999999993</v>
      </c>
      <c r="Q40" s="166">
        <f t="shared" si="1"/>
        <v>49499.999999999993</v>
      </c>
      <c r="R40" s="184">
        <f t="shared" si="2"/>
        <v>7.3544786885780991E-2</v>
      </c>
      <c r="S40" s="503">
        <f>Q40*2</f>
        <v>98999.999999999985</v>
      </c>
      <c r="T40" s="394">
        <f>S40</f>
        <v>98999.999999999985</v>
      </c>
      <c r="U40" s="169"/>
      <c r="X40" s="286"/>
      <c r="Y40" s="394">
        <f>S40</f>
        <v>98999.999999999985</v>
      </c>
      <c r="Z40" s="286"/>
      <c r="AA40" s="172"/>
      <c r="AB40" s="172"/>
      <c r="AC40" s="172"/>
      <c r="AD40" s="174">
        <f>S40</f>
        <v>98999.999999999985</v>
      </c>
      <c r="AE40" s="174"/>
      <c r="AF40" s="172"/>
      <c r="AG40" s="172"/>
      <c r="AH40" s="172"/>
      <c r="AI40" s="172"/>
      <c r="AJ40" s="172"/>
    </row>
    <row r="41" spans="1:36" x14ac:dyDescent="0.3">
      <c r="A41" s="157" t="s">
        <v>1151</v>
      </c>
      <c r="B41" s="157" t="s">
        <v>281</v>
      </c>
      <c r="C41" s="157" t="s">
        <v>1017</v>
      </c>
      <c r="D41" s="157" t="s">
        <v>102</v>
      </c>
      <c r="E41" s="157" t="s">
        <v>518</v>
      </c>
      <c r="F41" s="158" t="s">
        <v>655</v>
      </c>
      <c r="G41" s="157">
        <v>3</v>
      </c>
      <c r="H41" s="157" t="s">
        <v>22</v>
      </c>
      <c r="I41" s="182">
        <v>3</v>
      </c>
      <c r="K41" s="183">
        <v>3</v>
      </c>
      <c r="L41" s="286"/>
      <c r="M41" s="163">
        <v>2</v>
      </c>
      <c r="N41" s="166">
        <v>9100</v>
      </c>
      <c r="O41" s="173">
        <v>0.7</v>
      </c>
      <c r="P41" s="166">
        <f t="shared" si="0"/>
        <v>2730.0000000000005</v>
      </c>
      <c r="Q41" s="166">
        <f t="shared" si="1"/>
        <v>16380.000000000004</v>
      </c>
      <c r="R41" s="167">
        <f t="shared" si="2"/>
        <v>2.433663856947663E-2</v>
      </c>
      <c r="S41" s="503">
        <f>Q41*2</f>
        <v>32760.000000000007</v>
      </c>
      <c r="T41" s="394">
        <f>S41</f>
        <v>32760.000000000007</v>
      </c>
      <c r="X41" s="286"/>
      <c r="Y41" s="394"/>
      <c r="Z41" s="395">
        <f>S41</f>
        <v>32760.000000000007</v>
      </c>
      <c r="AA41" s="172"/>
      <c r="AB41" s="172"/>
      <c r="AC41" s="172"/>
      <c r="AD41" s="172"/>
      <c r="AE41" s="174">
        <f>S41</f>
        <v>32760.000000000007</v>
      </c>
      <c r="AF41" s="172"/>
      <c r="AG41" s="172"/>
      <c r="AH41" s="172"/>
      <c r="AI41" s="172"/>
      <c r="AJ41" s="172"/>
    </row>
    <row r="42" spans="1:36" x14ac:dyDescent="0.3">
      <c r="A42" s="157" t="s">
        <v>1151</v>
      </c>
      <c r="B42" s="157" t="s">
        <v>282</v>
      </c>
      <c r="C42" s="157" t="s">
        <v>1017</v>
      </c>
      <c r="D42" s="157" t="s">
        <v>102</v>
      </c>
      <c r="E42" s="157" t="s">
        <v>518</v>
      </c>
      <c r="F42" s="158" t="s">
        <v>655</v>
      </c>
      <c r="G42" s="157">
        <v>2</v>
      </c>
      <c r="H42" s="157" t="s">
        <v>63</v>
      </c>
      <c r="I42" s="175">
        <v>2</v>
      </c>
      <c r="J42" s="688"/>
      <c r="L42" s="286"/>
      <c r="M42" s="163">
        <v>1</v>
      </c>
      <c r="N42" s="166">
        <v>18480</v>
      </c>
      <c r="O42" s="173">
        <v>0.35</v>
      </c>
      <c r="P42" s="166">
        <f t="shared" si="0"/>
        <v>12012</v>
      </c>
      <c r="Q42" s="166">
        <f t="shared" si="1"/>
        <v>24024</v>
      </c>
      <c r="R42" s="167">
        <f t="shared" si="2"/>
        <v>3.5693736568565712E-2</v>
      </c>
      <c r="S42" s="503">
        <f t="shared" ref="S42" si="6">Q42*2</f>
        <v>48048</v>
      </c>
      <c r="T42" s="394">
        <f>S42</f>
        <v>48048</v>
      </c>
      <c r="U42" s="169"/>
      <c r="X42" s="286"/>
      <c r="Y42" s="394">
        <f>S42</f>
        <v>48048</v>
      </c>
      <c r="Z42" s="395">
        <f>S42</f>
        <v>48048</v>
      </c>
      <c r="AA42" s="172"/>
      <c r="AB42" s="172"/>
      <c r="AC42" s="172"/>
      <c r="AD42" s="172"/>
      <c r="AE42" s="172"/>
      <c r="AF42" s="174">
        <f>S42</f>
        <v>48048</v>
      </c>
      <c r="AG42" s="172"/>
      <c r="AH42" s="172"/>
      <c r="AI42" s="172"/>
      <c r="AJ42" s="172"/>
    </row>
    <row r="43" spans="1:36" x14ac:dyDescent="0.3">
      <c r="A43" s="157" t="s">
        <v>1151</v>
      </c>
      <c r="B43" s="157" t="s">
        <v>209</v>
      </c>
      <c r="C43" s="157" t="s">
        <v>1017</v>
      </c>
      <c r="D43" s="157" t="s">
        <v>26</v>
      </c>
      <c r="E43" s="157" t="s">
        <v>520</v>
      </c>
      <c r="F43" s="158" t="s">
        <v>521</v>
      </c>
      <c r="G43" s="157">
        <v>3</v>
      </c>
      <c r="H43" s="157" t="s">
        <v>24</v>
      </c>
      <c r="I43" s="2445">
        <v>3</v>
      </c>
      <c r="J43" s="726"/>
      <c r="K43" s="726"/>
      <c r="L43" s="727"/>
      <c r="M43" s="163">
        <v>1</v>
      </c>
      <c r="N43" s="166">
        <v>29625</v>
      </c>
      <c r="O43" s="173">
        <v>0.35</v>
      </c>
      <c r="P43" s="166">
        <f t="shared" si="0"/>
        <v>19256.25</v>
      </c>
      <c r="Q43" s="166">
        <f t="shared" si="1"/>
        <v>57768.75</v>
      </c>
      <c r="R43" s="184">
        <f t="shared" si="2"/>
        <v>8.5830109240564875E-2</v>
      </c>
      <c r="S43" s="503">
        <f>Q43*2</f>
        <v>115537.5</v>
      </c>
      <c r="T43" s="394"/>
      <c r="V43" s="169">
        <f>S43</f>
        <v>115537.5</v>
      </c>
      <c r="X43" s="286"/>
      <c r="Y43" s="394">
        <f>S43</f>
        <v>115537.5</v>
      </c>
      <c r="Z43" s="286"/>
      <c r="AA43" s="172"/>
      <c r="AB43" s="172"/>
      <c r="AC43" s="174">
        <f>S43</f>
        <v>115537.5</v>
      </c>
      <c r="AD43" s="174"/>
      <c r="AE43" s="174"/>
      <c r="AF43" s="172"/>
      <c r="AG43" s="174">
        <f>S43</f>
        <v>115537.5</v>
      </c>
      <c r="AH43" s="172"/>
      <c r="AI43" s="172"/>
      <c r="AJ43" s="172"/>
    </row>
    <row r="44" spans="1:36" x14ac:dyDescent="0.3">
      <c r="A44" s="157" t="s">
        <v>1151</v>
      </c>
      <c r="B44" s="157" t="s">
        <v>283</v>
      </c>
      <c r="C44" s="157" t="s">
        <v>1017</v>
      </c>
      <c r="D44" s="157" t="s">
        <v>102</v>
      </c>
      <c r="E44" s="157" t="s">
        <v>518</v>
      </c>
      <c r="F44" s="158" t="s">
        <v>655</v>
      </c>
      <c r="G44" s="157">
        <v>3</v>
      </c>
      <c r="H44" s="157" t="s">
        <v>24</v>
      </c>
      <c r="I44" s="182">
        <v>3</v>
      </c>
      <c r="J44" s="183"/>
      <c r="K44" s="183"/>
      <c r="L44" s="2239"/>
      <c r="M44" s="163">
        <v>1</v>
      </c>
      <c r="N44" s="166">
        <v>12600</v>
      </c>
      <c r="O44" s="173">
        <v>0.6</v>
      </c>
      <c r="P44" s="166">
        <f t="shared" si="0"/>
        <v>5040</v>
      </c>
      <c r="Q44" s="166">
        <f t="shared" si="1"/>
        <v>15120</v>
      </c>
      <c r="R44" s="167">
        <f t="shared" si="2"/>
        <v>2.2464589448747654E-2</v>
      </c>
      <c r="S44" s="503">
        <f>Q44*2</f>
        <v>30240</v>
      </c>
      <c r="T44" s="394">
        <f>S44</f>
        <v>30240</v>
      </c>
      <c r="V44" s="169"/>
      <c r="X44" s="286"/>
      <c r="Y44" s="394"/>
      <c r="Z44" s="395">
        <f>S44</f>
        <v>30240</v>
      </c>
      <c r="AA44" s="172"/>
      <c r="AB44" s="172"/>
      <c r="AC44" s="174"/>
      <c r="AD44" s="174"/>
      <c r="AE44" s="174"/>
      <c r="AF44" s="172"/>
      <c r="AG44" s="172"/>
      <c r="AH44" s="174">
        <f>S44</f>
        <v>30240</v>
      </c>
      <c r="AI44" s="172"/>
      <c r="AJ44" s="172"/>
    </row>
    <row r="45" spans="1:36" x14ac:dyDescent="0.3">
      <c r="A45" s="157" t="s">
        <v>1151</v>
      </c>
      <c r="B45" s="157" t="s">
        <v>108</v>
      </c>
      <c r="C45" s="157" t="s">
        <v>1019</v>
      </c>
      <c r="D45" s="157" t="s">
        <v>29</v>
      </c>
      <c r="E45" s="157" t="s">
        <v>524</v>
      </c>
      <c r="F45" s="158" t="s">
        <v>654</v>
      </c>
      <c r="G45" s="157">
        <v>1</v>
      </c>
      <c r="H45" s="157" t="s">
        <v>24</v>
      </c>
      <c r="I45" s="182">
        <v>1</v>
      </c>
      <c r="J45" s="183"/>
      <c r="K45" s="183"/>
      <c r="L45" s="2239"/>
      <c r="M45" s="163">
        <v>1</v>
      </c>
      <c r="N45" s="166">
        <v>35000</v>
      </c>
      <c r="O45" s="173">
        <v>0.2</v>
      </c>
      <c r="P45" s="166">
        <f t="shared" si="0"/>
        <v>28000</v>
      </c>
      <c r="Q45" s="166">
        <f t="shared" si="1"/>
        <v>28000</v>
      </c>
      <c r="R45" s="184">
        <f t="shared" si="2"/>
        <v>4.1601091571754914E-2</v>
      </c>
      <c r="S45" s="503">
        <f>Q45*2</f>
        <v>56000</v>
      </c>
      <c r="T45" s="394">
        <f>S45</f>
        <v>56000</v>
      </c>
      <c r="V45" s="169"/>
      <c r="X45" s="286"/>
      <c r="Y45" s="394">
        <f>S45</f>
        <v>56000</v>
      </c>
      <c r="Z45" s="286"/>
      <c r="AA45" s="172"/>
      <c r="AB45" s="172"/>
      <c r="AC45" s="174"/>
      <c r="AD45" s="174"/>
      <c r="AE45" s="174"/>
      <c r="AF45" s="172"/>
      <c r="AG45" s="172"/>
      <c r="AH45" s="172"/>
      <c r="AI45" s="174">
        <f>S45</f>
        <v>56000</v>
      </c>
      <c r="AJ45" s="172"/>
    </row>
    <row r="46" spans="1:36" x14ac:dyDescent="0.3">
      <c r="A46" s="157" t="s">
        <v>1151</v>
      </c>
      <c r="B46" s="157" t="s">
        <v>108</v>
      </c>
      <c r="C46" s="157" t="s">
        <v>1019</v>
      </c>
      <c r="D46" s="157" t="s">
        <v>29</v>
      </c>
      <c r="E46" s="157" t="s">
        <v>524</v>
      </c>
      <c r="F46" s="158" t="s">
        <v>654</v>
      </c>
      <c r="G46" s="157">
        <v>1</v>
      </c>
      <c r="H46" s="157" t="s">
        <v>24</v>
      </c>
      <c r="I46" s="182">
        <v>1</v>
      </c>
      <c r="J46" s="183"/>
      <c r="K46" s="183"/>
      <c r="L46" s="2239"/>
      <c r="M46" s="163">
        <v>1</v>
      </c>
      <c r="N46" s="166">
        <v>43000</v>
      </c>
      <c r="O46" s="173">
        <v>0.2</v>
      </c>
      <c r="P46" s="166">
        <f t="shared" si="0"/>
        <v>34400</v>
      </c>
      <c r="Q46" s="166">
        <f t="shared" si="1"/>
        <v>34400</v>
      </c>
      <c r="R46" s="184">
        <f t="shared" si="2"/>
        <v>5.1109912502441748E-2</v>
      </c>
      <c r="S46" s="503">
        <f>Q46*2</f>
        <v>68800</v>
      </c>
      <c r="T46" s="394">
        <f>S46</f>
        <v>68800</v>
      </c>
      <c r="V46" s="169"/>
      <c r="X46" s="286"/>
      <c r="Y46" s="394">
        <f>S46</f>
        <v>68800</v>
      </c>
      <c r="Z46" s="286"/>
      <c r="AA46" s="172"/>
      <c r="AB46" s="172"/>
      <c r="AC46" s="174"/>
      <c r="AD46" s="174"/>
      <c r="AE46" s="174"/>
      <c r="AF46" s="172"/>
      <c r="AG46" s="172"/>
      <c r="AH46" s="172"/>
      <c r="AI46" s="174">
        <f>S46</f>
        <v>68800</v>
      </c>
      <c r="AJ46" s="172"/>
    </row>
    <row r="47" spans="1:36" x14ac:dyDescent="0.3">
      <c r="A47" s="157" t="s">
        <v>1151</v>
      </c>
      <c r="B47" s="157" t="s">
        <v>111</v>
      </c>
      <c r="C47" s="157" t="s">
        <v>1153</v>
      </c>
      <c r="D47" s="157" t="s">
        <v>284</v>
      </c>
      <c r="E47" s="157" t="s">
        <v>518</v>
      </c>
      <c r="F47" s="158" t="s">
        <v>285</v>
      </c>
      <c r="G47" s="157">
        <v>1</v>
      </c>
      <c r="H47" s="157" t="s">
        <v>22</v>
      </c>
      <c r="I47" s="1"/>
      <c r="J47" s="183">
        <v>63</v>
      </c>
      <c r="K47" s="1"/>
      <c r="L47" s="286"/>
      <c r="M47" s="163">
        <v>1</v>
      </c>
      <c r="N47" s="166">
        <v>90935.46</v>
      </c>
      <c r="O47" s="173">
        <v>0.43</v>
      </c>
      <c r="P47" s="166">
        <f t="shared" si="0"/>
        <v>51833.212200000009</v>
      </c>
      <c r="Q47" s="166">
        <f t="shared" si="1"/>
        <v>51833.212200000009</v>
      </c>
      <c r="R47" s="393">
        <f>Q47/$Q$53</f>
        <v>7.7011364542514435E-2</v>
      </c>
      <c r="S47" s="503">
        <f>Q47*2</f>
        <v>103666.42440000002</v>
      </c>
      <c r="T47" s="188"/>
      <c r="V47" s="169">
        <f>S47</f>
        <v>103666.42440000002</v>
      </c>
      <c r="X47" s="286"/>
      <c r="Y47" s="394"/>
      <c r="Z47" s="395">
        <f>S47</f>
        <v>103666.42440000002</v>
      </c>
      <c r="AA47" s="172"/>
      <c r="AB47" s="172"/>
      <c r="AC47" s="172"/>
      <c r="AD47" s="172"/>
      <c r="AE47" s="172"/>
      <c r="AF47" s="172"/>
      <c r="AG47" s="172"/>
      <c r="AH47" s="172"/>
      <c r="AI47" s="172"/>
      <c r="AJ47" s="174">
        <f>S47</f>
        <v>103666.42440000002</v>
      </c>
    </row>
    <row r="48" spans="1:36" x14ac:dyDescent="0.3">
      <c r="A48" s="157" t="s">
        <v>1151</v>
      </c>
      <c r="B48" s="157" t="s">
        <v>278</v>
      </c>
      <c r="C48" s="157" t="s">
        <v>1017</v>
      </c>
      <c r="D48" s="157" t="s">
        <v>29</v>
      </c>
      <c r="E48" s="157" t="s">
        <v>520</v>
      </c>
      <c r="F48" s="158" t="s">
        <v>654</v>
      </c>
      <c r="G48" s="157">
        <v>1</v>
      </c>
      <c r="H48" s="157" t="s">
        <v>24</v>
      </c>
      <c r="I48" s="182">
        <v>1</v>
      </c>
      <c r="J48" s="183"/>
      <c r="K48" s="183"/>
      <c r="L48" s="2239"/>
      <c r="M48" s="163">
        <v>1</v>
      </c>
      <c r="N48" s="166">
        <v>38000</v>
      </c>
      <c r="O48" s="173">
        <v>0.3</v>
      </c>
      <c r="P48" s="166">
        <f t="shared" si="0"/>
        <v>26600</v>
      </c>
      <c r="Q48" s="166">
        <f t="shared" si="1"/>
        <v>26600</v>
      </c>
      <c r="R48" s="184">
        <f>Q48/$Q$53</f>
        <v>3.9521036993167169E-2</v>
      </c>
      <c r="S48" s="503">
        <f t="shared" ref="S48" si="7">Q48*2</f>
        <v>53200</v>
      </c>
      <c r="T48" s="394">
        <f t="shared" ref="T48" si="8">S48</f>
        <v>53200</v>
      </c>
      <c r="X48" s="286"/>
      <c r="Y48" s="394">
        <f>S48</f>
        <v>53200</v>
      </c>
      <c r="Z48" s="395"/>
      <c r="AA48" s="172"/>
      <c r="AB48" s="172"/>
      <c r="AC48" s="174">
        <f>S48</f>
        <v>53200</v>
      </c>
      <c r="AD48" s="172"/>
      <c r="AE48" s="174"/>
      <c r="AF48" s="172"/>
      <c r="AG48" s="172"/>
      <c r="AH48" s="172"/>
      <c r="AI48" s="172"/>
      <c r="AJ48" s="172"/>
    </row>
    <row r="49" spans="1:36" x14ac:dyDescent="0.3">
      <c r="A49" s="172"/>
      <c r="B49" s="157"/>
      <c r="C49" s="190"/>
      <c r="D49" s="190"/>
      <c r="E49" s="190"/>
      <c r="F49" s="191"/>
      <c r="G49" s="190"/>
      <c r="H49" s="190"/>
      <c r="I49" s="245"/>
      <c r="J49" s="245"/>
      <c r="K49" s="245"/>
      <c r="L49" s="287"/>
      <c r="M49" s="190"/>
      <c r="N49" s="194"/>
      <c r="O49" s="195"/>
      <c r="P49" s="194"/>
      <c r="Q49" s="166"/>
      <c r="R49" s="393"/>
      <c r="S49" s="503"/>
      <c r="T49" s="188"/>
      <c r="X49" s="286"/>
      <c r="Y49" s="188"/>
      <c r="Z49" s="286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</row>
    <row r="50" spans="1:36" x14ac:dyDescent="0.3">
      <c r="A50" s="108" t="s">
        <v>1151</v>
      </c>
      <c r="B50" s="108" t="s">
        <v>528</v>
      </c>
      <c r="C50" s="289"/>
      <c r="D50" s="252"/>
      <c r="E50" s="252"/>
      <c r="F50" s="253"/>
      <c r="G50" s="252"/>
      <c r="H50" s="252"/>
      <c r="I50" s="254"/>
      <c r="J50" s="254"/>
      <c r="K50" s="254"/>
      <c r="L50" s="254"/>
      <c r="M50" s="252"/>
      <c r="N50" s="255"/>
      <c r="O50" s="256"/>
      <c r="P50" s="290"/>
      <c r="Q50" s="257">
        <v>25000</v>
      </c>
      <c r="R50" s="291">
        <f>Q50/Q53</f>
        <v>3.714383176049546E-2</v>
      </c>
      <c r="S50" s="503">
        <f>Q50*2</f>
        <v>50000</v>
      </c>
      <c r="T50" s="188"/>
      <c r="W50" s="169">
        <f>S50</f>
        <v>50000</v>
      </c>
      <c r="X50" s="286"/>
      <c r="Y50" s="188"/>
      <c r="Z50" s="286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</row>
    <row r="51" spans="1:36" x14ac:dyDescent="0.3">
      <c r="A51" s="108" t="s">
        <v>1151</v>
      </c>
      <c r="B51" s="108" t="s">
        <v>529</v>
      </c>
      <c r="C51" s="289"/>
      <c r="D51" s="252"/>
      <c r="E51" s="252"/>
      <c r="F51" s="253"/>
      <c r="G51" s="252"/>
      <c r="H51" s="252"/>
      <c r="I51" s="254"/>
      <c r="J51" s="254"/>
      <c r="K51" s="254"/>
      <c r="L51" s="254"/>
      <c r="M51" s="252"/>
      <c r="N51" s="255"/>
      <c r="O51" s="256"/>
      <c r="P51" s="290"/>
      <c r="Q51" s="257">
        <v>17000</v>
      </c>
      <c r="R51" s="291">
        <f>Q51/Q53</f>
        <v>2.5257805597136911E-2</v>
      </c>
      <c r="S51" s="503">
        <f t="shared" si="3"/>
        <v>34000</v>
      </c>
      <c r="T51" s="188"/>
      <c r="X51" s="395">
        <f>S51</f>
        <v>34000</v>
      </c>
      <c r="Y51" s="188"/>
      <c r="Z51" s="286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</row>
    <row r="52" spans="1:36" x14ac:dyDescent="0.3">
      <c r="S52" s="166"/>
      <c r="T52" s="188"/>
      <c r="X52" s="286"/>
      <c r="Y52" s="188"/>
      <c r="Z52" s="286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</row>
    <row r="53" spans="1:36" x14ac:dyDescent="0.3">
      <c r="A53" s="212" t="s">
        <v>531</v>
      </c>
      <c r="B53" s="213"/>
      <c r="C53" s="213"/>
      <c r="D53" s="213"/>
      <c r="E53" s="213"/>
      <c r="F53" s="214"/>
      <c r="G53" s="213"/>
      <c r="H53" s="213"/>
      <c r="I53" s="213">
        <f>I48+I47+I46+I45+I44+I43+I42+I41+I40+I39+I37+I36</f>
        <v>42</v>
      </c>
      <c r="J53" s="213">
        <f>J47</f>
        <v>63</v>
      </c>
      <c r="K53" s="213">
        <f>K41+K38+K35</f>
        <v>23</v>
      </c>
      <c r="L53" s="213"/>
      <c r="M53" s="213">
        <f>SUM(I53:L53)</f>
        <v>128</v>
      </c>
      <c r="N53" s="215"/>
      <c r="O53" s="216"/>
      <c r="P53" s="215"/>
      <c r="Q53" s="481">
        <f>SUM(Q34:Q52)</f>
        <v>673059.2622</v>
      </c>
      <c r="R53" s="218">
        <f>SUM(R34:R51)</f>
        <v>1</v>
      </c>
      <c r="S53" s="508">
        <f>SUM(S34:S52)</f>
        <v>1346118.5244</v>
      </c>
      <c r="T53" s="509">
        <f>SUM(T34:T51)</f>
        <v>898914.6</v>
      </c>
      <c r="U53" s="294">
        <f t="shared" ref="U53:Z53" si="9">SUM(U34:U51)</f>
        <v>144000</v>
      </c>
      <c r="V53" s="294">
        <f t="shared" si="9"/>
        <v>219203.92440000002</v>
      </c>
      <c r="W53" s="294">
        <f t="shared" si="9"/>
        <v>50000</v>
      </c>
      <c r="X53" s="294">
        <f t="shared" si="9"/>
        <v>34000</v>
      </c>
      <c r="Y53" s="482">
        <f>SUM(Y34:Y51)</f>
        <v>892172.1</v>
      </c>
      <c r="Z53" s="483">
        <f t="shared" si="9"/>
        <v>417994.42440000002</v>
      </c>
      <c r="AA53" s="226">
        <f>SUM(AA33:AA52)</f>
        <v>298166</v>
      </c>
      <c r="AB53" s="226">
        <f t="shared" ref="AB53:AJ53" si="10">SUM(AB33:AB52)</f>
        <v>144000</v>
      </c>
      <c r="AC53" s="226">
        <f t="shared" si="10"/>
        <v>381438.1</v>
      </c>
      <c r="AD53" s="226">
        <f t="shared" si="10"/>
        <v>98999.999999999985</v>
      </c>
      <c r="AE53" s="226">
        <f t="shared" si="10"/>
        <v>32760.000000000007</v>
      </c>
      <c r="AF53" s="226">
        <f t="shared" si="10"/>
        <v>48048</v>
      </c>
      <c r="AG53" s="226">
        <f t="shared" si="10"/>
        <v>115537.5</v>
      </c>
      <c r="AH53" s="226">
        <f t="shared" si="10"/>
        <v>30240</v>
      </c>
      <c r="AI53" s="226">
        <f t="shared" si="10"/>
        <v>124800</v>
      </c>
      <c r="AJ53" s="226">
        <f t="shared" si="10"/>
        <v>103666.42440000002</v>
      </c>
    </row>
    <row r="54" spans="1:36" x14ac:dyDescent="0.3">
      <c r="A54" s="228" t="s">
        <v>532</v>
      </c>
      <c r="B54" s="229"/>
      <c r="C54" s="229"/>
      <c r="D54" s="229"/>
      <c r="E54" s="229"/>
      <c r="F54" s="230"/>
      <c r="G54" s="229"/>
      <c r="H54" s="229"/>
      <c r="I54" s="229">
        <f>I48+I47+I46+I45+I44+I43+I42+I41+I40+I39+I37+I36</f>
        <v>42</v>
      </c>
      <c r="J54" s="229">
        <f>I48+I46+I45+I44+I43+I42+I40+I39+I37+I36+J47</f>
        <v>102</v>
      </c>
      <c r="K54" s="229">
        <f>I48+K47+I46+I45+I44+I43+K41+I40+K38+I36+K35</f>
        <v>35</v>
      </c>
      <c r="L54" s="229">
        <f>I48+I46+I45+I44+I43+I40+K38+I36+K35</f>
        <v>32</v>
      </c>
      <c r="M54" s="229">
        <f>SUM(I54:L54)</f>
        <v>211</v>
      </c>
      <c r="N54" s="231"/>
      <c r="O54" s="232"/>
      <c r="P54" s="231"/>
      <c r="Q54" s="231"/>
      <c r="R54" s="233"/>
      <c r="S54" s="510">
        <f>Q53/M53</f>
        <v>5258.2754859375</v>
      </c>
      <c r="T54" s="1491">
        <f>T53/S53</f>
        <v>0.6677826533890614</v>
      </c>
      <c r="U54" s="236">
        <f>U53/S53</f>
        <v>0.10697423547022691</v>
      </c>
      <c r="V54" s="1533">
        <f>V53/S53</f>
        <v>0.16284147378307931</v>
      </c>
      <c r="W54" s="236">
        <f>W53/S53</f>
        <v>3.714383176049546E-2</v>
      </c>
      <c r="X54" s="236">
        <f>X53/S53</f>
        <v>2.5257805597136911E-2</v>
      </c>
      <c r="Y54" s="272">
        <f>Y53/S53</f>
        <v>0.66277380767615857</v>
      </c>
      <c r="Z54" s="485">
        <f>Z53/S53</f>
        <v>0.31051829153477478</v>
      </c>
      <c r="AA54" s="2158"/>
      <c r="AB54" s="241"/>
      <c r="AC54" s="241"/>
      <c r="AD54" s="241"/>
      <c r="AE54" s="241"/>
      <c r="AF54" s="241"/>
      <c r="AG54" s="241"/>
      <c r="AH54" s="241"/>
      <c r="AI54" s="241"/>
      <c r="AJ54" s="241"/>
    </row>
    <row r="55" spans="1:36" x14ac:dyDescent="0.3">
      <c r="A55" s="243" t="s">
        <v>533</v>
      </c>
      <c r="B55" s="193"/>
      <c r="C55" s="193"/>
      <c r="D55" s="193"/>
      <c r="E55" s="193"/>
      <c r="F55" s="244"/>
      <c r="G55" s="193"/>
      <c r="H55" s="193"/>
      <c r="I55" s="245"/>
      <c r="J55" s="245"/>
      <c r="K55" s="245"/>
      <c r="L55" s="245"/>
      <c r="M55" s="193"/>
      <c r="N55" s="246"/>
      <c r="O55" s="196"/>
      <c r="P55" s="246"/>
      <c r="Q55" s="194">
        <f>T53/2</f>
        <v>449457.3</v>
      </c>
      <c r="R55" s="247">
        <f>Q55/Q60</f>
        <v>0.6677826533890614</v>
      </c>
      <c r="X55" s="248"/>
      <c r="Y55" s="1731">
        <f>K35+I37+I39+I40+I43+I45+I46+I48+I46</f>
        <v>43</v>
      </c>
      <c r="Z55" s="1732">
        <f>I36+K38+I41+K41+I42+I44+J47</f>
        <v>86</v>
      </c>
      <c r="AA55" s="4"/>
    </row>
    <row r="56" spans="1:36" x14ac:dyDescent="0.3">
      <c r="A56" s="251" t="s">
        <v>11</v>
      </c>
      <c r="B56" s="252"/>
      <c r="C56" s="252"/>
      <c r="D56" s="252"/>
      <c r="E56" s="252"/>
      <c r="F56" s="253"/>
      <c r="G56" s="252"/>
      <c r="H56" s="252"/>
      <c r="I56" s="254"/>
      <c r="J56" s="254"/>
      <c r="K56" s="254"/>
      <c r="L56" s="254"/>
      <c r="M56" s="252"/>
      <c r="N56" s="255"/>
      <c r="O56" s="256"/>
      <c r="P56" s="255"/>
      <c r="Q56" s="257">
        <f>U53/2</f>
        <v>72000</v>
      </c>
      <c r="R56" s="262">
        <f>Q56/Q60</f>
        <v>0.10697423547022691</v>
      </c>
      <c r="S56" s="2000">
        <f>Q53/M53</f>
        <v>5258.2754859375</v>
      </c>
      <c r="T56" s="1739" t="s">
        <v>535</v>
      </c>
      <c r="Y56" s="195">
        <f>Y55/M53</f>
        <v>0.3359375</v>
      </c>
      <c r="Z56" s="247">
        <f>Z55/M53</f>
        <v>0.671875</v>
      </c>
    </row>
    <row r="57" spans="1:36" x14ac:dyDescent="0.3">
      <c r="A57" s="251" t="s">
        <v>536</v>
      </c>
      <c r="B57" s="252"/>
      <c r="C57" s="252"/>
      <c r="D57" s="252"/>
      <c r="E57" s="252"/>
      <c r="F57" s="253"/>
      <c r="G57" s="252"/>
      <c r="H57" s="252"/>
      <c r="I57" s="254"/>
      <c r="J57" s="254"/>
      <c r="K57" s="254"/>
      <c r="L57" s="254"/>
      <c r="M57" s="252"/>
      <c r="N57" s="255"/>
      <c r="O57" s="256"/>
      <c r="P57" s="255"/>
      <c r="Q57" s="257">
        <f>V53/2</f>
        <v>109601.96220000001</v>
      </c>
      <c r="R57" s="262">
        <f>Q57/Q60</f>
        <v>0.16284147378307931</v>
      </c>
      <c r="W57" s="99"/>
      <c r="Y57" s="2889" t="s">
        <v>537</v>
      </c>
      <c r="Z57" s="2890"/>
    </row>
    <row r="58" spans="1:36" x14ac:dyDescent="0.3">
      <c r="A58" s="251" t="s">
        <v>529</v>
      </c>
      <c r="B58" s="252"/>
      <c r="C58" s="252"/>
      <c r="D58" s="252"/>
      <c r="E58" s="252"/>
      <c r="F58" s="253"/>
      <c r="G58" s="252"/>
      <c r="H58" s="252"/>
      <c r="I58" s="254"/>
      <c r="J58" s="254"/>
      <c r="K58" s="254"/>
      <c r="L58" s="254"/>
      <c r="M58" s="252"/>
      <c r="N58" s="255"/>
      <c r="O58" s="256"/>
      <c r="P58" s="255"/>
      <c r="Q58" s="257">
        <f>X53/2</f>
        <v>17000</v>
      </c>
      <c r="R58" s="262">
        <f>Q58/Q60</f>
        <v>2.5257805597136911E-2</v>
      </c>
    </row>
    <row r="59" spans="1:36" x14ac:dyDescent="0.3">
      <c r="A59" s="251" t="s">
        <v>528</v>
      </c>
      <c r="B59" s="252"/>
      <c r="C59" s="252"/>
      <c r="D59" s="252"/>
      <c r="E59" s="252"/>
      <c r="F59" s="253"/>
      <c r="G59" s="252"/>
      <c r="H59" s="252"/>
      <c r="I59" s="254"/>
      <c r="J59" s="254"/>
      <c r="K59" s="254"/>
      <c r="L59" s="254"/>
      <c r="M59" s="252"/>
      <c r="N59" s="255"/>
      <c r="O59" s="256"/>
      <c r="P59" s="255"/>
      <c r="Q59" s="257">
        <f>W53/2</f>
        <v>25000</v>
      </c>
      <c r="R59" s="262">
        <f>Q59/Q60</f>
        <v>3.714383176049546E-2</v>
      </c>
    </row>
    <row r="60" spans="1:36" x14ac:dyDescent="0.3">
      <c r="A60" s="251"/>
      <c r="B60" s="252"/>
      <c r="C60" s="252"/>
      <c r="D60" s="252"/>
      <c r="E60" s="252"/>
      <c r="F60" s="253"/>
      <c r="G60" s="252"/>
      <c r="H60" s="252"/>
      <c r="I60" s="254"/>
      <c r="J60" s="254"/>
      <c r="K60" s="254"/>
      <c r="L60" s="254"/>
      <c r="M60" s="252"/>
      <c r="N60" s="255"/>
      <c r="O60" s="256"/>
      <c r="P60" s="255"/>
      <c r="Q60" s="264">
        <f>SUM(Q55:Q59)</f>
        <v>673059.2622</v>
      </c>
      <c r="R60" s="262">
        <f>SUM(R55:R59)</f>
        <v>1</v>
      </c>
    </row>
    <row r="63" spans="1:36" x14ac:dyDescent="0.3">
      <c r="A63" s="2587" t="s">
        <v>480</v>
      </c>
      <c r="B63" s="2588"/>
      <c r="C63" s="2588"/>
      <c r="D63" s="2588"/>
      <c r="E63" s="2588"/>
      <c r="F63" s="2588"/>
      <c r="G63" s="2588"/>
      <c r="H63" s="2588"/>
      <c r="I63" s="2588"/>
      <c r="J63" s="2588"/>
      <c r="K63" s="2588"/>
      <c r="L63" s="2588"/>
      <c r="M63" s="2588"/>
      <c r="N63" s="2588"/>
      <c r="O63" s="2588"/>
      <c r="P63" s="2588"/>
      <c r="Q63" s="2588"/>
      <c r="R63" s="2588"/>
      <c r="S63" s="2560" t="s">
        <v>878</v>
      </c>
      <c r="T63" s="2561"/>
      <c r="U63" s="2561"/>
      <c r="V63" s="2561"/>
      <c r="W63" s="2561"/>
      <c r="X63" s="2561"/>
      <c r="Y63" s="2561"/>
      <c r="Z63" s="2561"/>
      <c r="AA63" s="2561"/>
      <c r="AB63" s="2561"/>
      <c r="AC63" s="2561"/>
      <c r="AD63" s="2561"/>
      <c r="AE63" s="2561"/>
      <c r="AF63" s="2561"/>
      <c r="AG63" s="2561"/>
      <c r="AH63" s="2561"/>
      <c r="AI63" s="2561"/>
      <c r="AJ63" s="2561"/>
    </row>
    <row r="64" spans="1:36" ht="18" x14ac:dyDescent="0.3">
      <c r="A64" s="2284" t="s">
        <v>482</v>
      </c>
      <c r="B64" s="2286" t="s">
        <v>483</v>
      </c>
      <c r="C64" s="2286" t="s">
        <v>484</v>
      </c>
      <c r="D64" s="2286" t="s">
        <v>485</v>
      </c>
      <c r="E64" s="2286" t="s">
        <v>486</v>
      </c>
      <c r="F64" s="2288" t="s">
        <v>487</v>
      </c>
      <c r="G64" s="2288" t="s">
        <v>1135</v>
      </c>
      <c r="H64" s="2286" t="s">
        <v>489</v>
      </c>
      <c r="I64" s="2945" t="s">
        <v>490</v>
      </c>
      <c r="J64" s="2946"/>
      <c r="K64" s="2946"/>
      <c r="L64" s="2947"/>
      <c r="M64" s="265" t="s">
        <v>491</v>
      </c>
      <c r="N64" s="266" t="s">
        <v>492</v>
      </c>
      <c r="O64" s="1925" t="s">
        <v>493</v>
      </c>
      <c r="P64" s="266" t="s">
        <v>492</v>
      </c>
      <c r="Q64" s="266" t="s">
        <v>494</v>
      </c>
      <c r="R64" s="1926" t="s">
        <v>495</v>
      </c>
      <c r="S64" s="1927" t="s">
        <v>496</v>
      </c>
      <c r="T64" s="2948" t="s">
        <v>497</v>
      </c>
      <c r="U64" s="2948"/>
      <c r="V64" s="2948"/>
      <c r="W64" s="2948"/>
      <c r="X64" s="2948"/>
      <c r="Y64" s="2950" t="s">
        <v>498</v>
      </c>
      <c r="Z64" s="2948"/>
      <c r="AA64" s="2966" t="s">
        <v>499</v>
      </c>
      <c r="AB64" s="2948"/>
      <c r="AC64" s="2948"/>
      <c r="AD64" s="2948"/>
      <c r="AE64" s="2948"/>
      <c r="AF64" s="2948"/>
      <c r="AG64" s="2948"/>
      <c r="AH64" s="2948"/>
      <c r="AI64" s="2948"/>
      <c r="AJ64" s="2948"/>
    </row>
    <row r="65" spans="1:36" ht="18" x14ac:dyDescent="0.3">
      <c r="A65" s="2285"/>
      <c r="B65" s="2287"/>
      <c r="C65" s="2287"/>
      <c r="D65" s="2287"/>
      <c r="E65" s="2287"/>
      <c r="F65" s="2289"/>
      <c r="G65" s="2289"/>
      <c r="H65" s="2287"/>
      <c r="I65" s="269" t="s">
        <v>500</v>
      </c>
      <c r="J65" s="269" t="s">
        <v>501</v>
      </c>
      <c r="K65" s="269" t="s">
        <v>502</v>
      </c>
      <c r="L65" s="269" t="s">
        <v>503</v>
      </c>
      <c r="M65" s="270" t="s">
        <v>504</v>
      </c>
      <c r="N65" s="271" t="s">
        <v>505</v>
      </c>
      <c r="O65" s="1928" t="s">
        <v>506</v>
      </c>
      <c r="P65" s="271" t="s">
        <v>507</v>
      </c>
      <c r="Q65" s="271" t="s">
        <v>507</v>
      </c>
      <c r="R65" s="1929"/>
      <c r="S65" s="1930" t="s">
        <v>508</v>
      </c>
      <c r="T65" s="2949"/>
      <c r="U65" s="2949"/>
      <c r="V65" s="2949"/>
      <c r="W65" s="2949"/>
      <c r="X65" s="2949"/>
      <c r="Y65" s="2952"/>
      <c r="Z65" s="2949"/>
      <c r="AA65" s="2967"/>
      <c r="AB65" s="2949"/>
      <c r="AC65" s="2949"/>
      <c r="AD65" s="2949"/>
      <c r="AE65" s="2949"/>
      <c r="AF65" s="2949"/>
      <c r="AG65" s="2949"/>
      <c r="AH65" s="2949"/>
      <c r="AI65" s="2949"/>
      <c r="AJ65" s="2949"/>
    </row>
    <row r="66" spans="1:36" ht="15.6" x14ac:dyDescent="0.3">
      <c r="A66" s="2943" t="s">
        <v>509</v>
      </c>
      <c r="B66" s="2944"/>
      <c r="C66" s="2944"/>
      <c r="D66" s="2944"/>
      <c r="E66" s="2944"/>
      <c r="F66" s="2944"/>
      <c r="G66" s="2944"/>
      <c r="H66" s="2944"/>
      <c r="I66" s="2944"/>
      <c r="J66" s="2944"/>
      <c r="K66" s="2944"/>
      <c r="L66" s="2944"/>
      <c r="M66" s="2944"/>
      <c r="N66" s="2944"/>
      <c r="O66" s="2944"/>
      <c r="P66" s="2944"/>
      <c r="Q66" s="2944"/>
      <c r="R66" s="2944"/>
      <c r="S66" s="1931"/>
      <c r="T66" s="1932" t="s">
        <v>510</v>
      </c>
      <c r="U66" s="1932" t="s">
        <v>11</v>
      </c>
      <c r="V66" s="1932" t="s">
        <v>511</v>
      </c>
      <c r="W66" s="1932" t="s">
        <v>512</v>
      </c>
      <c r="X66" s="1932" t="s">
        <v>513</v>
      </c>
      <c r="Y66" s="1933" t="s">
        <v>514</v>
      </c>
      <c r="Z66" s="1934" t="s">
        <v>515</v>
      </c>
      <c r="AA66" s="2153" t="s">
        <v>289</v>
      </c>
      <c r="AB66" s="2153" t="s">
        <v>294</v>
      </c>
      <c r="AC66" s="2153" t="s">
        <v>290</v>
      </c>
      <c r="AD66" s="2153" t="s">
        <v>291</v>
      </c>
      <c r="AE66" s="2153" t="s">
        <v>292</v>
      </c>
      <c r="AF66" s="2153" t="s">
        <v>293</v>
      </c>
      <c r="AG66" s="2153" t="s">
        <v>205</v>
      </c>
      <c r="AH66" s="2159" t="s">
        <v>295</v>
      </c>
      <c r="AI66" s="2159" t="s">
        <v>5</v>
      </c>
      <c r="AJ66" s="2159" t="s">
        <v>0</v>
      </c>
    </row>
    <row r="67" spans="1:36" x14ac:dyDescent="0.3">
      <c r="A67" s="154"/>
      <c r="B67" s="462"/>
      <c r="C67" s="462"/>
      <c r="D67" s="462"/>
      <c r="E67" s="462"/>
      <c r="F67" s="463"/>
      <c r="G67" s="462"/>
      <c r="H67" s="462"/>
      <c r="I67" s="465"/>
      <c r="J67" s="465"/>
      <c r="K67" s="465"/>
      <c r="L67" s="465"/>
      <c r="M67" s="462"/>
      <c r="N67" s="468"/>
      <c r="O67" s="469"/>
      <c r="P67" s="468"/>
      <c r="Q67" s="468"/>
      <c r="R67" s="501"/>
      <c r="S67" s="166"/>
      <c r="T67" s="188"/>
      <c r="X67" s="286"/>
      <c r="Y67" s="188"/>
      <c r="Z67" s="286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</row>
    <row r="68" spans="1:36" x14ac:dyDescent="0.3">
      <c r="A68" s="157" t="s">
        <v>1151</v>
      </c>
      <c r="B68" s="157" t="s">
        <v>274</v>
      </c>
      <c r="C68" s="157" t="s">
        <v>1017</v>
      </c>
      <c r="D68" s="157" t="s">
        <v>275</v>
      </c>
      <c r="E68" s="157" t="s">
        <v>520</v>
      </c>
      <c r="F68" s="158" t="s">
        <v>1152</v>
      </c>
      <c r="G68" s="157">
        <v>19</v>
      </c>
      <c r="H68" s="157" t="s">
        <v>63</v>
      </c>
      <c r="I68" s="188"/>
      <c r="K68" s="161">
        <v>19</v>
      </c>
      <c r="L68" s="2209"/>
      <c r="M68" s="163">
        <v>1</v>
      </c>
      <c r="N68" s="166">
        <v>5627</v>
      </c>
      <c r="O68" s="173">
        <v>0.1</v>
      </c>
      <c r="P68" s="166">
        <f t="shared" ref="P68" si="11">N68*(1-O68)</f>
        <v>5064.3</v>
      </c>
      <c r="Q68" s="166">
        <f t="shared" ref="Q68:Q80" si="12">P68*M68*G68</f>
        <v>96221.7</v>
      </c>
      <c r="R68" s="184">
        <f t="shared" ref="R68:R80" si="13">Q68/$Q$85</f>
        <v>0.14286594276352005</v>
      </c>
      <c r="S68" s="503">
        <f>Q68</f>
        <v>96221.7</v>
      </c>
      <c r="T68" s="394">
        <f t="shared" ref="T68:T70" si="14">S68</f>
        <v>96221.7</v>
      </c>
      <c r="X68" s="286"/>
      <c r="Y68" s="394">
        <f>S68</f>
        <v>96221.7</v>
      </c>
      <c r="Z68" s="395"/>
      <c r="AA68" s="174">
        <f>S68</f>
        <v>96221.7</v>
      </c>
      <c r="AB68" s="172"/>
      <c r="AC68" s="172"/>
      <c r="AD68" s="174"/>
      <c r="AE68" s="174"/>
      <c r="AF68" s="172"/>
      <c r="AG68" s="172"/>
      <c r="AH68" s="172"/>
      <c r="AI68" s="172"/>
      <c r="AJ68" s="172"/>
    </row>
    <row r="69" spans="1:36" x14ac:dyDescent="0.3">
      <c r="A69" s="157" t="s">
        <v>1151</v>
      </c>
      <c r="B69" s="157" t="s">
        <v>274</v>
      </c>
      <c r="C69" s="157" t="s">
        <v>1017</v>
      </c>
      <c r="D69" s="157" t="s">
        <v>102</v>
      </c>
      <c r="E69" s="157" t="s">
        <v>518</v>
      </c>
      <c r="F69" s="158" t="s">
        <v>655</v>
      </c>
      <c r="G69" s="157">
        <v>2</v>
      </c>
      <c r="H69" s="157" t="s">
        <v>24</v>
      </c>
      <c r="I69" s="182">
        <v>2</v>
      </c>
      <c r="J69" s="183"/>
      <c r="K69" s="183"/>
      <c r="L69" s="2239"/>
      <c r="M69" s="163">
        <v>1</v>
      </c>
      <c r="N69" s="166">
        <v>15600</v>
      </c>
      <c r="O69" s="173">
        <v>0.05</v>
      </c>
      <c r="P69" s="166">
        <f>N69*(1-O69)</f>
        <v>14820</v>
      </c>
      <c r="Q69" s="166">
        <f t="shared" si="12"/>
        <v>29640</v>
      </c>
      <c r="R69" s="167">
        <f t="shared" si="13"/>
        <v>4.4008228325946586E-2</v>
      </c>
      <c r="S69" s="503">
        <f t="shared" ref="S69:S80" si="15">Q69</f>
        <v>29640</v>
      </c>
      <c r="T69" s="394">
        <f t="shared" si="14"/>
        <v>29640</v>
      </c>
      <c r="X69" s="286"/>
      <c r="Y69" s="394"/>
      <c r="Z69" s="395">
        <f>S69</f>
        <v>29640</v>
      </c>
      <c r="AA69" s="174">
        <f t="shared" ref="AA69:AA70" si="16">S69</f>
        <v>29640</v>
      </c>
      <c r="AB69" s="172"/>
      <c r="AC69" s="172"/>
      <c r="AD69" s="174"/>
      <c r="AE69" s="174"/>
      <c r="AF69" s="172"/>
      <c r="AG69" s="172"/>
      <c r="AH69" s="172"/>
      <c r="AI69" s="172"/>
      <c r="AJ69" s="172"/>
    </row>
    <row r="70" spans="1:36" x14ac:dyDescent="0.3">
      <c r="A70" s="157" t="s">
        <v>1151</v>
      </c>
      <c r="B70" s="157" t="s">
        <v>274</v>
      </c>
      <c r="C70" s="157" t="s">
        <v>1017</v>
      </c>
      <c r="D70" s="157" t="s">
        <v>26</v>
      </c>
      <c r="E70" s="157" t="s">
        <v>520</v>
      </c>
      <c r="F70" s="158" t="s">
        <v>910</v>
      </c>
      <c r="G70" s="157">
        <v>3</v>
      </c>
      <c r="H70" s="157" t="s">
        <v>24</v>
      </c>
      <c r="I70" s="182">
        <v>3</v>
      </c>
      <c r="J70" s="183"/>
      <c r="K70" s="183"/>
      <c r="L70" s="2239"/>
      <c r="M70" s="163">
        <v>1</v>
      </c>
      <c r="N70" s="166">
        <v>21500</v>
      </c>
      <c r="O70" s="173">
        <v>0.2</v>
      </c>
      <c r="P70" s="166">
        <f t="shared" ref="P70:P80" si="17">N70*(1-O70)</f>
        <v>17200</v>
      </c>
      <c r="Q70" s="166">
        <f t="shared" si="12"/>
        <v>51600</v>
      </c>
      <c r="R70" s="184">
        <f t="shared" si="13"/>
        <v>7.661351489942117E-2</v>
      </c>
      <c r="S70" s="503">
        <f t="shared" si="15"/>
        <v>51600</v>
      </c>
      <c r="T70" s="394">
        <f t="shared" si="14"/>
        <v>51600</v>
      </c>
      <c r="X70" s="286"/>
      <c r="Y70" s="394">
        <f>S70</f>
        <v>51600</v>
      </c>
      <c r="Z70" s="395"/>
      <c r="AA70" s="174">
        <f t="shared" si="16"/>
        <v>51600</v>
      </c>
      <c r="AB70" s="172"/>
      <c r="AC70" s="172"/>
      <c r="AD70" s="174"/>
      <c r="AE70" s="174"/>
      <c r="AF70" s="172"/>
      <c r="AG70" s="172"/>
      <c r="AH70" s="172"/>
      <c r="AI70" s="172"/>
      <c r="AJ70" s="172"/>
    </row>
    <row r="71" spans="1:36" x14ac:dyDescent="0.3">
      <c r="A71" s="157" t="s">
        <v>1151</v>
      </c>
      <c r="B71" s="157" t="s">
        <v>276</v>
      </c>
      <c r="C71" s="157" t="s">
        <v>1017</v>
      </c>
      <c r="D71" s="157" t="s">
        <v>277</v>
      </c>
      <c r="E71" s="157" t="s">
        <v>518</v>
      </c>
      <c r="F71" s="158" t="s">
        <v>203</v>
      </c>
      <c r="G71" s="157">
        <v>1</v>
      </c>
      <c r="H71" s="157" t="s">
        <v>63</v>
      </c>
      <c r="I71" s="188"/>
      <c r="K71" s="176">
        <v>10</v>
      </c>
      <c r="L71" s="177"/>
      <c r="M71" s="163">
        <v>1</v>
      </c>
      <c r="N71" s="166">
        <v>80000</v>
      </c>
      <c r="O71" s="173">
        <v>0.1</v>
      </c>
      <c r="P71" s="166">
        <f t="shared" si="17"/>
        <v>72000</v>
      </c>
      <c r="Q71" s="166">
        <f t="shared" si="12"/>
        <v>72000</v>
      </c>
      <c r="R71" s="167">
        <f t="shared" si="13"/>
        <v>0.1069025789294249</v>
      </c>
      <c r="S71" s="503">
        <f t="shared" si="15"/>
        <v>72000</v>
      </c>
      <c r="T71" s="394"/>
      <c r="U71" s="169">
        <f>S71</f>
        <v>72000</v>
      </c>
      <c r="X71" s="286"/>
      <c r="Y71" s="394"/>
      <c r="Z71" s="395">
        <f>S71</f>
        <v>72000</v>
      </c>
      <c r="AA71" s="172"/>
      <c r="AB71" s="174">
        <f>S71</f>
        <v>72000</v>
      </c>
      <c r="AC71" s="172"/>
      <c r="AD71" s="172"/>
      <c r="AE71" s="174"/>
      <c r="AF71" s="172"/>
      <c r="AG71" s="172"/>
      <c r="AH71" s="172"/>
      <c r="AI71" s="172"/>
      <c r="AJ71" s="172"/>
    </row>
    <row r="72" spans="1:36" x14ac:dyDescent="0.3">
      <c r="A72" s="157" t="s">
        <v>1151</v>
      </c>
      <c r="B72" s="157" t="s">
        <v>278</v>
      </c>
      <c r="C72" s="157" t="s">
        <v>1017</v>
      </c>
      <c r="D72" s="157" t="s">
        <v>275</v>
      </c>
      <c r="E72" s="157" t="s">
        <v>520</v>
      </c>
      <c r="F72" s="158" t="s">
        <v>1152</v>
      </c>
      <c r="G72" s="157">
        <v>30</v>
      </c>
      <c r="H72" s="157" t="s">
        <v>63</v>
      </c>
      <c r="I72" s="175">
        <v>30</v>
      </c>
      <c r="J72" s="688"/>
      <c r="L72" s="286"/>
      <c r="M72" s="163">
        <v>1</v>
      </c>
      <c r="N72" s="166">
        <v>5627</v>
      </c>
      <c r="O72" s="173">
        <v>0.1</v>
      </c>
      <c r="P72" s="166">
        <f t="shared" si="17"/>
        <v>5064.3</v>
      </c>
      <c r="Q72" s="166">
        <f t="shared" si="12"/>
        <v>151929</v>
      </c>
      <c r="R72" s="184">
        <f t="shared" si="13"/>
        <v>0.22557780436345271</v>
      </c>
      <c r="S72" s="503">
        <f t="shared" si="15"/>
        <v>151929</v>
      </c>
      <c r="T72" s="394">
        <f t="shared" ref="T72" si="18">S72</f>
        <v>151929</v>
      </c>
      <c r="X72" s="286"/>
      <c r="Y72" s="394">
        <f>S72</f>
        <v>151929</v>
      </c>
      <c r="Z72" s="395"/>
      <c r="AA72" s="172"/>
      <c r="AB72" s="172"/>
      <c r="AC72" s="174">
        <f>S72</f>
        <v>151929</v>
      </c>
      <c r="AD72" s="172"/>
      <c r="AE72" s="174"/>
      <c r="AF72" s="172"/>
      <c r="AG72" s="172"/>
      <c r="AH72" s="172"/>
      <c r="AI72" s="172"/>
      <c r="AJ72" s="172"/>
    </row>
    <row r="73" spans="1:36" x14ac:dyDescent="0.3">
      <c r="A73" s="157" t="s">
        <v>1151</v>
      </c>
      <c r="B73" s="157" t="s">
        <v>281</v>
      </c>
      <c r="C73" s="157" t="s">
        <v>1017</v>
      </c>
      <c r="D73" s="157" t="s">
        <v>102</v>
      </c>
      <c r="E73" s="157" t="s">
        <v>518</v>
      </c>
      <c r="F73" s="158" t="s">
        <v>655</v>
      </c>
      <c r="G73" s="157">
        <v>3</v>
      </c>
      <c r="H73" s="157" t="s">
        <v>22</v>
      </c>
      <c r="I73" s="182">
        <v>3</v>
      </c>
      <c r="K73" s="183">
        <v>3</v>
      </c>
      <c r="L73" s="286"/>
      <c r="M73" s="163">
        <v>2</v>
      </c>
      <c r="N73" s="166">
        <v>9100</v>
      </c>
      <c r="O73" s="173">
        <v>0.7</v>
      </c>
      <c r="P73" s="166">
        <f t="shared" si="17"/>
        <v>2730.0000000000005</v>
      </c>
      <c r="Q73" s="166">
        <f t="shared" si="12"/>
        <v>16380.000000000004</v>
      </c>
      <c r="R73" s="167">
        <f t="shared" si="13"/>
        <v>2.4320336706444168E-2</v>
      </c>
      <c r="S73" s="503">
        <f t="shared" si="15"/>
        <v>16380.000000000004</v>
      </c>
      <c r="T73" s="394">
        <f>S73</f>
        <v>16380.000000000004</v>
      </c>
      <c r="X73" s="286"/>
      <c r="Y73" s="394"/>
      <c r="Z73" s="395">
        <f>S73</f>
        <v>16380.000000000004</v>
      </c>
      <c r="AA73" s="172"/>
      <c r="AB73" s="172"/>
      <c r="AC73" s="172"/>
      <c r="AD73" s="172"/>
      <c r="AE73" s="174">
        <f>S73</f>
        <v>16380.000000000004</v>
      </c>
      <c r="AF73" s="172"/>
      <c r="AG73" s="172"/>
      <c r="AH73" s="172"/>
      <c r="AI73" s="172"/>
      <c r="AJ73" s="172"/>
    </row>
    <row r="74" spans="1:36" x14ac:dyDescent="0.3">
      <c r="A74" s="157" t="s">
        <v>1151</v>
      </c>
      <c r="B74" s="157" t="s">
        <v>282</v>
      </c>
      <c r="C74" s="157" t="s">
        <v>1017</v>
      </c>
      <c r="D74" s="157" t="s">
        <v>102</v>
      </c>
      <c r="E74" s="157" t="s">
        <v>518</v>
      </c>
      <c r="F74" s="158" t="s">
        <v>655</v>
      </c>
      <c r="G74" s="157">
        <v>2</v>
      </c>
      <c r="H74" s="157" t="s">
        <v>63</v>
      </c>
      <c r="I74" s="175">
        <v>2</v>
      </c>
      <c r="J74" s="688"/>
      <c r="L74" s="286"/>
      <c r="M74" s="163">
        <v>1</v>
      </c>
      <c r="N74" s="166">
        <v>18480</v>
      </c>
      <c r="O74" s="173">
        <v>0.35</v>
      </c>
      <c r="P74" s="166">
        <f t="shared" si="17"/>
        <v>12012</v>
      </c>
      <c r="Q74" s="166">
        <f t="shared" si="12"/>
        <v>24024</v>
      </c>
      <c r="R74" s="167">
        <f t="shared" si="13"/>
        <v>3.566982716945144E-2</v>
      </c>
      <c r="S74" s="503">
        <f t="shared" si="15"/>
        <v>24024</v>
      </c>
      <c r="T74" s="394">
        <f>S74</f>
        <v>24024</v>
      </c>
      <c r="U74" s="169"/>
      <c r="X74" s="286"/>
      <c r="Y74" s="394">
        <f>S74</f>
        <v>24024</v>
      </c>
      <c r="Z74" s="395">
        <f>S74</f>
        <v>24024</v>
      </c>
      <c r="AA74" s="172"/>
      <c r="AB74" s="172"/>
      <c r="AC74" s="172"/>
      <c r="AD74" s="172"/>
      <c r="AE74" s="172"/>
      <c r="AF74" s="174">
        <f>S74</f>
        <v>24024</v>
      </c>
      <c r="AG74" s="172"/>
      <c r="AH74" s="172"/>
      <c r="AI74" s="172"/>
      <c r="AJ74" s="172"/>
    </row>
    <row r="75" spans="1:36" x14ac:dyDescent="0.3">
      <c r="A75" s="157" t="s">
        <v>1151</v>
      </c>
      <c r="B75" s="157" t="s">
        <v>209</v>
      </c>
      <c r="C75" s="157" t="s">
        <v>1017</v>
      </c>
      <c r="D75" s="157" t="s">
        <v>26</v>
      </c>
      <c r="E75" s="157" t="s">
        <v>520</v>
      </c>
      <c r="F75" s="158" t="s">
        <v>910</v>
      </c>
      <c r="G75" s="157">
        <v>2</v>
      </c>
      <c r="H75" s="157" t="s">
        <v>24</v>
      </c>
      <c r="I75" s="2445">
        <v>2</v>
      </c>
      <c r="J75" s="726"/>
      <c r="K75" s="726"/>
      <c r="L75" s="727"/>
      <c r="M75" s="163">
        <v>1</v>
      </c>
      <c r="N75" s="166">
        <v>29625</v>
      </c>
      <c r="O75" s="173">
        <v>0.35</v>
      </c>
      <c r="P75" s="166">
        <f t="shared" si="17"/>
        <v>19256.25</v>
      </c>
      <c r="Q75" s="166">
        <f t="shared" si="12"/>
        <v>38512.5</v>
      </c>
      <c r="R75" s="184">
        <f t="shared" si="13"/>
        <v>5.7181744041937169E-2</v>
      </c>
      <c r="S75" s="503">
        <f t="shared" si="15"/>
        <v>38512.5</v>
      </c>
      <c r="T75" s="394"/>
      <c r="V75" s="169">
        <f>S75</f>
        <v>38512.5</v>
      </c>
      <c r="X75" s="286"/>
      <c r="Y75" s="394">
        <f>S75</f>
        <v>38512.5</v>
      </c>
      <c r="Z75" s="286"/>
      <c r="AA75" s="172"/>
      <c r="AB75" s="172"/>
      <c r="AC75" s="174"/>
      <c r="AD75" s="174"/>
      <c r="AE75" s="174"/>
      <c r="AF75" s="172"/>
      <c r="AG75" s="174">
        <f>S75</f>
        <v>38512.5</v>
      </c>
      <c r="AH75" s="172"/>
      <c r="AI75" s="172"/>
      <c r="AJ75" s="172"/>
    </row>
    <row r="76" spans="1:36" x14ac:dyDescent="0.3">
      <c r="A76" s="157" t="s">
        <v>1151</v>
      </c>
      <c r="B76" s="157" t="s">
        <v>283</v>
      </c>
      <c r="C76" s="157" t="s">
        <v>1017</v>
      </c>
      <c r="D76" s="157" t="s">
        <v>102</v>
      </c>
      <c r="E76" s="157" t="s">
        <v>518</v>
      </c>
      <c r="F76" s="158" t="s">
        <v>655</v>
      </c>
      <c r="G76" s="157">
        <v>2</v>
      </c>
      <c r="H76" s="157" t="s">
        <v>24</v>
      </c>
      <c r="I76" s="182">
        <v>2</v>
      </c>
      <c r="J76" s="183"/>
      <c r="K76" s="183"/>
      <c r="L76" s="2239"/>
      <c r="M76" s="163">
        <v>1</v>
      </c>
      <c r="N76" s="166">
        <v>12600</v>
      </c>
      <c r="O76" s="173">
        <v>0.6</v>
      </c>
      <c r="P76" s="166">
        <f t="shared" si="17"/>
        <v>5040</v>
      </c>
      <c r="Q76" s="166">
        <f t="shared" si="12"/>
        <v>10080</v>
      </c>
      <c r="R76" s="167">
        <f t="shared" si="13"/>
        <v>1.4966361050119486E-2</v>
      </c>
      <c r="S76" s="503">
        <f t="shared" si="15"/>
        <v>10080</v>
      </c>
      <c r="T76" s="394">
        <f>S76</f>
        <v>10080</v>
      </c>
      <c r="V76" s="169"/>
      <c r="X76" s="286"/>
      <c r="Y76" s="394"/>
      <c r="Z76" s="395">
        <f>S76</f>
        <v>10080</v>
      </c>
      <c r="AA76" s="172"/>
      <c r="AB76" s="172"/>
      <c r="AC76" s="174"/>
      <c r="AD76" s="174"/>
      <c r="AE76" s="174"/>
      <c r="AF76" s="172"/>
      <c r="AG76" s="172"/>
      <c r="AH76" s="174">
        <f>S76</f>
        <v>10080</v>
      </c>
      <c r="AI76" s="172"/>
      <c r="AJ76" s="172"/>
    </row>
    <row r="77" spans="1:36" x14ac:dyDescent="0.3">
      <c r="A77" s="157" t="s">
        <v>1151</v>
      </c>
      <c r="B77" s="157" t="s">
        <v>111</v>
      </c>
      <c r="C77" s="157" t="s">
        <v>1153</v>
      </c>
      <c r="D77" s="157" t="s">
        <v>284</v>
      </c>
      <c r="E77" s="157" t="s">
        <v>518</v>
      </c>
      <c r="F77" s="158" t="s">
        <v>285</v>
      </c>
      <c r="G77" s="157">
        <v>1</v>
      </c>
      <c r="H77" s="157" t="s">
        <v>22</v>
      </c>
      <c r="I77" s="1"/>
      <c r="J77" s="183">
        <v>63</v>
      </c>
      <c r="K77" s="1"/>
      <c r="L77" s="286"/>
      <c r="M77" s="163">
        <v>1</v>
      </c>
      <c r="N77" s="166">
        <v>90935.46</v>
      </c>
      <c r="O77" s="173">
        <v>0.43</v>
      </c>
      <c r="P77" s="166">
        <f t="shared" si="17"/>
        <v>51833.212200000009</v>
      </c>
      <c r="Q77" s="166">
        <f t="shared" si="12"/>
        <v>51833.212200000009</v>
      </c>
      <c r="R77" s="393">
        <f t="shared" si="13"/>
        <v>7.6959778588557362E-2</v>
      </c>
      <c r="S77" s="503">
        <f t="shared" si="15"/>
        <v>51833.212200000009</v>
      </c>
      <c r="T77" s="188"/>
      <c r="V77" s="169">
        <f>S77</f>
        <v>51833.212200000009</v>
      </c>
      <c r="X77" s="286"/>
      <c r="Y77" s="394"/>
      <c r="Z77" s="395">
        <f>S77</f>
        <v>51833.212200000009</v>
      </c>
      <c r="AA77" s="172"/>
      <c r="AB77" s="172"/>
      <c r="AC77" s="174"/>
      <c r="AD77" s="172"/>
      <c r="AE77" s="172"/>
      <c r="AF77" s="172"/>
      <c r="AG77" s="172"/>
      <c r="AH77" s="172"/>
      <c r="AI77" s="172"/>
      <c r="AJ77" s="172"/>
    </row>
    <row r="78" spans="1:36" x14ac:dyDescent="0.3">
      <c r="A78" s="157" t="s">
        <v>1151</v>
      </c>
      <c r="B78" s="157" t="s">
        <v>286</v>
      </c>
      <c r="C78" s="157" t="s">
        <v>1021</v>
      </c>
      <c r="D78" s="157" t="s">
        <v>68</v>
      </c>
      <c r="E78" s="157" t="s">
        <v>520</v>
      </c>
      <c r="F78" s="158" t="s">
        <v>522</v>
      </c>
      <c r="G78" s="157">
        <v>20</v>
      </c>
      <c r="H78" s="157" t="s">
        <v>24</v>
      </c>
      <c r="I78" s="182">
        <v>20</v>
      </c>
      <c r="J78" s="183"/>
      <c r="K78" s="183"/>
      <c r="L78" s="2239"/>
      <c r="M78" s="163">
        <v>1</v>
      </c>
      <c r="N78" s="166">
        <v>10350</v>
      </c>
      <c r="O78" s="173">
        <v>0.8</v>
      </c>
      <c r="P78" s="166">
        <f t="shared" si="17"/>
        <v>2069.9999999999995</v>
      </c>
      <c r="Q78" s="166">
        <f t="shared" si="12"/>
        <v>41399.999999999993</v>
      </c>
      <c r="R78" s="178">
        <f t="shared" si="13"/>
        <v>6.1468982884419307E-2</v>
      </c>
      <c r="S78" s="503">
        <f t="shared" si="15"/>
        <v>41399.999999999993</v>
      </c>
      <c r="T78" s="188"/>
      <c r="V78" s="169">
        <f>S78</f>
        <v>41399.999999999993</v>
      </c>
      <c r="X78" s="286"/>
      <c r="Y78" s="394">
        <f>S78</f>
        <v>41399.999999999993</v>
      </c>
      <c r="Z78" s="286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</row>
    <row r="79" spans="1:36" x14ac:dyDescent="0.3">
      <c r="A79" s="157" t="s">
        <v>1151</v>
      </c>
      <c r="B79" s="157" t="s">
        <v>286</v>
      </c>
      <c r="C79" s="157" t="s">
        <v>1154</v>
      </c>
      <c r="D79" s="157" t="s">
        <v>223</v>
      </c>
      <c r="E79" s="157" t="s">
        <v>520</v>
      </c>
      <c r="F79" s="158" t="s">
        <v>522</v>
      </c>
      <c r="G79" s="157">
        <v>20</v>
      </c>
      <c r="H79" s="157" t="s">
        <v>24</v>
      </c>
      <c r="I79" s="182">
        <v>20</v>
      </c>
      <c r="J79" s="183"/>
      <c r="K79" s="183"/>
      <c r="L79" s="2239"/>
      <c r="M79" s="163">
        <v>1</v>
      </c>
      <c r="N79" s="166">
        <v>3308</v>
      </c>
      <c r="O79" s="173">
        <v>0.75</v>
      </c>
      <c r="P79" s="166">
        <f t="shared" si="17"/>
        <v>827</v>
      </c>
      <c r="Q79" s="166">
        <f t="shared" si="12"/>
        <v>16540</v>
      </c>
      <c r="R79" s="178">
        <f t="shared" si="13"/>
        <v>2.4557897992953999E-2</v>
      </c>
      <c r="S79" s="503">
        <f t="shared" si="15"/>
        <v>16540</v>
      </c>
      <c r="T79" s="188"/>
      <c r="V79" s="169">
        <f>S79</f>
        <v>16540</v>
      </c>
      <c r="X79" s="286"/>
      <c r="Y79" s="394">
        <f>S79</f>
        <v>16540</v>
      </c>
      <c r="Z79" s="286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</row>
    <row r="80" spans="1:36" x14ac:dyDescent="0.3">
      <c r="A80" s="157" t="s">
        <v>1151</v>
      </c>
      <c r="B80" s="157" t="s">
        <v>287</v>
      </c>
      <c r="C80" s="157" t="s">
        <v>1155</v>
      </c>
      <c r="D80" s="157" t="s">
        <v>252</v>
      </c>
      <c r="E80" s="157" t="s">
        <v>520</v>
      </c>
      <c r="F80" s="158" t="s">
        <v>43</v>
      </c>
      <c r="G80" s="157">
        <v>3</v>
      </c>
      <c r="H80" s="157" t="s">
        <v>24</v>
      </c>
      <c r="I80" s="182">
        <v>3</v>
      </c>
      <c r="J80" s="183"/>
      <c r="K80" s="183"/>
      <c r="L80" s="2239"/>
      <c r="M80" s="163">
        <v>1</v>
      </c>
      <c r="N80" s="166">
        <v>19000</v>
      </c>
      <c r="O80" s="173">
        <v>0.45</v>
      </c>
      <c r="P80" s="166">
        <f t="shared" si="17"/>
        <v>10450</v>
      </c>
      <c r="Q80" s="166">
        <f t="shared" si="12"/>
        <v>31350</v>
      </c>
      <c r="R80" s="178">
        <f t="shared" si="13"/>
        <v>4.6547164575520425E-2</v>
      </c>
      <c r="S80" s="503">
        <f t="shared" si="15"/>
        <v>31350</v>
      </c>
      <c r="T80" s="394">
        <f>S80</f>
        <v>31350</v>
      </c>
      <c r="V80" s="169"/>
      <c r="X80" s="286"/>
      <c r="Y80" s="394">
        <f>S80</f>
        <v>31350</v>
      </c>
      <c r="Z80" s="286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</row>
    <row r="81" spans="1:36" x14ac:dyDescent="0.3">
      <c r="A81" s="172"/>
      <c r="B81" s="157"/>
      <c r="C81" s="190"/>
      <c r="D81" s="190"/>
      <c r="E81" s="190"/>
      <c r="F81" s="191"/>
      <c r="G81" s="190"/>
      <c r="H81" s="190"/>
      <c r="I81" s="245"/>
      <c r="J81" s="245"/>
      <c r="K81" s="245"/>
      <c r="L81" s="287"/>
      <c r="M81" s="190"/>
      <c r="N81" s="194"/>
      <c r="O81" s="195"/>
      <c r="P81" s="194"/>
      <c r="Q81" s="166"/>
      <c r="R81" s="393"/>
      <c r="S81" s="503"/>
      <c r="T81" s="188"/>
      <c r="X81" s="286"/>
      <c r="Y81" s="188"/>
      <c r="Z81" s="286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</row>
    <row r="82" spans="1:36" x14ac:dyDescent="0.3">
      <c r="A82" s="108" t="s">
        <v>1151</v>
      </c>
      <c r="B82" s="108" t="s">
        <v>528</v>
      </c>
      <c r="C82" s="289"/>
      <c r="D82" s="252"/>
      <c r="E82" s="252"/>
      <c r="F82" s="253"/>
      <c r="G82" s="252"/>
      <c r="H82" s="252"/>
      <c r="I82" s="254"/>
      <c r="J82" s="254"/>
      <c r="K82" s="254"/>
      <c r="L82" s="254"/>
      <c r="M82" s="252"/>
      <c r="N82" s="255"/>
      <c r="O82" s="256"/>
      <c r="P82" s="290"/>
      <c r="Q82" s="257">
        <v>17000</v>
      </c>
      <c r="R82" s="291">
        <f>Q82/Q85</f>
        <v>2.5240886691669767E-2</v>
      </c>
      <c r="S82" s="503">
        <f>Q82</f>
        <v>17000</v>
      </c>
      <c r="T82" s="188"/>
      <c r="W82" s="169">
        <f>S82</f>
        <v>17000</v>
      </c>
      <c r="X82" s="286"/>
      <c r="Y82" s="188"/>
      <c r="Z82" s="286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</row>
    <row r="83" spans="1:36" x14ac:dyDescent="0.3">
      <c r="A83" s="108" t="s">
        <v>1151</v>
      </c>
      <c r="B83" s="108" t="s">
        <v>529</v>
      </c>
      <c r="C83" s="289"/>
      <c r="D83" s="252"/>
      <c r="E83" s="252"/>
      <c r="F83" s="253"/>
      <c r="G83" s="252"/>
      <c r="H83" s="252"/>
      <c r="I83" s="254"/>
      <c r="J83" s="254"/>
      <c r="K83" s="254"/>
      <c r="L83" s="254"/>
      <c r="M83" s="252"/>
      <c r="N83" s="255"/>
      <c r="O83" s="256"/>
      <c r="P83" s="290"/>
      <c r="Q83" s="257">
        <v>25000</v>
      </c>
      <c r="R83" s="291">
        <f>Q83/Q85</f>
        <v>3.7118951017161422E-2</v>
      </c>
      <c r="S83" s="503">
        <f>Q83</f>
        <v>25000</v>
      </c>
      <c r="T83" s="188"/>
      <c r="X83" s="395">
        <f>S83</f>
        <v>25000</v>
      </c>
      <c r="Y83" s="188"/>
      <c r="Z83" s="286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</row>
    <row r="84" spans="1:36" x14ac:dyDescent="0.3">
      <c r="S84" s="166"/>
      <c r="T84" s="188"/>
      <c r="X84" s="286"/>
      <c r="Y84" s="188"/>
      <c r="Z84" s="286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</row>
    <row r="85" spans="1:36" x14ac:dyDescent="0.3">
      <c r="A85" s="805" t="s">
        <v>531</v>
      </c>
      <c r="B85" s="213"/>
      <c r="C85" s="213"/>
      <c r="D85" s="213"/>
      <c r="E85" s="213"/>
      <c r="F85" s="214"/>
      <c r="G85" s="213"/>
      <c r="H85" s="213"/>
      <c r="I85" s="213">
        <f>I80+I78+I76+I75+I74+I73+I72+I70+I69</f>
        <v>67</v>
      </c>
      <c r="J85" s="213">
        <f>J77</f>
        <v>63</v>
      </c>
      <c r="K85" s="213">
        <f>K77+K73+K68+K71</f>
        <v>32</v>
      </c>
      <c r="L85" s="213"/>
      <c r="M85" s="213">
        <f>SUM(I85:L85)</f>
        <v>162</v>
      </c>
      <c r="N85" s="215"/>
      <c r="O85" s="216"/>
      <c r="P85" s="215"/>
      <c r="Q85" s="2160">
        <f>SUM(Q67:Q84)</f>
        <v>673510.41220000002</v>
      </c>
      <c r="R85" s="216">
        <f>SUM(R67:R83)</f>
        <v>1.0000000000000002</v>
      </c>
      <c r="S85" s="1531">
        <f>SUM(S67:S84)</f>
        <v>673510.41220000002</v>
      </c>
      <c r="T85" s="509">
        <f t="shared" ref="T85:Z85" si="19">SUM(T67:T83)</f>
        <v>411224.7</v>
      </c>
      <c r="U85" s="294">
        <f t="shared" si="19"/>
        <v>72000</v>
      </c>
      <c r="V85" s="294">
        <f t="shared" si="19"/>
        <v>148285.71220000001</v>
      </c>
      <c r="W85" s="294">
        <f t="shared" si="19"/>
        <v>17000</v>
      </c>
      <c r="X85" s="294">
        <f t="shared" si="19"/>
        <v>25000</v>
      </c>
      <c r="Y85" s="482">
        <f t="shared" si="19"/>
        <v>451577.2</v>
      </c>
      <c r="Z85" s="483">
        <f t="shared" si="19"/>
        <v>203957.21220000001</v>
      </c>
      <c r="AA85" s="482">
        <f>SUM(AA68:AA83)</f>
        <v>177461.7</v>
      </c>
      <c r="AB85" s="482">
        <f>SUM(AB68:AB83)</f>
        <v>72000</v>
      </c>
      <c r="AC85" s="482">
        <f t="shared" ref="AC85:AJ85" si="20">SUM(AC68:AC83)</f>
        <v>151929</v>
      </c>
      <c r="AD85" s="482">
        <f t="shared" si="20"/>
        <v>0</v>
      </c>
      <c r="AE85" s="482">
        <f t="shared" si="20"/>
        <v>16380.000000000004</v>
      </c>
      <c r="AF85" s="482">
        <f t="shared" si="20"/>
        <v>24024</v>
      </c>
      <c r="AG85" s="482">
        <f t="shared" si="20"/>
        <v>38512.5</v>
      </c>
      <c r="AH85" s="482">
        <f t="shared" si="20"/>
        <v>10080</v>
      </c>
      <c r="AI85" s="482">
        <f t="shared" si="20"/>
        <v>0</v>
      </c>
      <c r="AJ85" s="482">
        <f t="shared" si="20"/>
        <v>0</v>
      </c>
    </row>
    <row r="86" spans="1:36" x14ac:dyDescent="0.3">
      <c r="A86" s="2161" t="s">
        <v>532</v>
      </c>
      <c r="B86" s="229"/>
      <c r="C86" s="229"/>
      <c r="D86" s="229"/>
      <c r="E86" s="229"/>
      <c r="F86" s="230"/>
      <c r="G86" s="229"/>
      <c r="H86" s="229"/>
      <c r="I86" s="229">
        <f>I80+I78+I76+I75+I74+I73+I72+I70+I69</f>
        <v>67</v>
      </c>
      <c r="J86" s="229">
        <f>I80+I78+J77+I76+I75+I74+I72+I70+I69</f>
        <v>127</v>
      </c>
      <c r="K86" s="229">
        <f>I80+I78+I76+I75+K73+K71+I70+I69+K68</f>
        <v>64</v>
      </c>
      <c r="L86" s="229">
        <f>I80+I78+I76+I75+K71+I70+I69+K68</f>
        <v>61</v>
      </c>
      <c r="M86" s="229">
        <f>SUM(I86:L86)</f>
        <v>319</v>
      </c>
      <c r="N86" s="231"/>
      <c r="O86" s="232"/>
      <c r="P86" s="231"/>
      <c r="Q86" s="231"/>
      <c r="R86" s="232"/>
      <c r="S86" s="1532">
        <f>Q85/M85</f>
        <v>4157.4716802469138</v>
      </c>
      <c r="T86" s="1491">
        <f>T85/S85</f>
        <v>0.61056917985387604</v>
      </c>
      <c r="U86" s="236">
        <f>U85/S85</f>
        <v>0.1069025789294249</v>
      </c>
      <c r="V86" s="236">
        <f>V85/S85</f>
        <v>0.22016840350786784</v>
      </c>
      <c r="W86" s="236">
        <f>W85/S85</f>
        <v>2.5240886691669767E-2</v>
      </c>
      <c r="X86" s="236">
        <f>X85/S85</f>
        <v>3.7118951017161422E-2</v>
      </c>
      <c r="Y86" s="272">
        <f>Y85/S85</f>
        <v>0.67048287869067635</v>
      </c>
      <c r="Z86" s="485">
        <f>Z85/S85</f>
        <v>0.30282711076994395</v>
      </c>
      <c r="AA86" s="2158"/>
      <c r="AB86" s="241"/>
      <c r="AC86" s="241"/>
      <c r="AD86" s="241"/>
      <c r="AE86" s="241"/>
      <c r="AF86" s="241"/>
      <c r="AG86" s="241"/>
      <c r="AH86" s="241"/>
      <c r="AI86" s="241"/>
      <c r="AJ86" s="241"/>
    </row>
    <row r="87" spans="1:36" x14ac:dyDescent="0.3">
      <c r="A87" s="243" t="s">
        <v>533</v>
      </c>
      <c r="B87" s="193"/>
      <c r="C87" s="193"/>
      <c r="D87" s="193"/>
      <c r="E87" s="193"/>
      <c r="F87" s="244"/>
      <c r="G87" s="193"/>
      <c r="H87" s="193"/>
      <c r="I87" s="245"/>
      <c r="J87" s="245"/>
      <c r="K87" s="245"/>
      <c r="L87" s="245"/>
      <c r="M87" s="193"/>
      <c r="N87" s="246"/>
      <c r="O87" s="196"/>
      <c r="P87" s="246"/>
      <c r="Q87" s="194">
        <f>T85</f>
        <v>411224.7</v>
      </c>
      <c r="R87" s="247">
        <f>Q87/Q92</f>
        <v>0.61056917985387604</v>
      </c>
      <c r="X87" s="248"/>
      <c r="Y87" s="357">
        <f>K68+I70+I72+I75+I78+I79+I80</f>
        <v>97</v>
      </c>
      <c r="Z87" s="358">
        <f>I69+K71+I73+K73+I74+I76+J77</f>
        <v>85</v>
      </c>
      <c r="AA87" s="4"/>
    </row>
    <row r="88" spans="1:36" x14ac:dyDescent="0.3">
      <c r="A88" s="251" t="s">
        <v>11</v>
      </c>
      <c r="B88" s="252"/>
      <c r="C88" s="252"/>
      <c r="D88" s="252"/>
      <c r="E88" s="252"/>
      <c r="F88" s="253"/>
      <c r="G88" s="252"/>
      <c r="H88" s="252"/>
      <c r="I88" s="254"/>
      <c r="J88" s="254"/>
      <c r="K88" s="254"/>
      <c r="L88" s="254"/>
      <c r="M88" s="252"/>
      <c r="N88" s="255"/>
      <c r="O88" s="256"/>
      <c r="P88" s="255"/>
      <c r="Q88" s="257">
        <f>U85</f>
        <v>72000</v>
      </c>
      <c r="R88" s="262">
        <f>Q88/Q92</f>
        <v>0.1069025789294249</v>
      </c>
      <c r="S88" s="2000">
        <f>Q85/M85</f>
        <v>4157.4716802469138</v>
      </c>
      <c r="T88" s="1739" t="s">
        <v>535</v>
      </c>
      <c r="Y88" s="195">
        <f>Y87/M85</f>
        <v>0.59876543209876543</v>
      </c>
      <c r="Z88" s="247">
        <f>Z87/M85</f>
        <v>0.52469135802469136</v>
      </c>
    </row>
    <row r="89" spans="1:36" x14ac:dyDescent="0.3">
      <c r="A89" s="251" t="s">
        <v>536</v>
      </c>
      <c r="B89" s="252"/>
      <c r="C89" s="252"/>
      <c r="D89" s="252"/>
      <c r="E89" s="252"/>
      <c r="F89" s="253"/>
      <c r="G89" s="252"/>
      <c r="H89" s="252"/>
      <c r="I89" s="254"/>
      <c r="J89" s="254"/>
      <c r="K89" s="254"/>
      <c r="L89" s="254"/>
      <c r="M89" s="252"/>
      <c r="N89" s="255"/>
      <c r="O89" s="256"/>
      <c r="P89" s="255"/>
      <c r="Q89" s="257">
        <f>V85</f>
        <v>148285.71220000001</v>
      </c>
      <c r="R89" s="262">
        <f>Q89/Q92</f>
        <v>0.22016840350786784</v>
      </c>
      <c r="W89" s="99"/>
      <c r="Y89" s="2889" t="s">
        <v>537</v>
      </c>
      <c r="Z89" s="2890"/>
    </row>
    <row r="90" spans="1:36" x14ac:dyDescent="0.3">
      <c r="A90" s="251" t="s">
        <v>529</v>
      </c>
      <c r="B90" s="252"/>
      <c r="C90" s="252"/>
      <c r="D90" s="252"/>
      <c r="E90" s="252"/>
      <c r="F90" s="253"/>
      <c r="G90" s="252"/>
      <c r="H90" s="252"/>
      <c r="I90" s="254"/>
      <c r="J90" s="254"/>
      <c r="K90" s="254"/>
      <c r="L90" s="254"/>
      <c r="M90" s="252"/>
      <c r="N90" s="255"/>
      <c r="O90" s="256"/>
      <c r="P90" s="255"/>
      <c r="Q90" s="257">
        <f>X85</f>
        <v>25000</v>
      </c>
      <c r="R90" s="262">
        <f>Q90/Q92</f>
        <v>3.7118951017161422E-2</v>
      </c>
    </row>
    <row r="91" spans="1:36" x14ac:dyDescent="0.3">
      <c r="A91" s="243" t="s">
        <v>528</v>
      </c>
      <c r="B91" s="193"/>
      <c r="C91" s="193"/>
      <c r="D91" s="193"/>
      <c r="E91" s="193"/>
      <c r="F91" s="244"/>
      <c r="G91" s="193"/>
      <c r="H91" s="193"/>
      <c r="I91" s="245"/>
      <c r="J91" s="245"/>
      <c r="K91" s="245"/>
      <c r="L91" s="245"/>
      <c r="M91" s="193"/>
      <c r="N91" s="246"/>
      <c r="O91" s="196"/>
      <c r="P91" s="246"/>
      <c r="Q91" s="194">
        <f>W85</f>
        <v>17000</v>
      </c>
      <c r="R91" s="247">
        <f>Q91/Q92</f>
        <v>2.5240886691669767E-2</v>
      </c>
    </row>
    <row r="92" spans="1:36" x14ac:dyDescent="0.3">
      <c r="A92" s="243"/>
      <c r="B92" s="193"/>
      <c r="C92" s="193"/>
      <c r="D92" s="193"/>
      <c r="E92" s="193"/>
      <c r="F92" s="244"/>
      <c r="G92" s="193"/>
      <c r="H92" s="193"/>
      <c r="I92" s="245"/>
      <c r="J92" s="245"/>
      <c r="K92" s="245"/>
      <c r="L92" s="245"/>
      <c r="M92" s="193"/>
      <c r="N92" s="246"/>
      <c r="O92" s="196"/>
      <c r="P92" s="246"/>
      <c r="Q92" s="2162">
        <f>SUM(Q87:Q91)</f>
        <v>673510.41220000002</v>
      </c>
      <c r="R92" s="247">
        <f>SUM(R87:R91)</f>
        <v>1</v>
      </c>
      <c r="S92" s="600"/>
    </row>
    <row r="93" spans="1:36" x14ac:dyDescent="0.3">
      <c r="R93" s="530"/>
      <c r="S93" s="5"/>
    </row>
    <row r="96" spans="1:36" x14ac:dyDescent="0.3">
      <c r="B96" s="2"/>
    </row>
    <row r="99" spans="1:36" x14ac:dyDescent="0.3">
      <c r="E99" s="1" t="s">
        <v>543</v>
      </c>
      <c r="F99" s="2" t="s">
        <v>831</v>
      </c>
      <c r="G99" s="1" t="s">
        <v>545</v>
      </c>
      <c r="H99" s="1"/>
      <c r="I99" s="304">
        <v>0.49</v>
      </c>
      <c r="J99" s="304"/>
    </row>
    <row r="100" spans="1:36" x14ac:dyDescent="0.3">
      <c r="B100" s="2"/>
      <c r="E100" s="1" t="s">
        <v>473</v>
      </c>
      <c r="F100" s="2" t="s">
        <v>581</v>
      </c>
      <c r="G100" s="1" t="s">
        <v>473</v>
      </c>
      <c r="H100" s="1"/>
      <c r="I100" s="1">
        <v>39</v>
      </c>
      <c r="J100" s="1"/>
    </row>
    <row r="101" spans="1:36" x14ac:dyDescent="0.3">
      <c r="E101" s="1" t="s">
        <v>475</v>
      </c>
      <c r="F101" s="2" t="s">
        <v>1156</v>
      </c>
      <c r="G101" s="1" t="s">
        <v>475</v>
      </c>
      <c r="H101" s="1"/>
      <c r="I101" s="95">
        <v>2523</v>
      </c>
      <c r="J101" s="95"/>
    </row>
    <row r="102" spans="1:36" x14ac:dyDescent="0.3">
      <c r="E102" s="1" t="s">
        <v>477</v>
      </c>
      <c r="F102" s="2" t="s">
        <v>1157</v>
      </c>
      <c r="G102" s="1" t="s">
        <v>477</v>
      </c>
      <c r="H102" s="1"/>
      <c r="I102" s="95">
        <v>28491185</v>
      </c>
      <c r="J102" s="95"/>
    </row>
    <row r="103" spans="1:36" x14ac:dyDescent="0.3">
      <c r="B103" s="2"/>
    </row>
    <row r="105" spans="1:36" x14ac:dyDescent="0.3">
      <c r="A105" s="2587" t="s">
        <v>480</v>
      </c>
      <c r="B105" s="2588"/>
      <c r="C105" s="2588"/>
      <c r="D105" s="2588"/>
      <c r="E105" s="2588"/>
      <c r="F105" s="2588"/>
      <c r="G105" s="2588"/>
      <c r="H105" s="2588"/>
      <c r="I105" s="2588"/>
      <c r="J105" s="2588"/>
      <c r="K105" s="2588"/>
      <c r="L105" s="2588"/>
      <c r="M105" s="2588"/>
      <c r="N105" s="2588"/>
      <c r="O105" s="2588"/>
      <c r="P105" s="2588"/>
      <c r="Q105" s="2588"/>
      <c r="R105" s="2588"/>
      <c r="S105" s="2560" t="s">
        <v>878</v>
      </c>
      <c r="T105" s="2561"/>
      <c r="U105" s="2561"/>
      <c r="V105" s="2561"/>
      <c r="W105" s="2561"/>
      <c r="X105" s="2561"/>
      <c r="Y105" s="2561"/>
      <c r="Z105" s="2561"/>
      <c r="AA105" s="2561"/>
      <c r="AB105" s="2561"/>
      <c r="AC105" s="2561"/>
      <c r="AD105" s="2561"/>
      <c r="AE105" s="2561"/>
      <c r="AF105" s="2561"/>
      <c r="AG105" s="2561"/>
      <c r="AH105" s="2561"/>
      <c r="AI105" s="2561"/>
      <c r="AJ105" s="2561"/>
    </row>
    <row r="106" spans="1:36" ht="18" x14ac:dyDescent="0.3">
      <c r="A106" s="2256" t="s">
        <v>482</v>
      </c>
      <c r="B106" s="2258" t="s">
        <v>483</v>
      </c>
      <c r="C106" s="2258" t="s">
        <v>484</v>
      </c>
      <c r="D106" s="2258" t="s">
        <v>485</v>
      </c>
      <c r="E106" s="2258" t="s">
        <v>486</v>
      </c>
      <c r="F106" s="2260" t="s">
        <v>487</v>
      </c>
      <c r="G106" s="2260" t="s">
        <v>1135</v>
      </c>
      <c r="H106" s="2258" t="s">
        <v>489</v>
      </c>
      <c r="I106" s="2940" t="s">
        <v>490</v>
      </c>
      <c r="J106" s="2941"/>
      <c r="K106" s="2941"/>
      <c r="L106" s="2942"/>
      <c r="M106" s="305" t="s">
        <v>491</v>
      </c>
      <c r="N106" s="306" t="s">
        <v>492</v>
      </c>
      <c r="O106" s="2048" t="s">
        <v>493</v>
      </c>
      <c r="P106" s="306" t="s">
        <v>492</v>
      </c>
      <c r="Q106" s="306" t="s">
        <v>494</v>
      </c>
      <c r="R106" s="308" t="s">
        <v>495</v>
      </c>
      <c r="S106" s="2049" t="s">
        <v>496</v>
      </c>
      <c r="T106" s="2924" t="s">
        <v>497</v>
      </c>
      <c r="U106" s="2924"/>
      <c r="V106" s="2924"/>
      <c r="W106" s="2924"/>
      <c r="X106" s="2924"/>
      <c r="Y106" s="2926" t="s">
        <v>498</v>
      </c>
      <c r="Z106" s="2924"/>
      <c r="AA106" s="2964" t="s">
        <v>499</v>
      </c>
      <c r="AB106" s="2924"/>
      <c r="AC106" s="2924"/>
      <c r="AD106" s="2924"/>
      <c r="AE106" s="2924"/>
      <c r="AF106" s="2924"/>
      <c r="AG106" s="2924"/>
      <c r="AH106" s="2924"/>
      <c r="AI106" s="2924"/>
      <c r="AJ106" s="2924"/>
    </row>
    <row r="107" spans="1:36" ht="18" x14ac:dyDescent="0.3">
      <c r="A107" s="2257"/>
      <c r="B107" s="2259"/>
      <c r="C107" s="2259"/>
      <c r="D107" s="2259"/>
      <c r="E107" s="2259"/>
      <c r="F107" s="2261"/>
      <c r="G107" s="2261"/>
      <c r="H107" s="2259"/>
      <c r="I107" s="310" t="s">
        <v>500</v>
      </c>
      <c r="J107" s="310" t="s">
        <v>501</v>
      </c>
      <c r="K107" s="310" t="s">
        <v>502</v>
      </c>
      <c r="L107" s="310" t="s">
        <v>503</v>
      </c>
      <c r="M107" s="311" t="s">
        <v>504</v>
      </c>
      <c r="N107" s="312" t="s">
        <v>505</v>
      </c>
      <c r="O107" s="2050" t="s">
        <v>506</v>
      </c>
      <c r="P107" s="312" t="s">
        <v>507</v>
      </c>
      <c r="Q107" s="312" t="s">
        <v>507</v>
      </c>
      <c r="R107" s="314"/>
      <c r="S107" s="2051" t="s">
        <v>508</v>
      </c>
      <c r="T107" s="2925"/>
      <c r="U107" s="2925"/>
      <c r="V107" s="2925"/>
      <c r="W107" s="2925"/>
      <c r="X107" s="2925"/>
      <c r="Y107" s="2928"/>
      <c r="Z107" s="2925"/>
      <c r="AA107" s="2965"/>
      <c r="AB107" s="2925"/>
      <c r="AC107" s="2925"/>
      <c r="AD107" s="2925"/>
      <c r="AE107" s="2925"/>
      <c r="AF107" s="2925"/>
      <c r="AG107" s="2925"/>
      <c r="AH107" s="2925"/>
      <c r="AI107" s="2925"/>
      <c r="AJ107" s="2925"/>
    </row>
    <row r="108" spans="1:36" ht="15.6" x14ac:dyDescent="0.3">
      <c r="A108" s="2943" t="s">
        <v>509</v>
      </c>
      <c r="B108" s="2944"/>
      <c r="C108" s="2944"/>
      <c r="D108" s="2944"/>
      <c r="E108" s="2944"/>
      <c r="F108" s="2944"/>
      <c r="G108" s="2944"/>
      <c r="H108" s="2944"/>
      <c r="I108" s="2944"/>
      <c r="J108" s="2944"/>
      <c r="K108" s="2944"/>
      <c r="L108" s="2944"/>
      <c r="M108" s="2944"/>
      <c r="N108" s="2944"/>
      <c r="O108" s="2944"/>
      <c r="P108" s="2944"/>
      <c r="Q108" s="2944"/>
      <c r="R108" s="2944"/>
      <c r="S108" s="1931"/>
      <c r="T108" s="1932" t="s">
        <v>510</v>
      </c>
      <c r="U108" s="1932" t="s">
        <v>11</v>
      </c>
      <c r="V108" s="1932" t="s">
        <v>511</v>
      </c>
      <c r="W108" s="1932" t="s">
        <v>512</v>
      </c>
      <c r="X108" s="1932" t="s">
        <v>513</v>
      </c>
      <c r="Y108" s="1933" t="s">
        <v>514</v>
      </c>
      <c r="Z108" s="1934" t="s">
        <v>515</v>
      </c>
      <c r="AA108" s="2163" t="s">
        <v>289</v>
      </c>
      <c r="AB108" s="2163" t="s">
        <v>294</v>
      </c>
      <c r="AC108" s="2163" t="s">
        <v>290</v>
      </c>
      <c r="AD108" s="2163" t="s">
        <v>291</v>
      </c>
      <c r="AE108" s="2163" t="s">
        <v>292</v>
      </c>
      <c r="AF108" s="2163" t="s">
        <v>293</v>
      </c>
      <c r="AG108" s="2163" t="s">
        <v>205</v>
      </c>
      <c r="AH108" s="2164" t="s">
        <v>295</v>
      </c>
      <c r="AI108" s="2164" t="s">
        <v>5</v>
      </c>
      <c r="AJ108" s="2164" t="s">
        <v>0</v>
      </c>
    </row>
    <row r="109" spans="1:36" x14ac:dyDescent="0.3">
      <c r="A109" s="154"/>
      <c r="B109" s="462"/>
      <c r="C109" s="462"/>
      <c r="D109" s="462"/>
      <c r="E109" s="462"/>
      <c r="F109" s="463"/>
      <c r="G109" s="462"/>
      <c r="H109" s="462"/>
      <c r="I109" s="465"/>
      <c r="J109" s="465"/>
      <c r="K109" s="465"/>
      <c r="L109" s="465"/>
      <c r="M109" s="462"/>
      <c r="N109" s="468"/>
      <c r="O109" s="469"/>
      <c r="P109" s="468"/>
      <c r="Q109" s="468"/>
      <c r="R109" s="532"/>
      <c r="S109" s="166"/>
      <c r="T109" s="188"/>
      <c r="X109" s="286"/>
      <c r="Y109" s="188"/>
      <c r="Z109" s="286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</row>
    <row r="110" spans="1:36" x14ac:dyDescent="0.3">
      <c r="A110" s="157" t="s">
        <v>1151</v>
      </c>
      <c r="B110" s="157" t="s">
        <v>274</v>
      </c>
      <c r="C110" s="157" t="s">
        <v>1017</v>
      </c>
      <c r="D110" s="157" t="s">
        <v>279</v>
      </c>
      <c r="E110" s="157" t="s">
        <v>520</v>
      </c>
      <c r="F110" s="158" t="s">
        <v>802</v>
      </c>
      <c r="G110" s="157">
        <v>10</v>
      </c>
      <c r="H110" s="157" t="s">
        <v>63</v>
      </c>
      <c r="I110" s="188"/>
      <c r="K110" s="161">
        <v>10</v>
      </c>
      <c r="L110" s="2209"/>
      <c r="M110" s="163">
        <v>1</v>
      </c>
      <c r="N110" s="166">
        <v>5100</v>
      </c>
      <c r="O110" s="173">
        <v>0.15</v>
      </c>
      <c r="P110" s="166">
        <f t="shared" ref="P110" si="21">N110*(1-O110)</f>
        <v>4335</v>
      </c>
      <c r="Q110" s="166">
        <f t="shared" ref="Q110:Q120" si="22">P110*M110*G110</f>
        <v>43350</v>
      </c>
      <c r="R110" s="184">
        <f t="shared" ref="R110:R120" si="23">Q110/$Q$125</f>
        <v>9.4855744324929617E-2</v>
      </c>
      <c r="S110" s="503">
        <f>Q110*4</f>
        <v>173400</v>
      </c>
      <c r="T110" s="394">
        <f t="shared" ref="T110:T112" si="24">S110</f>
        <v>173400</v>
      </c>
      <c r="X110" s="286"/>
      <c r="Y110" s="394">
        <f>S110</f>
        <v>173400</v>
      </c>
      <c r="Z110" s="395"/>
      <c r="AA110" s="174">
        <f>S110</f>
        <v>173400</v>
      </c>
      <c r="AB110" s="172"/>
      <c r="AC110" s="172"/>
      <c r="AD110" s="174"/>
      <c r="AE110" s="174"/>
      <c r="AF110" s="172"/>
      <c r="AG110" s="172"/>
      <c r="AH110" s="172"/>
      <c r="AI110" s="172"/>
      <c r="AJ110" s="172"/>
    </row>
    <row r="111" spans="1:36" x14ac:dyDescent="0.3">
      <c r="A111" s="157" t="s">
        <v>1151</v>
      </c>
      <c r="B111" s="157" t="s">
        <v>274</v>
      </c>
      <c r="C111" s="157" t="s">
        <v>1017</v>
      </c>
      <c r="D111" s="157" t="s">
        <v>102</v>
      </c>
      <c r="E111" s="157" t="s">
        <v>518</v>
      </c>
      <c r="F111" s="158" t="s">
        <v>541</v>
      </c>
      <c r="G111" s="157">
        <v>2</v>
      </c>
      <c r="H111" s="157" t="s">
        <v>24</v>
      </c>
      <c r="I111" s="182">
        <v>2</v>
      </c>
      <c r="J111" s="183"/>
      <c r="K111" s="183"/>
      <c r="L111" s="2239"/>
      <c r="M111" s="163">
        <v>1</v>
      </c>
      <c r="N111" s="166">
        <v>15600</v>
      </c>
      <c r="O111" s="173">
        <v>0.05</v>
      </c>
      <c r="P111" s="166">
        <f>N111*(1-O111)</f>
        <v>14820</v>
      </c>
      <c r="Q111" s="166">
        <f t="shared" si="22"/>
        <v>29640</v>
      </c>
      <c r="R111" s="167">
        <f t="shared" si="23"/>
        <v>6.4856384355038377E-2</v>
      </c>
      <c r="S111" s="503">
        <f t="shared" ref="S111:S120" si="25">Q111*4</f>
        <v>118560</v>
      </c>
      <c r="T111" s="394">
        <f t="shared" si="24"/>
        <v>118560</v>
      </c>
      <c r="X111" s="286"/>
      <c r="Y111" s="394"/>
      <c r="Z111" s="395">
        <f>S111</f>
        <v>118560</v>
      </c>
      <c r="AA111" s="174">
        <f>S111</f>
        <v>118560</v>
      </c>
      <c r="AB111" s="172"/>
      <c r="AC111" s="172"/>
      <c r="AD111" s="174"/>
      <c r="AE111" s="174"/>
      <c r="AF111" s="172"/>
      <c r="AG111" s="172"/>
      <c r="AH111" s="172"/>
      <c r="AI111" s="172"/>
      <c r="AJ111" s="172"/>
    </row>
    <row r="112" spans="1:36" x14ac:dyDescent="0.3">
      <c r="A112" s="157" t="s">
        <v>1151</v>
      </c>
      <c r="B112" s="157" t="s">
        <v>274</v>
      </c>
      <c r="C112" s="157" t="s">
        <v>1017</v>
      </c>
      <c r="D112" s="157" t="s">
        <v>26</v>
      </c>
      <c r="E112" s="157" t="s">
        <v>520</v>
      </c>
      <c r="F112" s="158" t="s">
        <v>654</v>
      </c>
      <c r="G112" s="157">
        <v>2</v>
      </c>
      <c r="H112" s="157" t="s">
        <v>63</v>
      </c>
      <c r="I112" s="182">
        <v>2</v>
      </c>
      <c r="J112" s="183"/>
      <c r="L112" s="286"/>
      <c r="M112" s="163">
        <v>1</v>
      </c>
      <c r="N112" s="166">
        <v>21500</v>
      </c>
      <c r="O112" s="173">
        <v>0.2</v>
      </c>
      <c r="P112" s="166">
        <f t="shared" ref="P112:P120" si="26">N112*(1-O112)</f>
        <v>17200</v>
      </c>
      <c r="Q112" s="166">
        <f t="shared" si="22"/>
        <v>34400</v>
      </c>
      <c r="R112" s="184">
        <f t="shared" si="23"/>
        <v>7.5271917065226721E-2</v>
      </c>
      <c r="S112" s="503">
        <f t="shared" si="25"/>
        <v>137600</v>
      </c>
      <c r="T112" s="394">
        <f t="shared" si="24"/>
        <v>137600</v>
      </c>
      <c r="X112" s="286"/>
      <c r="Y112" s="394">
        <f>S112</f>
        <v>137600</v>
      </c>
      <c r="Z112" s="395"/>
      <c r="AA112" s="174">
        <f>S112</f>
        <v>137600</v>
      </c>
      <c r="AB112" s="172"/>
      <c r="AC112" s="172"/>
      <c r="AD112" s="174"/>
      <c r="AE112" s="174"/>
      <c r="AF112" s="172"/>
      <c r="AG112" s="172"/>
      <c r="AH112" s="172"/>
      <c r="AI112" s="172"/>
      <c r="AJ112" s="172"/>
    </row>
    <row r="113" spans="1:36" x14ac:dyDescent="0.3">
      <c r="A113" s="157" t="s">
        <v>1151</v>
      </c>
      <c r="B113" s="157" t="s">
        <v>276</v>
      </c>
      <c r="C113" s="157" t="s">
        <v>1017</v>
      </c>
      <c r="D113" s="157" t="s">
        <v>277</v>
      </c>
      <c r="E113" s="157" t="s">
        <v>518</v>
      </c>
      <c r="F113" s="158" t="s">
        <v>203</v>
      </c>
      <c r="G113" s="157">
        <v>1</v>
      </c>
      <c r="H113" s="157" t="s">
        <v>63</v>
      </c>
      <c r="I113" s="188"/>
      <c r="K113" s="176">
        <v>10</v>
      </c>
      <c r="L113" s="177"/>
      <c r="M113" s="163">
        <v>1</v>
      </c>
      <c r="N113" s="166">
        <v>80000</v>
      </c>
      <c r="O113" s="173">
        <v>0.1</v>
      </c>
      <c r="P113" s="166">
        <f t="shared" si="26"/>
        <v>72000</v>
      </c>
      <c r="Q113" s="166">
        <f t="shared" si="22"/>
        <v>72000</v>
      </c>
      <c r="R113" s="167">
        <f t="shared" si="23"/>
        <v>0.15754587292721872</v>
      </c>
      <c r="S113" s="503">
        <f t="shared" si="25"/>
        <v>288000</v>
      </c>
      <c r="T113" s="394"/>
      <c r="U113" s="169">
        <f>S113</f>
        <v>288000</v>
      </c>
      <c r="X113" s="286"/>
      <c r="Y113" s="394"/>
      <c r="Z113" s="395">
        <f>S113</f>
        <v>288000</v>
      </c>
      <c r="AA113" s="172"/>
      <c r="AB113" s="174">
        <f>S113</f>
        <v>288000</v>
      </c>
      <c r="AC113" s="172"/>
      <c r="AD113" s="172"/>
      <c r="AE113" s="174"/>
      <c r="AF113" s="172"/>
      <c r="AG113" s="172"/>
      <c r="AH113" s="172"/>
      <c r="AI113" s="172"/>
      <c r="AJ113" s="172"/>
    </row>
    <row r="114" spans="1:36" x14ac:dyDescent="0.3">
      <c r="A114" s="157" t="s">
        <v>1151</v>
      </c>
      <c r="B114" s="157" t="s">
        <v>278</v>
      </c>
      <c r="C114" s="157" t="s">
        <v>1017</v>
      </c>
      <c r="D114" s="157" t="s">
        <v>279</v>
      </c>
      <c r="E114" s="157" t="s">
        <v>520</v>
      </c>
      <c r="F114" s="158" t="s">
        <v>802</v>
      </c>
      <c r="G114" s="157">
        <v>15</v>
      </c>
      <c r="H114" s="157" t="s">
        <v>63</v>
      </c>
      <c r="I114" s="175">
        <v>15</v>
      </c>
      <c r="J114" s="688"/>
      <c r="L114" s="286"/>
      <c r="M114" s="163">
        <v>1</v>
      </c>
      <c r="N114" s="166">
        <v>5124</v>
      </c>
      <c r="O114" s="173">
        <v>0.15</v>
      </c>
      <c r="P114" s="166">
        <f t="shared" si="26"/>
        <v>4355.3999999999996</v>
      </c>
      <c r="Q114" s="166">
        <f t="shared" si="22"/>
        <v>65330.999999999993</v>
      </c>
      <c r="R114" s="184">
        <f t="shared" si="23"/>
        <v>0.14295318644733507</v>
      </c>
      <c r="S114" s="503">
        <f t="shared" si="25"/>
        <v>261323.99999999997</v>
      </c>
      <c r="T114" s="394">
        <f t="shared" ref="T114" si="27">S114</f>
        <v>261323.99999999997</v>
      </c>
      <c r="X114" s="286"/>
      <c r="Y114" s="394">
        <f>S114</f>
        <v>261323.99999999997</v>
      </c>
      <c r="Z114" s="395"/>
      <c r="AA114" s="172"/>
      <c r="AB114" s="172"/>
      <c r="AC114" s="174">
        <f>S114</f>
        <v>261323.99999999997</v>
      </c>
      <c r="AD114" s="172"/>
      <c r="AE114" s="174"/>
      <c r="AF114" s="172"/>
      <c r="AG114" s="172"/>
      <c r="AH114" s="172"/>
      <c r="AI114" s="172"/>
      <c r="AJ114" s="172"/>
    </row>
    <row r="115" spans="1:36" x14ac:dyDescent="0.3">
      <c r="A115" s="2156" t="s">
        <v>1151</v>
      </c>
      <c r="B115" s="2156" t="s">
        <v>280</v>
      </c>
      <c r="C115" s="2156" t="s">
        <v>1017</v>
      </c>
      <c r="D115" s="2156" t="s">
        <v>29</v>
      </c>
      <c r="E115" s="2156" t="s">
        <v>520</v>
      </c>
      <c r="F115" s="2157" t="s">
        <v>588</v>
      </c>
      <c r="G115" s="2156">
        <v>1</v>
      </c>
      <c r="H115" s="2156" t="s">
        <v>24</v>
      </c>
      <c r="I115" s="182">
        <v>1</v>
      </c>
      <c r="J115" s="183"/>
      <c r="K115" s="183"/>
      <c r="L115" s="2239"/>
      <c r="M115" s="163">
        <v>1</v>
      </c>
      <c r="N115" s="166">
        <v>110000</v>
      </c>
      <c r="O115" s="173">
        <v>0.55000000000000004</v>
      </c>
      <c r="P115" s="166">
        <f t="shared" si="26"/>
        <v>49499.999999999993</v>
      </c>
      <c r="Q115" s="166">
        <f t="shared" si="22"/>
        <v>49499.999999999993</v>
      </c>
      <c r="R115" s="184">
        <f t="shared" si="23"/>
        <v>0.10831278763746287</v>
      </c>
      <c r="S115" s="503">
        <f t="shared" si="25"/>
        <v>197999.99999999997</v>
      </c>
      <c r="T115" s="394">
        <f>S115</f>
        <v>197999.99999999997</v>
      </c>
      <c r="U115" s="169"/>
      <c r="X115" s="286"/>
      <c r="Y115" s="394">
        <f>S115</f>
        <v>197999.99999999997</v>
      </c>
      <c r="Z115" s="286"/>
      <c r="AA115" s="172"/>
      <c r="AB115" s="172"/>
      <c r="AC115" s="172"/>
      <c r="AD115" s="174">
        <f>S115</f>
        <v>197999.99999999997</v>
      </c>
      <c r="AE115" s="174"/>
      <c r="AF115" s="172"/>
      <c r="AG115" s="172"/>
      <c r="AH115" s="172"/>
      <c r="AI115" s="172"/>
      <c r="AJ115" s="172"/>
    </row>
    <row r="116" spans="1:36" x14ac:dyDescent="0.3">
      <c r="A116" s="157" t="s">
        <v>1151</v>
      </c>
      <c r="B116" s="157" t="s">
        <v>281</v>
      </c>
      <c r="C116" s="157" t="s">
        <v>1017</v>
      </c>
      <c r="D116" s="157" t="s">
        <v>102</v>
      </c>
      <c r="E116" s="157" t="s">
        <v>518</v>
      </c>
      <c r="F116" s="158" t="s">
        <v>541</v>
      </c>
      <c r="G116" s="157">
        <v>3</v>
      </c>
      <c r="H116" s="157" t="s">
        <v>22</v>
      </c>
      <c r="I116" s="182">
        <v>3</v>
      </c>
      <c r="K116" s="183">
        <v>3</v>
      </c>
      <c r="L116" s="286"/>
      <c r="M116" s="163">
        <v>2</v>
      </c>
      <c r="N116" s="166">
        <v>9100</v>
      </c>
      <c r="O116" s="173">
        <v>0.7</v>
      </c>
      <c r="P116" s="166">
        <f t="shared" si="26"/>
        <v>2730.0000000000005</v>
      </c>
      <c r="Q116" s="166">
        <f t="shared" si="22"/>
        <v>16380.000000000004</v>
      </c>
      <c r="R116" s="167">
        <f t="shared" si="23"/>
        <v>3.5841686090942272E-2</v>
      </c>
      <c r="S116" s="503">
        <f t="shared" si="25"/>
        <v>65520.000000000015</v>
      </c>
      <c r="T116" s="394">
        <f>S116</f>
        <v>65520.000000000015</v>
      </c>
      <c r="X116" s="286"/>
      <c r="Y116" s="394"/>
      <c r="Z116" s="395">
        <f>S116</f>
        <v>65520.000000000015</v>
      </c>
      <c r="AA116" s="172"/>
      <c r="AB116" s="172"/>
      <c r="AC116" s="172"/>
      <c r="AD116" s="172"/>
      <c r="AE116" s="174">
        <f>S116</f>
        <v>65520.000000000015</v>
      </c>
      <c r="AF116" s="172"/>
      <c r="AG116" s="172"/>
      <c r="AH116" s="172"/>
      <c r="AI116" s="172"/>
      <c r="AJ116" s="172"/>
    </row>
    <row r="117" spans="1:36" x14ac:dyDescent="0.3">
      <c r="A117" s="157" t="s">
        <v>1151</v>
      </c>
      <c r="B117" s="157" t="s">
        <v>209</v>
      </c>
      <c r="C117" s="157" t="s">
        <v>1017</v>
      </c>
      <c r="D117" s="157" t="s">
        <v>26</v>
      </c>
      <c r="E117" s="157" t="s">
        <v>520</v>
      </c>
      <c r="F117" s="158" t="s">
        <v>654</v>
      </c>
      <c r="G117" s="157">
        <v>3</v>
      </c>
      <c r="H117" s="157" t="s">
        <v>24</v>
      </c>
      <c r="I117" s="2445">
        <v>3</v>
      </c>
      <c r="J117" s="726"/>
      <c r="K117" s="726"/>
      <c r="L117" s="727"/>
      <c r="M117" s="163">
        <v>1</v>
      </c>
      <c r="N117" s="166">
        <v>29625</v>
      </c>
      <c r="O117" s="173">
        <v>0.35</v>
      </c>
      <c r="P117" s="166">
        <f t="shared" si="26"/>
        <v>19256.25</v>
      </c>
      <c r="Q117" s="166">
        <f t="shared" si="22"/>
        <v>57768.75</v>
      </c>
      <c r="R117" s="184">
        <f t="shared" si="23"/>
        <v>0.12640594648144815</v>
      </c>
      <c r="S117" s="503">
        <f t="shared" si="25"/>
        <v>231075</v>
      </c>
      <c r="T117" s="394"/>
      <c r="V117" s="169">
        <f>S117</f>
        <v>231075</v>
      </c>
      <c r="X117" s="286"/>
      <c r="Y117" s="394">
        <f>S117</f>
        <v>231075</v>
      </c>
      <c r="Z117" s="286"/>
      <c r="AA117" s="172"/>
      <c r="AB117" s="172"/>
      <c r="AC117" s="174"/>
      <c r="AD117" s="174"/>
      <c r="AE117" s="174"/>
      <c r="AF117" s="172"/>
      <c r="AG117" s="174">
        <f>S117</f>
        <v>231075</v>
      </c>
      <c r="AH117" s="172"/>
      <c r="AI117" s="172"/>
      <c r="AJ117" s="172"/>
    </row>
    <row r="118" spans="1:36" x14ac:dyDescent="0.3">
      <c r="A118" s="157" t="s">
        <v>1151</v>
      </c>
      <c r="B118" s="157" t="s">
        <v>283</v>
      </c>
      <c r="C118" s="157" t="s">
        <v>1017</v>
      </c>
      <c r="D118" s="157" t="s">
        <v>102</v>
      </c>
      <c r="E118" s="157" t="s">
        <v>518</v>
      </c>
      <c r="F118" s="158" t="s">
        <v>541</v>
      </c>
      <c r="G118" s="157">
        <v>1</v>
      </c>
      <c r="H118" s="157" t="s">
        <v>24</v>
      </c>
      <c r="I118" s="182">
        <v>1</v>
      </c>
      <c r="J118" s="183"/>
      <c r="K118" s="183"/>
      <c r="L118" s="2239"/>
      <c r="M118" s="163">
        <v>1</v>
      </c>
      <c r="N118" s="166">
        <v>12600</v>
      </c>
      <c r="O118" s="173">
        <v>0.6</v>
      </c>
      <c r="P118" s="166">
        <f t="shared" si="26"/>
        <v>5040</v>
      </c>
      <c r="Q118" s="166">
        <f t="shared" si="22"/>
        <v>5040</v>
      </c>
      <c r="R118" s="167">
        <f t="shared" si="23"/>
        <v>1.1028211104905311E-2</v>
      </c>
      <c r="S118" s="503">
        <f t="shared" si="25"/>
        <v>20160</v>
      </c>
      <c r="T118" s="394">
        <f>S118</f>
        <v>20160</v>
      </c>
      <c r="V118" s="169"/>
      <c r="X118" s="286"/>
      <c r="Y118" s="394"/>
      <c r="Z118" s="395">
        <f>S118</f>
        <v>20160</v>
      </c>
      <c r="AA118" s="172"/>
      <c r="AB118" s="172"/>
      <c r="AC118" s="174"/>
      <c r="AD118" s="174"/>
      <c r="AE118" s="174"/>
      <c r="AF118" s="172"/>
      <c r="AG118" s="172"/>
      <c r="AH118" s="174">
        <f>S118</f>
        <v>20160</v>
      </c>
      <c r="AI118" s="172"/>
      <c r="AJ118" s="172"/>
    </row>
    <row r="119" spans="1:36" x14ac:dyDescent="0.3">
      <c r="A119" s="157" t="s">
        <v>1151</v>
      </c>
      <c r="B119" s="157" t="s">
        <v>108</v>
      </c>
      <c r="C119" s="157" t="s">
        <v>1019</v>
      </c>
      <c r="D119" s="157" t="s">
        <v>29</v>
      </c>
      <c r="E119" s="157" t="s">
        <v>524</v>
      </c>
      <c r="F119" s="158" t="s">
        <v>588</v>
      </c>
      <c r="G119" s="157">
        <v>1</v>
      </c>
      <c r="H119" s="157" t="s">
        <v>24</v>
      </c>
      <c r="I119" s="182">
        <v>1</v>
      </c>
      <c r="J119" s="183"/>
      <c r="K119" s="183"/>
      <c r="L119" s="2239"/>
      <c r="M119" s="163">
        <v>1</v>
      </c>
      <c r="N119" s="166">
        <v>35000</v>
      </c>
      <c r="O119" s="173">
        <v>0.2</v>
      </c>
      <c r="P119" s="166">
        <f t="shared" si="26"/>
        <v>28000</v>
      </c>
      <c r="Q119" s="166">
        <f t="shared" si="22"/>
        <v>28000</v>
      </c>
      <c r="R119" s="184">
        <f t="shared" si="23"/>
        <v>6.1267839471696173E-2</v>
      </c>
      <c r="S119" s="503">
        <f t="shared" si="25"/>
        <v>112000</v>
      </c>
      <c r="T119" s="394">
        <f>S119</f>
        <v>112000</v>
      </c>
      <c r="V119" s="169"/>
      <c r="X119" s="286"/>
      <c r="Y119" s="394">
        <f>S119</f>
        <v>112000</v>
      </c>
      <c r="Z119" s="286"/>
      <c r="AA119" s="172"/>
      <c r="AB119" s="172"/>
      <c r="AC119" s="174"/>
      <c r="AD119" s="174"/>
      <c r="AE119" s="174"/>
      <c r="AF119" s="172"/>
      <c r="AG119" s="172"/>
      <c r="AH119" s="172"/>
      <c r="AI119" s="174">
        <f>S119</f>
        <v>112000</v>
      </c>
      <c r="AJ119" s="172"/>
    </row>
    <row r="120" spans="1:36" x14ac:dyDescent="0.3">
      <c r="A120" s="157" t="s">
        <v>1151</v>
      </c>
      <c r="B120" s="157" t="s">
        <v>278</v>
      </c>
      <c r="C120" s="157" t="s">
        <v>1017</v>
      </c>
      <c r="D120" s="157" t="s">
        <v>29</v>
      </c>
      <c r="E120" s="157" t="s">
        <v>520</v>
      </c>
      <c r="F120" s="158" t="s">
        <v>588</v>
      </c>
      <c r="G120" s="157">
        <v>1</v>
      </c>
      <c r="H120" s="157" t="s">
        <v>24</v>
      </c>
      <c r="I120" s="182">
        <v>1</v>
      </c>
      <c r="J120" s="183"/>
      <c r="K120" s="183"/>
      <c r="L120" s="2239"/>
      <c r="M120" s="163">
        <v>1</v>
      </c>
      <c r="N120" s="166">
        <v>38000</v>
      </c>
      <c r="O120" s="173">
        <v>0.3</v>
      </c>
      <c r="P120" s="166">
        <f t="shared" si="26"/>
        <v>26600</v>
      </c>
      <c r="Q120" s="166">
        <f t="shared" si="22"/>
        <v>26600</v>
      </c>
      <c r="R120" s="184">
        <f t="shared" si="23"/>
        <v>5.8204447498111364E-2</v>
      </c>
      <c r="S120" s="503">
        <f t="shared" si="25"/>
        <v>106400</v>
      </c>
      <c r="T120" s="394">
        <f t="shared" ref="T120" si="28">S120</f>
        <v>106400</v>
      </c>
      <c r="X120" s="286"/>
      <c r="Y120" s="394">
        <f>S120</f>
        <v>106400</v>
      </c>
      <c r="Z120" s="395"/>
      <c r="AA120" s="172"/>
      <c r="AB120" s="172"/>
      <c r="AC120" s="174">
        <f>S120</f>
        <v>106400</v>
      </c>
      <c r="AD120" s="172"/>
      <c r="AE120" s="174"/>
      <c r="AF120" s="172"/>
      <c r="AG120" s="172"/>
      <c r="AH120" s="172"/>
      <c r="AI120" s="172"/>
      <c r="AJ120" s="172"/>
    </row>
    <row r="121" spans="1:36" x14ac:dyDescent="0.3">
      <c r="A121" s="172"/>
      <c r="B121" s="157"/>
      <c r="C121" s="190"/>
      <c r="D121" s="190"/>
      <c r="E121" s="190"/>
      <c r="F121" s="191"/>
      <c r="G121" s="190"/>
      <c r="H121" s="190"/>
      <c r="I121" s="245"/>
      <c r="J121" s="245"/>
      <c r="K121" s="245"/>
      <c r="L121" s="287"/>
      <c r="M121" s="190"/>
      <c r="N121" s="194"/>
      <c r="O121" s="195"/>
      <c r="P121" s="194"/>
      <c r="Q121" s="166"/>
      <c r="R121" s="393"/>
      <c r="S121" s="503"/>
      <c r="T121" s="188"/>
      <c r="X121" s="286"/>
      <c r="Y121" s="188"/>
      <c r="Z121" s="286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</row>
    <row r="122" spans="1:36" x14ac:dyDescent="0.3">
      <c r="A122" s="108" t="s">
        <v>1151</v>
      </c>
      <c r="B122" s="108" t="s">
        <v>528</v>
      </c>
      <c r="C122" s="289"/>
      <c r="D122" s="252"/>
      <c r="E122" s="252"/>
      <c r="F122" s="253"/>
      <c r="G122" s="252"/>
      <c r="H122" s="252"/>
      <c r="I122" s="254"/>
      <c r="J122" s="254"/>
      <c r="K122" s="254"/>
      <c r="L122" s="254"/>
      <c r="M122" s="252"/>
      <c r="N122" s="255"/>
      <c r="O122" s="256"/>
      <c r="P122" s="290"/>
      <c r="Q122" s="257">
        <v>19000</v>
      </c>
      <c r="R122" s="291">
        <f>Q122/Q125</f>
        <v>4.1574605355793832E-2</v>
      </c>
      <c r="S122" s="503">
        <f>Q122*4</f>
        <v>76000</v>
      </c>
      <c r="T122" s="188"/>
      <c r="W122" s="169">
        <f>S122</f>
        <v>76000</v>
      </c>
      <c r="X122" s="286"/>
      <c r="Y122" s="188"/>
      <c r="Z122" s="286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</row>
    <row r="123" spans="1:36" x14ac:dyDescent="0.3">
      <c r="A123" s="108" t="s">
        <v>1151</v>
      </c>
      <c r="B123" s="108" t="s">
        <v>529</v>
      </c>
      <c r="C123" s="289"/>
      <c r="D123" s="252"/>
      <c r="E123" s="252"/>
      <c r="F123" s="253"/>
      <c r="G123" s="252"/>
      <c r="H123" s="252"/>
      <c r="I123" s="254"/>
      <c r="J123" s="254"/>
      <c r="K123" s="254"/>
      <c r="L123" s="254"/>
      <c r="M123" s="252"/>
      <c r="N123" s="255"/>
      <c r="O123" s="256"/>
      <c r="P123" s="290"/>
      <c r="Q123" s="257">
        <v>10000</v>
      </c>
      <c r="R123" s="291">
        <f>Q123/Q125</f>
        <v>2.1881371239891489E-2</v>
      </c>
      <c r="S123" s="503">
        <f>Q123*4</f>
        <v>40000</v>
      </c>
      <c r="T123" s="188"/>
      <c r="X123" s="395">
        <f>S123</f>
        <v>40000</v>
      </c>
      <c r="Y123" s="188"/>
      <c r="Z123" s="286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</row>
    <row r="124" spans="1:36" x14ac:dyDescent="0.3">
      <c r="S124" s="166"/>
      <c r="T124" s="188"/>
      <c r="X124" s="286"/>
      <c r="Y124" s="188"/>
      <c r="Z124" s="286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</row>
    <row r="125" spans="1:36" x14ac:dyDescent="0.3">
      <c r="A125" s="326" t="s">
        <v>531</v>
      </c>
      <c r="B125" s="327"/>
      <c r="C125" s="327"/>
      <c r="D125" s="327"/>
      <c r="E125" s="327"/>
      <c r="F125" s="328"/>
      <c r="G125" s="327"/>
      <c r="H125" s="327"/>
      <c r="I125" s="327">
        <f>I120+I119+I118+I117+I116+I115+I114+I112+I111</f>
        <v>29</v>
      </c>
      <c r="J125" s="327"/>
      <c r="K125" s="327">
        <f>K116+K113+K110</f>
        <v>23</v>
      </c>
      <c r="L125" s="327"/>
      <c r="M125" s="327">
        <f>SUM(I125:L125)</f>
        <v>52</v>
      </c>
      <c r="N125" s="329"/>
      <c r="O125" s="330"/>
      <c r="P125" s="329"/>
      <c r="Q125" s="331">
        <f>SUM(Q109:Q124)</f>
        <v>457009.75</v>
      </c>
      <c r="R125" s="330">
        <f>SUM(R109:R123)</f>
        <v>1</v>
      </c>
      <c r="S125" s="1546">
        <f>SUM(S107:S124)</f>
        <v>1828039</v>
      </c>
      <c r="T125" s="517">
        <f t="shared" ref="T125:Z125" si="29">SUM(T107:T123)</f>
        <v>1192964</v>
      </c>
      <c r="U125" s="335">
        <f t="shared" si="29"/>
        <v>288000</v>
      </c>
      <c r="V125" s="335">
        <f t="shared" si="29"/>
        <v>231075</v>
      </c>
      <c r="W125" s="335">
        <f t="shared" si="29"/>
        <v>76000</v>
      </c>
      <c r="X125" s="335">
        <f t="shared" si="29"/>
        <v>40000</v>
      </c>
      <c r="Y125" s="518">
        <f t="shared" si="29"/>
        <v>1219799</v>
      </c>
      <c r="Z125" s="519">
        <f t="shared" si="29"/>
        <v>492240</v>
      </c>
      <c r="AA125" s="518">
        <f>SUM(AA108:AA123)</f>
        <v>429560</v>
      </c>
      <c r="AB125" s="518">
        <f>SUM(AB108:AB123)</f>
        <v>288000</v>
      </c>
      <c r="AC125" s="518">
        <f t="shared" ref="AC125:AJ125" si="30">SUM(AC108:AC123)</f>
        <v>367724</v>
      </c>
      <c r="AD125" s="518">
        <f t="shared" si="30"/>
        <v>197999.99999999997</v>
      </c>
      <c r="AE125" s="518">
        <f t="shared" si="30"/>
        <v>65520.000000000015</v>
      </c>
      <c r="AF125" s="518">
        <f t="shared" si="30"/>
        <v>0</v>
      </c>
      <c r="AG125" s="518">
        <f t="shared" si="30"/>
        <v>231075</v>
      </c>
      <c r="AH125" s="518">
        <f t="shared" si="30"/>
        <v>20160</v>
      </c>
      <c r="AI125" s="518">
        <f t="shared" si="30"/>
        <v>112000</v>
      </c>
      <c r="AJ125" s="518">
        <f t="shared" si="30"/>
        <v>0</v>
      </c>
    </row>
    <row r="126" spans="1:36" x14ac:dyDescent="0.3">
      <c r="A126" s="342" t="s">
        <v>532</v>
      </c>
      <c r="B126" s="343"/>
      <c r="C126" s="343"/>
      <c r="D126" s="343"/>
      <c r="E126" s="343"/>
      <c r="F126" s="344"/>
      <c r="G126" s="343"/>
      <c r="H126" s="343"/>
      <c r="I126" s="343">
        <f>I120+I119+I118+I117+I116+I115+I114+I112+I111</f>
        <v>29</v>
      </c>
      <c r="J126" s="343">
        <f>I120+I119+I118+I117+I115+I114+I112+I111</f>
        <v>26</v>
      </c>
      <c r="K126" s="343">
        <f>I120+I119+I118+I117+K116+I115+K113+I111+K110</f>
        <v>32</v>
      </c>
      <c r="L126" s="343">
        <f>I120+I119+I118+I117+I115+K113+I111+K110</f>
        <v>29</v>
      </c>
      <c r="M126" s="343">
        <f>SUM(I126:L126)</f>
        <v>116</v>
      </c>
      <c r="N126" s="345"/>
      <c r="O126" s="346"/>
      <c r="P126" s="345"/>
      <c r="Q126" s="345"/>
      <c r="R126" s="346"/>
      <c r="S126" s="1547">
        <f>Q125/M125</f>
        <v>8788.649038461539</v>
      </c>
      <c r="T126" s="533">
        <f>T125/S125</f>
        <v>0.65259220399564777</v>
      </c>
      <c r="U126" s="350">
        <f>U125/S125</f>
        <v>0.15754587292721872</v>
      </c>
      <c r="V126" s="350">
        <f>V125/S125</f>
        <v>0.12640594648144815</v>
      </c>
      <c r="W126" s="350">
        <f>W125/S125</f>
        <v>4.1574605355793832E-2</v>
      </c>
      <c r="X126" s="350">
        <f>X125/S125</f>
        <v>2.1881371239891489E-2</v>
      </c>
      <c r="Y126" s="313">
        <f>Y125/S125</f>
        <v>0.66727186892621004</v>
      </c>
      <c r="Z126" s="522">
        <f>Z125/S125</f>
        <v>0.26927215447810465</v>
      </c>
      <c r="AA126" s="2165"/>
      <c r="AB126" s="355"/>
      <c r="AC126" s="355"/>
      <c r="AD126" s="355"/>
      <c r="AE126" s="355"/>
      <c r="AF126" s="355"/>
      <c r="AG126" s="355"/>
      <c r="AH126" s="355"/>
      <c r="AI126" s="355"/>
      <c r="AJ126" s="355"/>
    </row>
    <row r="127" spans="1:36" x14ac:dyDescent="0.3">
      <c r="A127" s="243" t="s">
        <v>533</v>
      </c>
      <c r="B127" s="193"/>
      <c r="C127" s="193"/>
      <c r="D127" s="193"/>
      <c r="E127" s="193"/>
      <c r="F127" s="244"/>
      <c r="G127" s="193"/>
      <c r="H127" s="193"/>
      <c r="I127" s="245"/>
      <c r="J127" s="245"/>
      <c r="K127" s="245"/>
      <c r="L127" s="245"/>
      <c r="M127" s="193"/>
      <c r="N127" s="246"/>
      <c r="O127" s="196"/>
      <c r="P127" s="246"/>
      <c r="Q127" s="194">
        <f>T125/4</f>
        <v>298241</v>
      </c>
      <c r="R127" s="247">
        <f>Q127/Q132</f>
        <v>0.65259220399564777</v>
      </c>
      <c r="X127" s="248"/>
      <c r="Y127" s="357">
        <f>K110+I112+I114+I115+I117+I119+I120</f>
        <v>33</v>
      </c>
      <c r="Z127" s="358">
        <f>I111+K113+I116+K116+I118</f>
        <v>19</v>
      </c>
      <c r="AA127" s="4"/>
    </row>
    <row r="128" spans="1:36" x14ac:dyDescent="0.3">
      <c r="A128" s="251" t="s">
        <v>11</v>
      </c>
      <c r="B128" s="252"/>
      <c r="C128" s="252"/>
      <c r="D128" s="252"/>
      <c r="E128" s="252"/>
      <c r="F128" s="253"/>
      <c r="G128" s="252"/>
      <c r="H128" s="252"/>
      <c r="I128" s="254"/>
      <c r="J128" s="254"/>
      <c r="K128" s="254"/>
      <c r="L128" s="254"/>
      <c r="M128" s="252"/>
      <c r="N128" s="255"/>
      <c r="O128" s="256"/>
      <c r="P128" s="255"/>
      <c r="Q128" s="257">
        <f>U125/4</f>
        <v>72000</v>
      </c>
      <c r="R128" s="262">
        <f>Q128/Q132</f>
        <v>0.15754587292721872</v>
      </c>
      <c r="S128" s="2088">
        <f>Q125/M125</f>
        <v>8788.649038461539</v>
      </c>
      <c r="T128" s="2089" t="s">
        <v>535</v>
      </c>
      <c r="Y128" s="195">
        <f>Y127/M125</f>
        <v>0.63461538461538458</v>
      </c>
      <c r="Z128" s="247">
        <f>Z127/M125</f>
        <v>0.36538461538461536</v>
      </c>
    </row>
    <row r="129" spans="1:38" x14ac:dyDescent="0.3">
      <c r="A129" s="251" t="s">
        <v>536</v>
      </c>
      <c r="B129" s="252"/>
      <c r="C129" s="252"/>
      <c r="D129" s="252"/>
      <c r="E129" s="252"/>
      <c r="F129" s="253"/>
      <c r="G129" s="252"/>
      <c r="H129" s="252"/>
      <c r="I129" s="254"/>
      <c r="J129" s="254"/>
      <c r="K129" s="254"/>
      <c r="L129" s="254"/>
      <c r="M129" s="252"/>
      <c r="N129" s="255"/>
      <c r="O129" s="256"/>
      <c r="P129" s="255"/>
      <c r="Q129" s="257">
        <f>V125/4</f>
        <v>57768.75</v>
      </c>
      <c r="R129" s="262">
        <f>Q129/Q132</f>
        <v>0.12640594648144815</v>
      </c>
      <c r="W129" s="99"/>
      <c r="Y129" s="2889" t="s">
        <v>537</v>
      </c>
      <c r="Z129" s="2890"/>
    </row>
    <row r="130" spans="1:38" x14ac:dyDescent="0.3">
      <c r="A130" s="251" t="s">
        <v>529</v>
      </c>
      <c r="B130" s="252"/>
      <c r="C130" s="252"/>
      <c r="D130" s="252"/>
      <c r="E130" s="252"/>
      <c r="F130" s="253"/>
      <c r="G130" s="252"/>
      <c r="H130" s="252"/>
      <c r="I130" s="254"/>
      <c r="J130" s="254"/>
      <c r="K130" s="254"/>
      <c r="L130" s="254"/>
      <c r="M130" s="252"/>
      <c r="N130" s="255"/>
      <c r="O130" s="256"/>
      <c r="P130" s="255"/>
      <c r="Q130" s="257">
        <f>X125/4</f>
        <v>10000</v>
      </c>
      <c r="R130" s="262">
        <f>Q130/Q132</f>
        <v>2.1881371239891489E-2</v>
      </c>
    </row>
    <row r="131" spans="1:38" x14ac:dyDescent="0.3">
      <c r="A131" s="251" t="s">
        <v>528</v>
      </c>
      <c r="B131" s="252"/>
      <c r="C131" s="252"/>
      <c r="D131" s="252"/>
      <c r="E131" s="252"/>
      <c r="F131" s="253"/>
      <c r="G131" s="252"/>
      <c r="H131" s="252"/>
      <c r="I131" s="254"/>
      <c r="J131" s="254"/>
      <c r="K131" s="254"/>
      <c r="L131" s="254"/>
      <c r="M131" s="252"/>
      <c r="N131" s="255"/>
      <c r="O131" s="256"/>
      <c r="P131" s="255"/>
      <c r="Q131" s="257">
        <f>W125/4</f>
        <v>19000</v>
      </c>
      <c r="R131" s="262">
        <f>Q131/Q132</f>
        <v>4.1574605355793832E-2</v>
      </c>
    </row>
    <row r="132" spans="1:38" x14ac:dyDescent="0.3">
      <c r="A132" s="251"/>
      <c r="B132" s="252"/>
      <c r="C132" s="252"/>
      <c r="D132" s="252"/>
      <c r="E132" s="252"/>
      <c r="F132" s="253"/>
      <c r="G132" s="252"/>
      <c r="H132" s="252"/>
      <c r="I132" s="254"/>
      <c r="J132" s="254"/>
      <c r="K132" s="254"/>
      <c r="L132" s="254"/>
      <c r="M132" s="252"/>
      <c r="N132" s="255"/>
      <c r="O132" s="256"/>
      <c r="P132" s="255"/>
      <c r="Q132" s="264">
        <f>SUM(Q127:Q131)</f>
        <v>457009.75</v>
      </c>
      <c r="R132" s="262">
        <f>SUM(R127:R131)</f>
        <v>1.0000000000000002</v>
      </c>
    </row>
    <row r="133" spans="1:38" x14ac:dyDescent="0.3">
      <c r="A133" s="188"/>
      <c r="N133" s="5"/>
      <c r="O133" s="6"/>
      <c r="P133" s="5"/>
      <c r="Q133" s="5"/>
      <c r="R133" s="6"/>
      <c r="S133" s="701"/>
    </row>
    <row r="134" spans="1:38" x14ac:dyDescent="0.3">
      <c r="A134" s="188"/>
      <c r="N134" s="5"/>
      <c r="O134" s="6"/>
      <c r="P134" s="5"/>
      <c r="Q134" s="5"/>
      <c r="R134" s="6"/>
      <c r="S134" s="701"/>
    </row>
    <row r="135" spans="1:38" x14ac:dyDescent="0.3">
      <c r="A135" s="188"/>
      <c r="N135" s="5"/>
      <c r="O135" s="6"/>
      <c r="P135" s="5"/>
      <c r="Q135" s="5"/>
      <c r="R135" s="6"/>
      <c r="S135" s="701"/>
    </row>
    <row r="136" spans="1:38" x14ac:dyDescent="0.3">
      <c r="A136" s="188"/>
      <c r="N136" s="5"/>
      <c r="O136" s="6"/>
      <c r="P136" s="5"/>
      <c r="Q136" s="5"/>
      <c r="R136" s="6"/>
      <c r="S136" s="701"/>
    </row>
    <row r="137" spans="1:38" x14ac:dyDescent="0.3">
      <c r="A137" s="188"/>
      <c r="N137" s="5"/>
      <c r="O137" s="6"/>
      <c r="P137" s="5"/>
      <c r="Q137" s="5"/>
      <c r="R137" s="6"/>
      <c r="S137" s="701"/>
    </row>
    <row r="138" spans="1:38" x14ac:dyDescent="0.3">
      <c r="A138" s="2560" t="s">
        <v>480</v>
      </c>
      <c r="B138" s="2561"/>
      <c r="C138" s="2561"/>
      <c r="D138" s="2561"/>
      <c r="E138" s="2561"/>
      <c r="F138" s="2561"/>
      <c r="G138" s="2561"/>
      <c r="H138" s="2561"/>
      <c r="I138" s="2561"/>
      <c r="J138" s="2561"/>
      <c r="K138" s="2561"/>
      <c r="L138" s="2561"/>
      <c r="M138" s="2561"/>
      <c r="N138" s="2561"/>
      <c r="O138" s="2561"/>
      <c r="P138" s="2561"/>
      <c r="Q138" s="2561"/>
      <c r="R138" s="2561"/>
      <c r="S138" s="2560" t="s">
        <v>878</v>
      </c>
      <c r="T138" s="2561"/>
      <c r="U138" s="2561"/>
      <c r="V138" s="2561"/>
      <c r="W138" s="2561"/>
      <c r="X138" s="2561"/>
      <c r="Y138" s="2561"/>
      <c r="Z138" s="2561"/>
      <c r="AA138" s="2561"/>
      <c r="AB138" s="2561"/>
      <c r="AC138" s="2561"/>
      <c r="AD138" s="2561"/>
      <c r="AE138" s="2561"/>
      <c r="AF138" s="2561"/>
      <c r="AG138" s="2561"/>
      <c r="AH138" s="2561"/>
      <c r="AI138" s="2561"/>
      <c r="AJ138" s="2561"/>
      <c r="AK138" s="2561"/>
      <c r="AL138" s="2562"/>
    </row>
    <row r="139" spans="1:38" ht="18" x14ac:dyDescent="0.3">
      <c r="A139" s="2256" t="s">
        <v>482</v>
      </c>
      <c r="B139" s="2258" t="s">
        <v>483</v>
      </c>
      <c r="C139" s="2258" t="s">
        <v>484</v>
      </c>
      <c r="D139" s="2258" t="s">
        <v>485</v>
      </c>
      <c r="E139" s="2258" t="s">
        <v>486</v>
      </c>
      <c r="F139" s="2260" t="s">
        <v>487</v>
      </c>
      <c r="G139" s="2260" t="s">
        <v>1135</v>
      </c>
      <c r="H139" s="2258" t="s">
        <v>489</v>
      </c>
      <c r="I139" s="2940" t="s">
        <v>490</v>
      </c>
      <c r="J139" s="2941"/>
      <c r="K139" s="2941"/>
      <c r="L139" s="2942"/>
      <c r="M139" s="305" t="s">
        <v>491</v>
      </c>
      <c r="N139" s="306" t="s">
        <v>492</v>
      </c>
      <c r="O139" s="2048" t="s">
        <v>493</v>
      </c>
      <c r="P139" s="306" t="s">
        <v>492</v>
      </c>
      <c r="Q139" s="306" t="s">
        <v>494</v>
      </c>
      <c r="R139" s="308" t="s">
        <v>495</v>
      </c>
      <c r="S139" s="2049" t="s">
        <v>496</v>
      </c>
      <c r="T139" s="2924" t="s">
        <v>497</v>
      </c>
      <c r="U139" s="2924"/>
      <c r="V139" s="2924"/>
      <c r="W139" s="2924"/>
      <c r="X139" s="2924"/>
      <c r="Y139" s="2926" t="s">
        <v>498</v>
      </c>
      <c r="Z139" s="2924"/>
      <c r="AA139" s="2926" t="s">
        <v>499</v>
      </c>
      <c r="AB139" s="2924"/>
      <c r="AC139" s="2924"/>
      <c r="AD139" s="2924"/>
      <c r="AE139" s="2924"/>
      <c r="AF139" s="2924"/>
      <c r="AG139" s="2924"/>
      <c r="AH139" s="2924"/>
      <c r="AI139" s="2924"/>
      <c r="AJ139" s="2924"/>
      <c r="AK139" s="2924"/>
      <c r="AL139" s="2930"/>
    </row>
    <row r="140" spans="1:38" ht="18" x14ac:dyDescent="0.3">
      <c r="A140" s="2257"/>
      <c r="B140" s="2259"/>
      <c r="C140" s="2259"/>
      <c r="D140" s="2259"/>
      <c r="E140" s="2259"/>
      <c r="F140" s="2261"/>
      <c r="G140" s="2261"/>
      <c r="H140" s="2259"/>
      <c r="I140" s="310" t="s">
        <v>500</v>
      </c>
      <c r="J140" s="310" t="s">
        <v>501</v>
      </c>
      <c r="K140" s="310" t="s">
        <v>502</v>
      </c>
      <c r="L140" s="310" t="s">
        <v>503</v>
      </c>
      <c r="M140" s="311" t="s">
        <v>504</v>
      </c>
      <c r="N140" s="312" t="s">
        <v>505</v>
      </c>
      <c r="O140" s="2050" t="s">
        <v>506</v>
      </c>
      <c r="P140" s="312" t="s">
        <v>507</v>
      </c>
      <c r="Q140" s="312" t="s">
        <v>507</v>
      </c>
      <c r="R140" s="314"/>
      <c r="S140" s="2051" t="s">
        <v>508</v>
      </c>
      <c r="T140" s="2925"/>
      <c r="U140" s="2925"/>
      <c r="V140" s="2925"/>
      <c r="W140" s="2925"/>
      <c r="X140" s="2925"/>
      <c r="Y140" s="2928"/>
      <c r="Z140" s="2925"/>
      <c r="AA140" s="2928"/>
      <c r="AB140" s="2925"/>
      <c r="AC140" s="2925"/>
      <c r="AD140" s="2925"/>
      <c r="AE140" s="2925"/>
      <c r="AF140" s="2925"/>
      <c r="AG140" s="2925"/>
      <c r="AH140" s="2925"/>
      <c r="AI140" s="2925"/>
      <c r="AJ140" s="2925"/>
      <c r="AK140" s="2925"/>
      <c r="AL140" s="2931"/>
    </row>
    <row r="141" spans="1:38" ht="18" x14ac:dyDescent="0.35">
      <c r="A141" s="2377" t="s">
        <v>561</v>
      </c>
      <c r="B141" s="2378"/>
      <c r="C141" s="2378"/>
      <c r="D141" s="2378"/>
      <c r="E141" s="2378"/>
      <c r="F141" s="2378"/>
      <c r="G141" s="2378"/>
      <c r="H141" s="2378"/>
      <c r="I141" s="2378"/>
      <c r="J141" s="2378"/>
      <c r="K141" s="2378"/>
      <c r="L141" s="2378"/>
      <c r="M141" s="2378"/>
      <c r="N141" s="2378"/>
      <c r="O141" s="2378"/>
      <c r="P141" s="2378"/>
      <c r="Q141" s="2378"/>
      <c r="R141" s="2378"/>
      <c r="S141" s="2166"/>
      <c r="T141" s="2167" t="s">
        <v>510</v>
      </c>
      <c r="U141" s="1932" t="s">
        <v>11</v>
      </c>
      <c r="V141" s="1932" t="s">
        <v>511</v>
      </c>
      <c r="W141" s="1932" t="s">
        <v>512</v>
      </c>
      <c r="X141" s="2168" t="s">
        <v>513</v>
      </c>
      <c r="Y141" s="2167" t="s">
        <v>514</v>
      </c>
      <c r="Z141" s="2168" t="s">
        <v>515</v>
      </c>
      <c r="AA141" s="2153" t="s">
        <v>289</v>
      </c>
      <c r="AB141" s="2153" t="s">
        <v>294</v>
      </c>
      <c r="AC141" s="2153" t="s">
        <v>290</v>
      </c>
      <c r="AD141" s="2153" t="s">
        <v>291</v>
      </c>
      <c r="AE141" s="2153" t="s">
        <v>292</v>
      </c>
      <c r="AF141" s="2153" t="s">
        <v>293</v>
      </c>
      <c r="AG141" s="2153" t="s">
        <v>205</v>
      </c>
      <c r="AH141" s="2159" t="s">
        <v>295</v>
      </c>
      <c r="AI141" s="2159" t="s">
        <v>5</v>
      </c>
      <c r="AJ141" s="2159" t="s">
        <v>0</v>
      </c>
      <c r="AK141" s="2159" t="s">
        <v>296</v>
      </c>
      <c r="AL141" s="2159" t="s">
        <v>297</v>
      </c>
    </row>
    <row r="142" spans="1:38" x14ac:dyDescent="0.3">
      <c r="A142" s="154"/>
      <c r="B142" s="462"/>
      <c r="C142" s="462"/>
      <c r="D142" s="462"/>
      <c r="E142" s="462"/>
      <c r="F142" s="463"/>
      <c r="G142" s="462"/>
      <c r="H142" s="462"/>
      <c r="I142" s="465"/>
      <c r="J142" s="465"/>
      <c r="K142" s="465"/>
      <c r="L142" s="465"/>
      <c r="M142" s="462"/>
      <c r="N142" s="468"/>
      <c r="O142" s="469"/>
      <c r="P142" s="468"/>
      <c r="Q142" s="468"/>
      <c r="R142" s="532"/>
      <c r="S142" s="166"/>
      <c r="T142" s="188"/>
      <c r="X142" s="286"/>
      <c r="Y142" s="188"/>
      <c r="Z142" s="286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  <c r="AK142" s="154"/>
      <c r="AL142" s="154"/>
    </row>
    <row r="143" spans="1:38" x14ac:dyDescent="0.3">
      <c r="A143" s="157" t="s">
        <v>1151</v>
      </c>
      <c r="B143" s="157" t="s">
        <v>274</v>
      </c>
      <c r="C143" s="157" t="s">
        <v>1017</v>
      </c>
      <c r="D143" s="157" t="s">
        <v>102</v>
      </c>
      <c r="E143" s="157" t="s">
        <v>518</v>
      </c>
      <c r="F143" s="158" t="s">
        <v>1104</v>
      </c>
      <c r="G143" s="157">
        <v>2</v>
      </c>
      <c r="H143" s="157" t="s">
        <v>24</v>
      </c>
      <c r="I143" s="182">
        <v>2</v>
      </c>
      <c r="J143" s="183"/>
      <c r="K143" s="183"/>
      <c r="L143" s="2239"/>
      <c r="M143" s="163">
        <v>1</v>
      </c>
      <c r="N143" s="166">
        <v>15600</v>
      </c>
      <c r="O143" s="173">
        <v>0.05</v>
      </c>
      <c r="P143" s="166">
        <f>N143*(1-O143)</f>
        <v>14820</v>
      </c>
      <c r="Q143" s="166">
        <f t="shared" ref="Q143:Q153" si="31">P143*M143*G143</f>
        <v>29640</v>
      </c>
      <c r="R143" s="167">
        <f t="shared" ref="R143:R153" si="32">Q143/$Q$158</f>
        <v>6.4984115630497302E-2</v>
      </c>
      <c r="S143" s="503">
        <f t="shared" ref="S143:S153" si="33">Q143</f>
        <v>29640</v>
      </c>
      <c r="T143" s="394">
        <f t="shared" ref="T143:T144" si="34">S143</f>
        <v>29640</v>
      </c>
      <c r="X143" s="286"/>
      <c r="Y143" s="394"/>
      <c r="Z143" s="395">
        <f>S143</f>
        <v>29640</v>
      </c>
      <c r="AA143" s="174">
        <f>S143</f>
        <v>29640</v>
      </c>
      <c r="AB143" s="172"/>
      <c r="AC143" s="172"/>
      <c r="AD143" s="174"/>
      <c r="AE143" s="174"/>
      <c r="AF143" s="172"/>
      <c r="AG143" s="172"/>
      <c r="AH143" s="172"/>
      <c r="AI143" s="172"/>
      <c r="AJ143" s="172"/>
      <c r="AK143" s="172"/>
      <c r="AL143" s="172"/>
    </row>
    <row r="144" spans="1:38" x14ac:dyDescent="0.3">
      <c r="A144" s="157" t="s">
        <v>1151</v>
      </c>
      <c r="B144" s="157" t="s">
        <v>274</v>
      </c>
      <c r="C144" s="157" t="s">
        <v>1017</v>
      </c>
      <c r="D144" s="157" t="s">
        <v>26</v>
      </c>
      <c r="E144" s="157" t="s">
        <v>520</v>
      </c>
      <c r="F144" s="158" t="s">
        <v>588</v>
      </c>
      <c r="G144" s="157">
        <v>3</v>
      </c>
      <c r="H144" s="157" t="s">
        <v>24</v>
      </c>
      <c r="I144" s="182">
        <v>3</v>
      </c>
      <c r="J144" s="183"/>
      <c r="K144" s="183"/>
      <c r="L144" s="2239"/>
      <c r="M144" s="163">
        <v>1</v>
      </c>
      <c r="N144" s="166">
        <v>21500</v>
      </c>
      <c r="O144" s="173">
        <v>0.2</v>
      </c>
      <c r="P144" s="166">
        <f t="shared" ref="P144:P153" si="35">N144*(1-O144)</f>
        <v>17200</v>
      </c>
      <c r="Q144" s="166">
        <f t="shared" si="31"/>
        <v>51600</v>
      </c>
      <c r="R144" s="184">
        <f t="shared" si="32"/>
        <v>0.11313024178588599</v>
      </c>
      <c r="S144" s="503">
        <f t="shared" si="33"/>
        <v>51600</v>
      </c>
      <c r="T144" s="394">
        <f t="shared" si="34"/>
        <v>51600</v>
      </c>
      <c r="X144" s="286"/>
      <c r="Y144" s="394">
        <f>S144</f>
        <v>51600</v>
      </c>
      <c r="Z144" s="395"/>
      <c r="AA144" s="174">
        <f>S144</f>
        <v>51600</v>
      </c>
      <c r="AB144" s="172"/>
      <c r="AC144" s="172"/>
      <c r="AD144" s="174"/>
      <c r="AE144" s="174"/>
      <c r="AF144" s="172"/>
      <c r="AG144" s="172"/>
      <c r="AH144" s="172"/>
      <c r="AI144" s="172"/>
      <c r="AJ144" s="172"/>
      <c r="AK144" s="172"/>
      <c r="AL144" s="172"/>
    </row>
    <row r="145" spans="1:38" x14ac:dyDescent="0.3">
      <c r="A145" s="157" t="s">
        <v>1151</v>
      </c>
      <c r="B145" s="157" t="s">
        <v>276</v>
      </c>
      <c r="C145" s="157" t="s">
        <v>1017</v>
      </c>
      <c r="D145" s="157" t="s">
        <v>277</v>
      </c>
      <c r="E145" s="157" t="s">
        <v>518</v>
      </c>
      <c r="F145" s="158" t="s">
        <v>203</v>
      </c>
      <c r="G145" s="157">
        <v>1</v>
      </c>
      <c r="H145" s="157" t="s">
        <v>63</v>
      </c>
      <c r="I145" s="188"/>
      <c r="K145" s="176">
        <v>10</v>
      </c>
      <c r="L145" s="177"/>
      <c r="M145" s="163">
        <v>1</v>
      </c>
      <c r="N145" s="166">
        <v>80000</v>
      </c>
      <c r="O145" s="173">
        <v>0.1</v>
      </c>
      <c r="P145" s="166">
        <f t="shared" si="35"/>
        <v>72000</v>
      </c>
      <c r="Q145" s="166">
        <f t="shared" si="31"/>
        <v>72000</v>
      </c>
      <c r="R145" s="167">
        <f t="shared" si="32"/>
        <v>0.15785615132914324</v>
      </c>
      <c r="S145" s="503">
        <f t="shared" si="33"/>
        <v>72000</v>
      </c>
      <c r="T145" s="394"/>
      <c r="U145" s="169">
        <f>S145</f>
        <v>72000</v>
      </c>
      <c r="X145" s="286"/>
      <c r="Y145" s="394"/>
      <c r="Z145" s="395">
        <f>S145</f>
        <v>72000</v>
      </c>
      <c r="AA145" s="172"/>
      <c r="AB145" s="174">
        <f>S145</f>
        <v>72000</v>
      </c>
      <c r="AC145" s="172"/>
      <c r="AD145" s="172"/>
      <c r="AE145" s="174"/>
      <c r="AF145" s="172"/>
      <c r="AG145" s="172"/>
      <c r="AH145" s="172"/>
      <c r="AI145" s="172"/>
      <c r="AJ145" s="172"/>
      <c r="AK145" s="172"/>
      <c r="AL145" s="172"/>
    </row>
    <row r="146" spans="1:38" x14ac:dyDescent="0.3">
      <c r="A146" s="157" t="s">
        <v>1151</v>
      </c>
      <c r="B146" s="157" t="s">
        <v>278</v>
      </c>
      <c r="C146" s="157" t="s">
        <v>1017</v>
      </c>
      <c r="D146" s="157" t="s">
        <v>279</v>
      </c>
      <c r="E146" s="157" t="s">
        <v>520</v>
      </c>
      <c r="F146" s="158" t="s">
        <v>802</v>
      </c>
      <c r="G146" s="157">
        <v>20</v>
      </c>
      <c r="H146" s="157" t="s">
        <v>63</v>
      </c>
      <c r="I146" s="175">
        <v>20</v>
      </c>
      <c r="J146" s="688"/>
      <c r="L146" s="286"/>
      <c r="M146" s="163">
        <v>1</v>
      </c>
      <c r="N146" s="166">
        <v>5124</v>
      </c>
      <c r="O146" s="173">
        <v>0.15</v>
      </c>
      <c r="P146" s="166">
        <f t="shared" si="35"/>
        <v>4355.3999999999996</v>
      </c>
      <c r="Q146" s="166">
        <f t="shared" si="31"/>
        <v>87108</v>
      </c>
      <c r="R146" s="184">
        <f t="shared" si="32"/>
        <v>0.19097963374970847</v>
      </c>
      <c r="S146" s="503">
        <f t="shared" si="33"/>
        <v>87108</v>
      </c>
      <c r="T146" s="394">
        <f t="shared" ref="T146" si="36">S146</f>
        <v>87108</v>
      </c>
      <c r="X146" s="286"/>
      <c r="Y146" s="394">
        <f>S146</f>
        <v>87108</v>
      </c>
      <c r="Z146" s="395"/>
      <c r="AA146" s="172"/>
      <c r="AB146" s="172"/>
      <c r="AC146" s="174">
        <f>S146</f>
        <v>87108</v>
      </c>
      <c r="AD146" s="172"/>
      <c r="AE146" s="174"/>
      <c r="AF146" s="172"/>
      <c r="AG146" s="172"/>
      <c r="AH146" s="172"/>
      <c r="AI146" s="172"/>
      <c r="AJ146" s="172"/>
      <c r="AK146" s="172"/>
      <c r="AL146" s="172"/>
    </row>
    <row r="147" spans="1:38" x14ac:dyDescent="0.3">
      <c r="A147" s="157" t="s">
        <v>1151</v>
      </c>
      <c r="B147" s="157" t="s">
        <v>281</v>
      </c>
      <c r="C147" s="157" t="s">
        <v>1017</v>
      </c>
      <c r="D147" s="157" t="s">
        <v>102</v>
      </c>
      <c r="E147" s="157" t="s">
        <v>518</v>
      </c>
      <c r="F147" s="158" t="s">
        <v>1104</v>
      </c>
      <c r="G147" s="157">
        <v>2</v>
      </c>
      <c r="H147" s="157" t="s">
        <v>22</v>
      </c>
      <c r="I147" s="182">
        <v>2</v>
      </c>
      <c r="K147" s="183">
        <v>2</v>
      </c>
      <c r="L147" s="286"/>
      <c r="M147" s="163">
        <v>2</v>
      </c>
      <c r="N147" s="166">
        <v>9100</v>
      </c>
      <c r="O147" s="173">
        <v>0.7</v>
      </c>
      <c r="P147" s="166">
        <f t="shared" si="35"/>
        <v>2730.0000000000005</v>
      </c>
      <c r="Q147" s="166">
        <f t="shared" si="31"/>
        <v>10920.000000000002</v>
      </c>
      <c r="R147" s="167">
        <f t="shared" si="32"/>
        <v>2.3941516284920063E-2</v>
      </c>
      <c r="S147" s="503">
        <f t="shared" si="33"/>
        <v>10920.000000000002</v>
      </c>
      <c r="T147" s="394">
        <f>S147</f>
        <v>10920.000000000002</v>
      </c>
      <c r="X147" s="286"/>
      <c r="Y147" s="394"/>
      <c r="Z147" s="395">
        <f>S147</f>
        <v>10920.000000000002</v>
      </c>
      <c r="AA147" s="172"/>
      <c r="AB147" s="172"/>
      <c r="AC147" s="172"/>
      <c r="AD147" s="172"/>
      <c r="AE147" s="174">
        <f>S147</f>
        <v>10920.000000000002</v>
      </c>
      <c r="AF147" s="172"/>
      <c r="AG147" s="172"/>
      <c r="AH147" s="172"/>
      <c r="AI147" s="172"/>
      <c r="AJ147" s="172"/>
      <c r="AK147" s="172"/>
      <c r="AL147" s="172"/>
    </row>
    <row r="148" spans="1:38" x14ac:dyDescent="0.3">
      <c r="A148" s="157" t="s">
        <v>1151</v>
      </c>
      <c r="B148" s="157" t="s">
        <v>282</v>
      </c>
      <c r="C148" s="157" t="s">
        <v>1017</v>
      </c>
      <c r="D148" s="157" t="s">
        <v>102</v>
      </c>
      <c r="E148" s="157" t="s">
        <v>518</v>
      </c>
      <c r="F148" s="158" t="s">
        <v>1104</v>
      </c>
      <c r="G148" s="157">
        <v>2</v>
      </c>
      <c r="H148" s="157" t="s">
        <v>63</v>
      </c>
      <c r="I148" s="175">
        <v>2</v>
      </c>
      <c r="J148" s="688"/>
      <c r="L148" s="286"/>
      <c r="M148" s="163">
        <v>1</v>
      </c>
      <c r="N148" s="166">
        <v>18480</v>
      </c>
      <c r="O148" s="173">
        <v>0.35</v>
      </c>
      <c r="P148" s="166">
        <f t="shared" si="35"/>
        <v>12012</v>
      </c>
      <c r="Q148" s="166">
        <f t="shared" si="31"/>
        <v>24024</v>
      </c>
      <c r="R148" s="167">
        <f t="shared" si="32"/>
        <v>5.267133582682413E-2</v>
      </c>
      <c r="S148" s="503">
        <f t="shared" si="33"/>
        <v>24024</v>
      </c>
      <c r="T148" s="394">
        <f>S148</f>
        <v>24024</v>
      </c>
      <c r="U148" s="169"/>
      <c r="X148" s="286"/>
      <c r="Y148" s="394"/>
      <c r="Z148" s="395">
        <f>S148</f>
        <v>24024</v>
      </c>
      <c r="AA148" s="172"/>
      <c r="AB148" s="172"/>
      <c r="AC148" s="172"/>
      <c r="AD148" s="172"/>
      <c r="AE148" s="172"/>
      <c r="AF148" s="174">
        <f>S148</f>
        <v>24024</v>
      </c>
      <c r="AG148" s="172"/>
      <c r="AH148" s="172"/>
      <c r="AI148" s="172"/>
      <c r="AJ148" s="172"/>
      <c r="AK148" s="172"/>
      <c r="AL148" s="172"/>
    </row>
    <row r="149" spans="1:38" x14ac:dyDescent="0.3">
      <c r="A149" s="157" t="s">
        <v>1151</v>
      </c>
      <c r="B149" s="157" t="s">
        <v>209</v>
      </c>
      <c r="C149" s="157" t="s">
        <v>1017</v>
      </c>
      <c r="D149" s="157" t="s">
        <v>26</v>
      </c>
      <c r="E149" s="157" t="s">
        <v>520</v>
      </c>
      <c r="F149" s="158" t="s">
        <v>588</v>
      </c>
      <c r="G149" s="157">
        <v>1</v>
      </c>
      <c r="H149" s="157" t="s">
        <v>24</v>
      </c>
      <c r="I149" s="2445">
        <v>1</v>
      </c>
      <c r="J149" s="726"/>
      <c r="K149" s="726"/>
      <c r="L149" s="727"/>
      <c r="M149" s="163">
        <v>1</v>
      </c>
      <c r="N149" s="166">
        <v>29625</v>
      </c>
      <c r="O149" s="173">
        <v>0.35</v>
      </c>
      <c r="P149" s="166">
        <f t="shared" si="35"/>
        <v>19256.25</v>
      </c>
      <c r="Q149" s="166">
        <f t="shared" si="31"/>
        <v>19256.25</v>
      </c>
      <c r="R149" s="184">
        <f t="shared" si="32"/>
        <v>4.2218298805997423E-2</v>
      </c>
      <c r="S149" s="503">
        <f t="shared" si="33"/>
        <v>19256.25</v>
      </c>
      <c r="T149" s="394"/>
      <c r="V149" s="169">
        <f>S149</f>
        <v>19256.25</v>
      </c>
      <c r="X149" s="286"/>
      <c r="Y149" s="394">
        <f>S149</f>
        <v>19256.25</v>
      </c>
      <c r="Z149" s="286"/>
      <c r="AA149" s="172"/>
      <c r="AB149" s="172"/>
      <c r="AC149" s="174"/>
      <c r="AD149" s="174"/>
      <c r="AE149" s="174"/>
      <c r="AF149" s="172"/>
      <c r="AG149" s="174">
        <f>S149</f>
        <v>19256.25</v>
      </c>
      <c r="AH149" s="172"/>
      <c r="AI149" s="172"/>
      <c r="AJ149" s="172"/>
      <c r="AK149" s="172"/>
      <c r="AL149" s="172"/>
    </row>
    <row r="150" spans="1:38" x14ac:dyDescent="0.3">
      <c r="A150" s="157" t="s">
        <v>1151</v>
      </c>
      <c r="B150" s="157" t="s">
        <v>283</v>
      </c>
      <c r="C150" s="157" t="s">
        <v>1017</v>
      </c>
      <c r="D150" s="157" t="s">
        <v>102</v>
      </c>
      <c r="E150" s="157" t="s">
        <v>518</v>
      </c>
      <c r="F150" s="158" t="s">
        <v>1104</v>
      </c>
      <c r="G150" s="157">
        <v>2</v>
      </c>
      <c r="H150" s="157" t="s">
        <v>24</v>
      </c>
      <c r="I150" s="182">
        <v>2</v>
      </c>
      <c r="J150" s="183"/>
      <c r="K150" s="183"/>
      <c r="L150" s="2239"/>
      <c r="M150" s="163">
        <v>1</v>
      </c>
      <c r="N150" s="166">
        <v>12600</v>
      </c>
      <c r="O150" s="173">
        <v>0.6</v>
      </c>
      <c r="P150" s="166">
        <f t="shared" si="35"/>
        <v>5040</v>
      </c>
      <c r="Q150" s="166">
        <f t="shared" si="31"/>
        <v>10080</v>
      </c>
      <c r="R150" s="167">
        <f t="shared" si="32"/>
        <v>2.2099861186080053E-2</v>
      </c>
      <c r="S150" s="503">
        <f t="shared" si="33"/>
        <v>10080</v>
      </c>
      <c r="T150" s="394">
        <f>S150</f>
        <v>10080</v>
      </c>
      <c r="V150" s="169"/>
      <c r="X150" s="286"/>
      <c r="Y150" s="394"/>
      <c r="Z150" s="395">
        <f>S150</f>
        <v>10080</v>
      </c>
      <c r="AA150" s="172"/>
      <c r="AB150" s="172"/>
      <c r="AC150" s="174"/>
      <c r="AD150" s="174"/>
      <c r="AE150" s="174"/>
      <c r="AF150" s="172"/>
      <c r="AG150" s="172"/>
      <c r="AH150" s="174">
        <f>S150</f>
        <v>10080</v>
      </c>
      <c r="AI150" s="172"/>
      <c r="AJ150" s="172"/>
      <c r="AK150" s="172"/>
      <c r="AL150" s="172"/>
    </row>
    <row r="151" spans="1:38" x14ac:dyDescent="0.3">
      <c r="A151" s="157" t="s">
        <v>1151</v>
      </c>
      <c r="B151" s="157" t="s">
        <v>111</v>
      </c>
      <c r="C151" s="157" t="s">
        <v>1153</v>
      </c>
      <c r="D151" s="157" t="s">
        <v>284</v>
      </c>
      <c r="E151" s="157" t="s">
        <v>518</v>
      </c>
      <c r="F151" s="158" t="s">
        <v>285</v>
      </c>
      <c r="G151" s="157">
        <v>1</v>
      </c>
      <c r="H151" s="157" t="s">
        <v>22</v>
      </c>
      <c r="I151" s="1"/>
      <c r="J151" s="183">
        <v>63</v>
      </c>
      <c r="K151" s="1"/>
      <c r="L151" s="286"/>
      <c r="M151" s="163">
        <v>1</v>
      </c>
      <c r="N151" s="166">
        <v>90935.46</v>
      </c>
      <c r="O151" s="173">
        <v>0.43</v>
      </c>
      <c r="P151" s="166">
        <f t="shared" si="35"/>
        <v>51833.212200000009</v>
      </c>
      <c r="Q151" s="166">
        <f t="shared" si="31"/>
        <v>51833.212200000009</v>
      </c>
      <c r="R151" s="393">
        <f t="shared" si="32"/>
        <v>0.1136415470683166</v>
      </c>
      <c r="S151" s="503">
        <f t="shared" si="33"/>
        <v>51833.212200000009</v>
      </c>
      <c r="T151" s="188"/>
      <c r="V151" s="169">
        <f>S151</f>
        <v>51833.212200000009</v>
      </c>
      <c r="X151" s="286"/>
      <c r="Y151" s="394"/>
      <c r="Z151" s="395">
        <f>S151</f>
        <v>51833.212200000009</v>
      </c>
      <c r="AA151" s="172"/>
      <c r="AB151" s="172"/>
      <c r="AC151" s="174"/>
      <c r="AD151" s="172"/>
      <c r="AE151" s="172"/>
      <c r="AF151" s="172"/>
      <c r="AG151" s="172"/>
      <c r="AH151" s="172"/>
      <c r="AI151" s="172"/>
      <c r="AJ151" s="174">
        <f>S151</f>
        <v>51833.212200000009</v>
      </c>
      <c r="AK151" s="172"/>
      <c r="AL151" s="172"/>
    </row>
    <row r="152" spans="1:38" x14ac:dyDescent="0.3">
      <c r="A152" s="157" t="s">
        <v>1151</v>
      </c>
      <c r="B152" s="157" t="s">
        <v>286</v>
      </c>
      <c r="C152" s="157" t="s">
        <v>1021</v>
      </c>
      <c r="D152" s="157" t="s">
        <v>68</v>
      </c>
      <c r="E152" s="157" t="s">
        <v>520</v>
      </c>
      <c r="F152" s="158" t="s">
        <v>552</v>
      </c>
      <c r="G152" s="157">
        <v>25</v>
      </c>
      <c r="H152" s="157" t="s">
        <v>24</v>
      </c>
      <c r="I152" s="182">
        <v>25</v>
      </c>
      <c r="J152" s="183"/>
      <c r="K152" s="183"/>
      <c r="L152" s="2239"/>
      <c r="M152" s="163">
        <v>1</v>
      </c>
      <c r="N152" s="166">
        <v>10350</v>
      </c>
      <c r="O152" s="173">
        <v>0.8</v>
      </c>
      <c r="P152" s="166">
        <f t="shared" si="35"/>
        <v>2069.9999999999995</v>
      </c>
      <c r="Q152" s="166">
        <f t="shared" si="31"/>
        <v>51749.999999999985</v>
      </c>
      <c r="R152" s="178">
        <f t="shared" si="32"/>
        <v>0.11345910876782167</v>
      </c>
      <c r="S152" s="503">
        <f t="shared" si="33"/>
        <v>51749.999999999985</v>
      </c>
      <c r="T152" s="188"/>
      <c r="V152" s="169">
        <f>S152</f>
        <v>51749.999999999985</v>
      </c>
      <c r="X152" s="286"/>
      <c r="Y152" s="394">
        <f>S152</f>
        <v>51749.999999999985</v>
      </c>
      <c r="Z152" s="286"/>
      <c r="AA152" s="172"/>
      <c r="AB152" s="172"/>
      <c r="AC152" s="172"/>
      <c r="AD152" s="172"/>
      <c r="AE152" s="172"/>
      <c r="AF152" s="172"/>
      <c r="AG152" s="172"/>
      <c r="AH152" s="172"/>
      <c r="AI152" s="172"/>
      <c r="AJ152" s="172"/>
      <c r="AK152" s="174">
        <f>S152</f>
        <v>51749.999999999985</v>
      </c>
      <c r="AL152" s="174">
        <f>T152</f>
        <v>0</v>
      </c>
    </row>
    <row r="153" spans="1:38" x14ac:dyDescent="0.3">
      <c r="A153" s="157" t="s">
        <v>1151</v>
      </c>
      <c r="B153" s="157" t="s">
        <v>287</v>
      </c>
      <c r="C153" s="157" t="s">
        <v>1155</v>
      </c>
      <c r="D153" s="157" t="s">
        <v>252</v>
      </c>
      <c r="E153" s="157" t="s">
        <v>520</v>
      </c>
      <c r="F153" s="158" t="s">
        <v>589</v>
      </c>
      <c r="G153" s="157">
        <v>2</v>
      </c>
      <c r="H153" s="157" t="s">
        <v>24</v>
      </c>
      <c r="I153" s="182">
        <v>2</v>
      </c>
      <c r="J153" s="183"/>
      <c r="K153" s="183"/>
      <c r="L153" s="2239"/>
      <c r="M153" s="163">
        <v>1</v>
      </c>
      <c r="N153" s="166">
        <v>19000</v>
      </c>
      <c r="O153" s="173">
        <v>0.45</v>
      </c>
      <c r="P153" s="166">
        <f t="shared" si="35"/>
        <v>10450</v>
      </c>
      <c r="Q153" s="166">
        <f t="shared" si="31"/>
        <v>20900</v>
      </c>
      <c r="R153" s="178">
        <f t="shared" si="32"/>
        <v>4.5822132816376301E-2</v>
      </c>
      <c r="S153" s="503">
        <f t="shared" si="33"/>
        <v>20900</v>
      </c>
      <c r="T153" s="394">
        <f>S153</f>
        <v>20900</v>
      </c>
      <c r="V153" s="169"/>
      <c r="X153" s="286"/>
      <c r="Y153" s="394">
        <f>S153</f>
        <v>20900</v>
      </c>
      <c r="Z153" s="286"/>
      <c r="AA153" s="172"/>
      <c r="AB153" s="172"/>
      <c r="AC153" s="172"/>
      <c r="AD153" s="172"/>
      <c r="AE153" s="172"/>
      <c r="AF153" s="172"/>
      <c r="AG153" s="172"/>
      <c r="AH153" s="172"/>
      <c r="AI153" s="172"/>
      <c r="AJ153" s="172"/>
      <c r="AK153" s="172"/>
      <c r="AL153" s="174">
        <f>S153</f>
        <v>20900</v>
      </c>
    </row>
    <row r="154" spans="1:38" x14ac:dyDescent="0.3">
      <c r="A154" s="172"/>
      <c r="B154" s="157"/>
      <c r="C154" s="190"/>
      <c r="D154" s="190"/>
      <c r="E154" s="190"/>
      <c r="F154" s="191"/>
      <c r="G154" s="190"/>
      <c r="H154" s="190"/>
      <c r="I154" s="245"/>
      <c r="J154" s="245"/>
      <c r="K154" s="245"/>
      <c r="L154" s="287"/>
      <c r="M154" s="190"/>
      <c r="N154" s="194"/>
      <c r="O154" s="195"/>
      <c r="P154" s="194"/>
      <c r="Q154" s="166"/>
      <c r="R154" s="393"/>
      <c r="S154" s="503"/>
      <c r="T154" s="188"/>
      <c r="X154" s="286"/>
      <c r="Y154" s="188"/>
      <c r="Z154" s="286"/>
      <c r="AA154" s="172"/>
      <c r="AB154" s="172"/>
      <c r="AC154" s="172"/>
      <c r="AD154" s="172"/>
      <c r="AE154" s="172"/>
      <c r="AF154" s="172"/>
      <c r="AG154" s="172"/>
      <c r="AH154" s="172"/>
      <c r="AI154" s="172"/>
      <c r="AJ154" s="172"/>
      <c r="AK154" s="172"/>
      <c r="AL154" s="172"/>
    </row>
    <row r="155" spans="1:38" x14ac:dyDescent="0.3">
      <c r="A155" s="108" t="s">
        <v>1151</v>
      </c>
      <c r="B155" s="108" t="s">
        <v>528</v>
      </c>
      <c r="C155" s="289"/>
      <c r="D155" s="252"/>
      <c r="E155" s="252"/>
      <c r="F155" s="253"/>
      <c r="G155" s="252"/>
      <c r="H155" s="252"/>
      <c r="I155" s="254"/>
      <c r="J155" s="254"/>
      <c r="K155" s="254"/>
      <c r="L155" s="254"/>
      <c r="M155" s="252"/>
      <c r="N155" s="255"/>
      <c r="O155" s="256"/>
      <c r="P155" s="290"/>
      <c r="Q155" s="257">
        <v>8000</v>
      </c>
      <c r="R155" s="291">
        <f>Q155/Q158</f>
        <v>1.7539572369904805E-2</v>
      </c>
      <c r="S155" s="503">
        <f>Q155</f>
        <v>8000</v>
      </c>
      <c r="T155" s="188"/>
      <c r="W155" s="169">
        <f>S155</f>
        <v>8000</v>
      </c>
      <c r="X155" s="286"/>
      <c r="Y155" s="188"/>
      <c r="Z155" s="286"/>
      <c r="AA155" s="172"/>
      <c r="AB155" s="172"/>
      <c r="AC155" s="172"/>
      <c r="AD155" s="172"/>
      <c r="AE155" s="172"/>
      <c r="AF155" s="172"/>
      <c r="AG155" s="172"/>
      <c r="AH155" s="172"/>
      <c r="AI155" s="172"/>
      <c r="AJ155" s="172"/>
      <c r="AK155" s="172"/>
      <c r="AL155" s="172"/>
    </row>
    <row r="156" spans="1:38" x14ac:dyDescent="0.3">
      <c r="A156" s="108" t="s">
        <v>1151</v>
      </c>
      <c r="B156" s="108" t="s">
        <v>529</v>
      </c>
      <c r="C156" s="289"/>
      <c r="D156" s="252"/>
      <c r="E156" s="252"/>
      <c r="F156" s="253"/>
      <c r="G156" s="252"/>
      <c r="H156" s="252"/>
      <c r="I156" s="254"/>
      <c r="J156" s="254"/>
      <c r="K156" s="254"/>
      <c r="L156" s="254"/>
      <c r="M156" s="252"/>
      <c r="N156" s="255"/>
      <c r="O156" s="256"/>
      <c r="P156" s="290"/>
      <c r="Q156" s="257">
        <v>19000</v>
      </c>
      <c r="R156" s="291">
        <f>Q156/Q158</f>
        <v>4.1656484378523914E-2</v>
      </c>
      <c r="S156" s="503">
        <f>Q156</f>
        <v>19000</v>
      </c>
      <c r="T156" s="188"/>
      <c r="X156" s="395">
        <f>S156</f>
        <v>19000</v>
      </c>
      <c r="Y156" s="188"/>
      <c r="Z156" s="286"/>
      <c r="AA156" s="172"/>
      <c r="AB156" s="172"/>
      <c r="AC156" s="172"/>
      <c r="AD156" s="172"/>
      <c r="AE156" s="172"/>
      <c r="AF156" s="172"/>
      <c r="AG156" s="172"/>
      <c r="AH156" s="172"/>
      <c r="AI156" s="172"/>
      <c r="AJ156" s="172"/>
      <c r="AK156" s="172"/>
      <c r="AL156" s="172"/>
    </row>
    <row r="157" spans="1:38" x14ac:dyDescent="0.3">
      <c r="S157" s="166"/>
      <c r="T157" s="188"/>
      <c r="X157" s="286"/>
      <c r="Y157" s="188"/>
      <c r="Z157" s="286"/>
      <c r="AA157" s="172"/>
      <c r="AB157" s="172"/>
      <c r="AC157" s="172"/>
      <c r="AD157" s="172"/>
      <c r="AE157" s="172"/>
      <c r="AF157" s="172"/>
      <c r="AG157" s="172"/>
      <c r="AH157" s="172"/>
      <c r="AI157" s="172"/>
      <c r="AJ157" s="172"/>
      <c r="AK157" s="172"/>
      <c r="AL157" s="172"/>
    </row>
    <row r="158" spans="1:38" x14ac:dyDescent="0.3">
      <c r="A158" s="326" t="s">
        <v>531</v>
      </c>
      <c r="B158" s="327"/>
      <c r="C158" s="327"/>
      <c r="D158" s="327"/>
      <c r="E158" s="327"/>
      <c r="F158" s="328"/>
      <c r="G158" s="327"/>
      <c r="H158" s="327"/>
      <c r="I158" s="327">
        <f>I153+I152+I150+I149+I148+I147+I146+I144+I143</f>
        <v>59</v>
      </c>
      <c r="J158" s="327">
        <f>J151</f>
        <v>63</v>
      </c>
      <c r="K158" s="327">
        <f>K147</f>
        <v>2</v>
      </c>
      <c r="L158" s="327"/>
      <c r="M158" s="327">
        <f>SUM(I158:L158)</f>
        <v>124</v>
      </c>
      <c r="N158" s="329"/>
      <c r="O158" s="330"/>
      <c r="P158" s="329"/>
      <c r="Q158" s="329">
        <f>SUM(Q142:Q157)</f>
        <v>456111.46220000001</v>
      </c>
      <c r="R158" s="330">
        <f>SUM(R142:R156)</f>
        <v>0.99999999999999989</v>
      </c>
      <c r="S158" s="1546">
        <f>SUM(S140:S157)</f>
        <v>456111.46220000001</v>
      </c>
      <c r="T158" s="517">
        <f t="shared" ref="T158:Z158" si="37">SUM(T140:T156)</f>
        <v>234272</v>
      </c>
      <c r="U158" s="335">
        <f t="shared" si="37"/>
        <v>72000</v>
      </c>
      <c r="V158" s="335">
        <f t="shared" si="37"/>
        <v>122839.46219999999</v>
      </c>
      <c r="W158" s="335">
        <f t="shared" si="37"/>
        <v>8000</v>
      </c>
      <c r="X158" s="335">
        <f t="shared" si="37"/>
        <v>19000</v>
      </c>
      <c r="Y158" s="518">
        <f t="shared" si="37"/>
        <v>230614.25</v>
      </c>
      <c r="Z158" s="519">
        <f t="shared" si="37"/>
        <v>198497.21220000001</v>
      </c>
      <c r="AA158" s="518">
        <f>SUM(AA141:AA156)</f>
        <v>81240</v>
      </c>
      <c r="AB158" s="518">
        <f>SUM(AB141:AB156)</f>
        <v>72000</v>
      </c>
      <c r="AC158" s="518">
        <f t="shared" ref="AC158:AL158" si="38">SUM(AC141:AC156)</f>
        <v>87108</v>
      </c>
      <c r="AD158" s="518">
        <f t="shared" si="38"/>
        <v>0</v>
      </c>
      <c r="AE158" s="518">
        <f t="shared" si="38"/>
        <v>10920.000000000002</v>
      </c>
      <c r="AF158" s="518">
        <f t="shared" si="38"/>
        <v>24024</v>
      </c>
      <c r="AG158" s="518">
        <f t="shared" si="38"/>
        <v>19256.25</v>
      </c>
      <c r="AH158" s="518">
        <f t="shared" si="38"/>
        <v>10080</v>
      </c>
      <c r="AI158" s="518">
        <f t="shared" si="38"/>
        <v>0</v>
      </c>
      <c r="AJ158" s="518">
        <f t="shared" si="38"/>
        <v>51833.212200000009</v>
      </c>
      <c r="AK158" s="2169">
        <f t="shared" si="38"/>
        <v>51749.999999999985</v>
      </c>
      <c r="AL158" s="2169">
        <f t="shared" si="38"/>
        <v>20900</v>
      </c>
    </row>
    <row r="159" spans="1:38" x14ac:dyDescent="0.3">
      <c r="A159" s="342" t="s">
        <v>532</v>
      </c>
      <c r="B159" s="343"/>
      <c r="C159" s="343"/>
      <c r="D159" s="343"/>
      <c r="E159" s="343"/>
      <c r="F159" s="344"/>
      <c r="G159" s="343"/>
      <c r="H159" s="343"/>
      <c r="I159" s="343">
        <f>I153+I152+I150+I149+I148+I147+I146+I144+I143</f>
        <v>59</v>
      </c>
      <c r="J159" s="343">
        <f>I153+I152+J151+I150+I149+I148+I146+I144+I143</f>
        <v>120</v>
      </c>
      <c r="K159" s="343">
        <f>I153+I152+I150+I149+K147+K145+I144+I143</f>
        <v>47</v>
      </c>
      <c r="L159" s="343">
        <f>I153+I152+I150+I149+K145+I144+I143</f>
        <v>45</v>
      </c>
      <c r="M159" s="343">
        <f>SUM(I159:L159)</f>
        <v>271</v>
      </c>
      <c r="N159" s="345"/>
      <c r="O159" s="346"/>
      <c r="P159" s="345"/>
      <c r="Q159" s="345"/>
      <c r="R159" s="346"/>
      <c r="S159" s="1547">
        <f>Q158/M158</f>
        <v>3678.3182435483873</v>
      </c>
      <c r="T159" s="533">
        <f>T158/S158</f>
        <v>0.51362883728029229</v>
      </c>
      <c r="U159" s="350">
        <f>U158/S158</f>
        <v>0.15785615132914324</v>
      </c>
      <c r="V159" s="350">
        <f>V158/S158</f>
        <v>0.26931895464213568</v>
      </c>
      <c r="W159" s="350">
        <f>W158/S158</f>
        <v>1.7539572369904805E-2</v>
      </c>
      <c r="X159" s="350">
        <f>X158/S158</f>
        <v>4.1656484378523914E-2</v>
      </c>
      <c r="Y159" s="313">
        <f>Y158/S158</f>
        <v>0.5056094159257899</v>
      </c>
      <c r="Z159" s="522">
        <f>Z158/S158</f>
        <v>0.4351945273257814</v>
      </c>
      <c r="AA159" s="2165"/>
      <c r="AB159" s="355"/>
      <c r="AC159" s="355"/>
      <c r="AD159" s="355"/>
      <c r="AE159" s="355"/>
      <c r="AF159" s="355"/>
      <c r="AG159" s="355"/>
      <c r="AH159" s="355"/>
      <c r="AI159" s="355"/>
      <c r="AJ159" s="355"/>
      <c r="AK159" s="2170"/>
      <c r="AL159" s="2170"/>
    </row>
    <row r="160" spans="1:38" x14ac:dyDescent="0.3">
      <c r="A160" s="251" t="s">
        <v>533</v>
      </c>
      <c r="B160" s="252"/>
      <c r="C160" s="252"/>
      <c r="D160" s="252"/>
      <c r="E160" s="252"/>
      <c r="F160" s="253"/>
      <c r="G160" s="252"/>
      <c r="H160" s="252"/>
      <c r="I160" s="254"/>
      <c r="J160" s="254"/>
      <c r="K160" s="254"/>
      <c r="L160" s="254"/>
      <c r="M160" s="252"/>
      <c r="N160" s="255"/>
      <c r="O160" s="256"/>
      <c r="P160" s="255"/>
      <c r="Q160" s="257">
        <f>T158</f>
        <v>234272</v>
      </c>
      <c r="R160" s="262">
        <f>Q160/Q165</f>
        <v>0.51362883728029229</v>
      </c>
      <c r="X160" s="248"/>
      <c r="Y160" s="357">
        <f>I144+I146+I149+I152+I153</f>
        <v>51</v>
      </c>
      <c r="Z160" s="358">
        <f>I143+K145+I147+K147+I148+I150+J151</f>
        <v>83</v>
      </c>
      <c r="AA160" s="4"/>
    </row>
    <row r="161" spans="1:38" x14ac:dyDescent="0.3">
      <c r="A161" s="251" t="s">
        <v>11</v>
      </c>
      <c r="B161" s="252"/>
      <c r="C161" s="252"/>
      <c r="D161" s="252"/>
      <c r="E161" s="252"/>
      <c r="F161" s="253"/>
      <c r="G161" s="252"/>
      <c r="H161" s="252"/>
      <c r="I161" s="254"/>
      <c r="J161" s="254"/>
      <c r="K161" s="254"/>
      <c r="L161" s="254"/>
      <c r="M161" s="252"/>
      <c r="N161" s="255"/>
      <c r="O161" s="256"/>
      <c r="P161" s="255"/>
      <c r="Q161" s="257">
        <f>U158</f>
        <v>72000</v>
      </c>
      <c r="R161" s="262">
        <f>Q161/Q165</f>
        <v>0.15785615132914324</v>
      </c>
      <c r="S161" s="2088">
        <f>Q158/M158</f>
        <v>3678.3182435483873</v>
      </c>
      <c r="T161" s="2089" t="s">
        <v>535</v>
      </c>
      <c r="Y161" s="195">
        <f>Y160/M158</f>
        <v>0.41129032258064518</v>
      </c>
      <c r="Z161" s="247">
        <f>Z160/M158</f>
        <v>0.66935483870967738</v>
      </c>
    </row>
    <row r="162" spans="1:38" x14ac:dyDescent="0.3">
      <c r="A162" s="251" t="s">
        <v>536</v>
      </c>
      <c r="B162" s="252"/>
      <c r="C162" s="252"/>
      <c r="D162" s="252"/>
      <c r="E162" s="252"/>
      <c r="F162" s="253"/>
      <c r="G162" s="252"/>
      <c r="H162" s="252"/>
      <c r="I162" s="254"/>
      <c r="J162" s="254"/>
      <c r="K162" s="254"/>
      <c r="L162" s="254"/>
      <c r="M162" s="252"/>
      <c r="N162" s="255"/>
      <c r="O162" s="256"/>
      <c r="P162" s="255"/>
      <c r="Q162" s="257">
        <f>V158</f>
        <v>122839.46219999999</v>
      </c>
      <c r="R162" s="262">
        <f>Q162/Q165</f>
        <v>0.26931895464213568</v>
      </c>
      <c r="W162" s="99"/>
    </row>
    <row r="163" spans="1:38" x14ac:dyDescent="0.3">
      <c r="A163" s="251" t="s">
        <v>529</v>
      </c>
      <c r="B163" s="252"/>
      <c r="C163" s="252"/>
      <c r="D163" s="252"/>
      <c r="E163" s="252"/>
      <c r="F163" s="253"/>
      <c r="G163" s="252"/>
      <c r="H163" s="252"/>
      <c r="I163" s="254"/>
      <c r="J163" s="254"/>
      <c r="K163" s="254"/>
      <c r="L163" s="254"/>
      <c r="M163" s="252"/>
      <c r="N163" s="255"/>
      <c r="O163" s="256"/>
      <c r="P163" s="255"/>
      <c r="Q163" s="257">
        <f>X158</f>
        <v>19000</v>
      </c>
      <c r="R163" s="262">
        <f>Q163/Q165</f>
        <v>4.1656484378523914E-2</v>
      </c>
    </row>
    <row r="164" spans="1:38" x14ac:dyDescent="0.3">
      <c r="A164" s="243" t="s">
        <v>528</v>
      </c>
      <c r="B164" s="193"/>
      <c r="C164" s="193"/>
      <c r="D164" s="193"/>
      <c r="E164" s="193"/>
      <c r="F164" s="244"/>
      <c r="G164" s="193"/>
      <c r="H164" s="193"/>
      <c r="I164" s="245"/>
      <c r="J164" s="245"/>
      <c r="K164" s="245"/>
      <c r="L164" s="245"/>
      <c r="M164" s="193"/>
      <c r="N164" s="246"/>
      <c r="O164" s="196"/>
      <c r="P164" s="246"/>
      <c r="Q164" s="194">
        <f>W158</f>
        <v>8000</v>
      </c>
      <c r="R164" s="247">
        <f>Q164/Q165</f>
        <v>1.7539572369904805E-2</v>
      </c>
    </row>
    <row r="165" spans="1:38" x14ac:dyDescent="0.3">
      <c r="A165" s="243"/>
      <c r="B165" s="193"/>
      <c r="C165" s="193"/>
      <c r="D165" s="193"/>
      <c r="E165" s="193"/>
      <c r="F165" s="244"/>
      <c r="G165" s="193"/>
      <c r="H165" s="193"/>
      <c r="I165" s="245"/>
      <c r="J165" s="245"/>
      <c r="K165" s="245"/>
      <c r="L165" s="245"/>
      <c r="M165" s="193"/>
      <c r="N165" s="246"/>
      <c r="O165" s="196"/>
      <c r="P165" s="246"/>
      <c r="Q165" s="194">
        <f>SUM(Q160:Q164)</f>
        <v>456111.46220000001</v>
      </c>
      <c r="R165" s="247">
        <f>SUM(R160:R164)</f>
        <v>0.99999999999999978</v>
      </c>
      <c r="S165" s="600"/>
    </row>
    <row r="167" spans="1:38" ht="15.6" x14ac:dyDescent="0.3">
      <c r="A167" s="4"/>
      <c r="B167" s="1"/>
      <c r="C167" s="1"/>
      <c r="D167" s="1"/>
      <c r="E167" s="1"/>
      <c r="F167" s="2"/>
      <c r="G167" s="1"/>
      <c r="H167" s="1"/>
      <c r="M167" s="1"/>
      <c r="O167" s="3"/>
      <c r="R167" s="98"/>
      <c r="Z167" s="303">
        <f>SUM(AA168:AL169)</f>
        <v>4009193.6865999997</v>
      </c>
      <c r="AA167" s="2171" t="s">
        <v>289</v>
      </c>
      <c r="AB167" s="2171" t="s">
        <v>294</v>
      </c>
      <c r="AC167" s="2171" t="s">
        <v>290</v>
      </c>
      <c r="AD167" s="2171" t="s">
        <v>291</v>
      </c>
      <c r="AE167" s="2171" t="s">
        <v>292</v>
      </c>
      <c r="AF167" s="2171" t="s">
        <v>293</v>
      </c>
      <c r="AG167" s="2171" t="s">
        <v>205</v>
      </c>
      <c r="AH167" s="2172" t="s">
        <v>295</v>
      </c>
      <c r="AI167" s="2172" t="s">
        <v>5</v>
      </c>
      <c r="AJ167" s="2172" t="s">
        <v>0</v>
      </c>
      <c r="AK167" s="2172" t="s">
        <v>296</v>
      </c>
      <c r="AL167" s="2172" t="s">
        <v>297</v>
      </c>
    </row>
    <row r="168" spans="1:38" x14ac:dyDescent="0.3">
      <c r="A168" s="1568" t="s">
        <v>878</v>
      </c>
      <c r="B168" s="1641"/>
      <c r="C168" s="1641"/>
      <c r="D168" s="1641"/>
      <c r="E168" s="1641"/>
      <c r="F168" s="1642"/>
      <c r="G168" s="1641"/>
      <c r="H168" s="1641"/>
      <c r="I168" s="1643"/>
      <c r="J168" s="1643"/>
      <c r="K168" s="1643"/>
      <c r="L168" s="1643"/>
      <c r="M168" s="1641"/>
      <c r="N168" s="1035"/>
      <c r="O168" s="1644"/>
      <c r="P168" s="1035"/>
      <c r="Q168" s="1645"/>
      <c r="R168" s="1646"/>
      <c r="S168" s="1647">
        <f>S158+S125+S85+S53</f>
        <v>4303779.3988000005</v>
      </c>
      <c r="T168" s="11"/>
      <c r="Z168" t="s">
        <v>601</v>
      </c>
      <c r="AA168" s="1679">
        <f>AA158+AA125+AA85+AA53</f>
        <v>986427.7</v>
      </c>
      <c r="AB168" s="1645">
        <f t="shared" ref="AB168:AL168" si="39">AB158+AB125+AB85+AB53</f>
        <v>576000</v>
      </c>
      <c r="AC168" s="1645">
        <f t="shared" si="39"/>
        <v>988199.1</v>
      </c>
      <c r="AD168" s="1645">
        <f t="shared" si="39"/>
        <v>296999.99999999994</v>
      </c>
      <c r="AE168" s="1645">
        <f t="shared" si="39"/>
        <v>125580.00000000003</v>
      </c>
      <c r="AF168" s="1645">
        <f t="shared" si="39"/>
        <v>96096</v>
      </c>
      <c r="AG168" s="1645">
        <f t="shared" si="39"/>
        <v>404381.25</v>
      </c>
      <c r="AH168" s="1645">
        <f t="shared" si="39"/>
        <v>70560</v>
      </c>
      <c r="AI168" s="1645">
        <f t="shared" si="39"/>
        <v>236800</v>
      </c>
      <c r="AJ168" s="1645">
        <f t="shared" si="39"/>
        <v>155499.63660000003</v>
      </c>
      <c r="AK168" s="1645">
        <f t="shared" si="39"/>
        <v>51749.999999999985</v>
      </c>
      <c r="AL168" s="1645">
        <f t="shared" si="39"/>
        <v>20900</v>
      </c>
    </row>
    <row r="169" spans="1:38" x14ac:dyDescent="0.3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742"/>
      <c r="O169" s="2012"/>
      <c r="P169" s="1742"/>
      <c r="Q169" s="1742"/>
      <c r="R169" s="2013" t="s">
        <v>571</v>
      </c>
      <c r="S169" s="2173">
        <f>D19-S168</f>
        <v>-13461.398800000548</v>
      </c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F81"/>
  <sheetViews>
    <sheetView workbookViewId="0">
      <selection activeCell="H46" sqref="H46:H56"/>
    </sheetView>
  </sheetViews>
  <sheetFormatPr defaultRowHeight="14.4" x14ac:dyDescent="0.3"/>
  <sheetData>
    <row r="1" spans="1:32" x14ac:dyDescent="0.3">
      <c r="A1" s="43" t="s">
        <v>1165</v>
      </c>
      <c r="B1" s="43" t="s">
        <v>334</v>
      </c>
      <c r="C1" s="43" t="s">
        <v>310</v>
      </c>
      <c r="D1" s="43" t="s">
        <v>311</v>
      </c>
      <c r="E1" s="43" t="s">
        <v>312</v>
      </c>
      <c r="F1" s="43" t="s">
        <v>313</v>
      </c>
      <c r="G1" s="2206" t="s">
        <v>451</v>
      </c>
      <c r="H1" s="2206" t="s">
        <v>1166</v>
      </c>
      <c r="I1" s="43" t="s">
        <v>314</v>
      </c>
      <c r="J1" s="43" t="s">
        <v>315</v>
      </c>
      <c r="K1" s="43" t="s">
        <v>335</v>
      </c>
      <c r="L1" s="43" t="s">
        <v>336</v>
      </c>
      <c r="M1" s="43" t="s">
        <v>316</v>
      </c>
      <c r="N1" s="43" t="s">
        <v>317</v>
      </c>
      <c r="O1" s="43" t="s">
        <v>318</v>
      </c>
      <c r="P1" s="43" t="s">
        <v>319</v>
      </c>
      <c r="Q1" s="43" t="s">
        <v>320</v>
      </c>
      <c r="R1" s="43" t="s">
        <v>321</v>
      </c>
      <c r="S1" s="43" t="s">
        <v>341</v>
      </c>
      <c r="T1" s="44" t="s">
        <v>337</v>
      </c>
      <c r="U1" s="43" t="s">
        <v>322</v>
      </c>
      <c r="V1" s="44" t="s">
        <v>338</v>
      </c>
      <c r="W1" s="44" t="s">
        <v>339</v>
      </c>
      <c r="X1" s="45"/>
      <c r="Y1" s="45"/>
      <c r="AB1" s="43"/>
      <c r="AD1" s="43"/>
    </row>
    <row r="2" spans="1:32" x14ac:dyDescent="0.3">
      <c r="A2" s="91" t="s">
        <v>327</v>
      </c>
      <c r="B2" s="48" t="s">
        <v>360</v>
      </c>
      <c r="C2" s="48" t="s">
        <v>378</v>
      </c>
      <c r="D2" s="48" t="s">
        <v>379</v>
      </c>
      <c r="E2" s="1" t="s">
        <v>274</v>
      </c>
      <c r="F2" s="1" t="s">
        <v>275</v>
      </c>
      <c r="G2" s="2186">
        <v>1</v>
      </c>
      <c r="H2" s="2186">
        <f>VLOOKUP(G2,Pesos!A:B,2,0)</f>
        <v>0.9</v>
      </c>
      <c r="I2" s="48" t="s">
        <v>305</v>
      </c>
      <c r="J2" s="48"/>
      <c r="K2" s="1">
        <v>12</v>
      </c>
      <c r="L2" s="48">
        <v>23</v>
      </c>
      <c r="M2" s="1">
        <v>12</v>
      </c>
      <c r="N2" s="1" t="s">
        <v>63</v>
      </c>
      <c r="O2" s="48"/>
      <c r="P2" s="48"/>
      <c r="Q2" s="48">
        <v>12</v>
      </c>
      <c r="R2" s="48"/>
      <c r="S2" s="48">
        <v>1</v>
      </c>
      <c r="T2" s="5">
        <v>5627</v>
      </c>
      <c r="U2" s="24">
        <v>0.1</v>
      </c>
      <c r="V2" s="49">
        <f t="shared" ref="V2:V15" si="0">T2*(1-U2)</f>
        <v>5064.3</v>
      </c>
      <c r="W2" s="49">
        <f t="shared" ref="W2:W15" si="1">V2*S2*M2</f>
        <v>60771.600000000006</v>
      </c>
      <c r="X2" s="50"/>
      <c r="Y2" s="51"/>
      <c r="Z2" s="48"/>
      <c r="AA2" s="47"/>
      <c r="AB2" s="43"/>
      <c r="AC2" s="43"/>
      <c r="AD2" s="43"/>
      <c r="AE2" s="43"/>
      <c r="AF2" s="43"/>
    </row>
    <row r="3" spans="1:32" x14ac:dyDescent="0.3">
      <c r="A3" s="91" t="s">
        <v>327</v>
      </c>
      <c r="B3" s="48" t="s">
        <v>360</v>
      </c>
      <c r="C3" s="48" t="s">
        <v>378</v>
      </c>
      <c r="D3" s="48" t="s">
        <v>379</v>
      </c>
      <c r="E3" s="1" t="s">
        <v>274</v>
      </c>
      <c r="F3" s="1" t="s">
        <v>102</v>
      </c>
      <c r="G3" s="2186">
        <v>3</v>
      </c>
      <c r="H3" s="2186">
        <f>VLOOKUP(G3,Pesos!A:B,2,0)</f>
        <v>0.7</v>
      </c>
      <c r="J3" s="48" t="s">
        <v>305</v>
      </c>
      <c r="K3" s="1">
        <v>8</v>
      </c>
      <c r="L3" s="48">
        <v>15</v>
      </c>
      <c r="M3" s="1">
        <v>2</v>
      </c>
      <c r="N3" s="1" t="s">
        <v>24</v>
      </c>
      <c r="O3" s="48">
        <v>2</v>
      </c>
      <c r="S3" s="48">
        <v>1</v>
      </c>
      <c r="T3" s="5">
        <v>15600</v>
      </c>
      <c r="U3" s="24">
        <v>0.05</v>
      </c>
      <c r="V3" s="49">
        <f t="shared" si="0"/>
        <v>14820</v>
      </c>
      <c r="W3" s="49">
        <f t="shared" si="1"/>
        <v>29640</v>
      </c>
      <c r="X3" s="52"/>
      <c r="Y3" s="53"/>
      <c r="Z3" s="48"/>
    </row>
    <row r="4" spans="1:32" x14ac:dyDescent="0.3">
      <c r="A4" s="91" t="s">
        <v>327</v>
      </c>
      <c r="B4" s="48" t="s">
        <v>360</v>
      </c>
      <c r="C4" s="48" t="s">
        <v>378</v>
      </c>
      <c r="D4" s="48" t="s">
        <v>379</v>
      </c>
      <c r="E4" s="1" t="s">
        <v>274</v>
      </c>
      <c r="F4" s="1" t="s">
        <v>26</v>
      </c>
      <c r="G4" s="2186">
        <v>5</v>
      </c>
      <c r="H4" s="2186">
        <f>VLOOKUP(G4,Pesos!A:B,2,0)</f>
        <v>0.5</v>
      </c>
      <c r="I4" s="48" t="s">
        <v>305</v>
      </c>
      <c r="K4" s="1">
        <v>4</v>
      </c>
      <c r="L4" s="48">
        <v>8</v>
      </c>
      <c r="M4" s="1">
        <v>4</v>
      </c>
      <c r="N4" s="1" t="s">
        <v>63</v>
      </c>
      <c r="O4" s="48">
        <v>4</v>
      </c>
      <c r="S4" s="48">
        <v>1</v>
      </c>
      <c r="T4" s="5">
        <v>21500</v>
      </c>
      <c r="U4" s="24">
        <v>0.2</v>
      </c>
      <c r="V4" s="49">
        <f t="shared" si="0"/>
        <v>17200</v>
      </c>
      <c r="W4" s="49">
        <f t="shared" si="1"/>
        <v>68800</v>
      </c>
      <c r="X4" s="52"/>
      <c r="Y4" s="53"/>
      <c r="Z4" s="48"/>
    </row>
    <row r="5" spans="1:32" x14ac:dyDescent="0.3">
      <c r="A5" s="91" t="s">
        <v>327</v>
      </c>
      <c r="B5" s="48" t="s">
        <v>360</v>
      </c>
      <c r="C5" s="48" t="s">
        <v>378</v>
      </c>
      <c r="D5" s="48" t="s">
        <v>379</v>
      </c>
      <c r="E5" s="1" t="s">
        <v>276</v>
      </c>
      <c r="F5" s="1" t="s">
        <v>277</v>
      </c>
      <c r="G5" s="2186">
        <v>6</v>
      </c>
      <c r="H5" s="2186">
        <f>VLOOKUP(G5,Pesos!A:B,2,0)</f>
        <v>0.4</v>
      </c>
      <c r="J5" s="48" t="s">
        <v>305</v>
      </c>
      <c r="K5" s="1">
        <v>10</v>
      </c>
      <c r="L5" s="54" t="s">
        <v>203</v>
      </c>
      <c r="M5" s="1">
        <v>1</v>
      </c>
      <c r="N5" s="1" t="s">
        <v>63</v>
      </c>
      <c r="Q5" s="48">
        <v>10</v>
      </c>
      <c r="S5" s="48">
        <v>1</v>
      </c>
      <c r="T5" s="5">
        <v>80000</v>
      </c>
      <c r="U5" s="24">
        <v>0.1</v>
      </c>
      <c r="V5" s="49">
        <f t="shared" si="0"/>
        <v>72000</v>
      </c>
      <c r="W5" s="49">
        <f t="shared" si="1"/>
        <v>72000</v>
      </c>
      <c r="X5" s="50"/>
      <c r="Y5" s="53"/>
      <c r="Z5" s="48"/>
    </row>
    <row r="6" spans="1:32" x14ac:dyDescent="0.3">
      <c r="A6" s="91" t="s">
        <v>327</v>
      </c>
      <c r="B6" s="48" t="s">
        <v>360</v>
      </c>
      <c r="C6" s="48" t="s">
        <v>378</v>
      </c>
      <c r="D6" s="48" t="s">
        <v>379</v>
      </c>
      <c r="E6" s="1" t="s">
        <v>278</v>
      </c>
      <c r="F6" s="1" t="s">
        <v>279</v>
      </c>
      <c r="G6" s="2186">
        <v>2</v>
      </c>
      <c r="H6" s="2186">
        <f>VLOOKUP(G6,Pesos!A:B,2,0)</f>
        <v>0.8</v>
      </c>
      <c r="I6" s="48" t="s">
        <v>305</v>
      </c>
      <c r="K6" s="1">
        <v>12</v>
      </c>
      <c r="L6" s="54" t="s">
        <v>53</v>
      </c>
      <c r="M6" s="1">
        <v>20</v>
      </c>
      <c r="N6" s="1" t="s">
        <v>63</v>
      </c>
      <c r="O6" s="48">
        <v>20</v>
      </c>
      <c r="S6" s="48">
        <v>1</v>
      </c>
      <c r="T6" s="5">
        <v>5627</v>
      </c>
      <c r="U6" s="24">
        <v>0.1</v>
      </c>
      <c r="V6" s="49">
        <f t="shared" si="0"/>
        <v>5064.3</v>
      </c>
      <c r="W6" s="49">
        <f t="shared" si="1"/>
        <v>101286</v>
      </c>
      <c r="X6" s="52"/>
      <c r="Y6" s="53"/>
      <c r="Z6" s="48"/>
    </row>
    <row r="7" spans="1:32" x14ac:dyDescent="0.3">
      <c r="A7" s="91" t="s">
        <v>327</v>
      </c>
      <c r="B7" s="48" t="s">
        <v>360</v>
      </c>
      <c r="C7" s="48" t="s">
        <v>378</v>
      </c>
      <c r="D7" s="48" t="s">
        <v>379</v>
      </c>
      <c r="E7" s="72" t="s">
        <v>280</v>
      </c>
      <c r="F7" s="72" t="s">
        <v>29</v>
      </c>
      <c r="G7" s="2207">
        <v>4</v>
      </c>
      <c r="H7" s="2186">
        <f>VLOOKUP(G7,Pesos!A:B,2,0)</f>
        <v>0.6</v>
      </c>
      <c r="I7" s="48" t="s">
        <v>305</v>
      </c>
      <c r="K7" s="72">
        <v>3</v>
      </c>
      <c r="L7" s="54" t="s">
        <v>263</v>
      </c>
      <c r="M7" s="72">
        <v>1</v>
      </c>
      <c r="N7" s="72" t="s">
        <v>24</v>
      </c>
      <c r="O7" s="48">
        <v>1</v>
      </c>
      <c r="S7" s="48">
        <v>1</v>
      </c>
      <c r="T7" s="5">
        <v>110000</v>
      </c>
      <c r="U7" s="24">
        <v>0.55000000000000004</v>
      </c>
      <c r="V7" s="49">
        <f t="shared" si="0"/>
        <v>49499.999999999993</v>
      </c>
      <c r="W7" s="49">
        <f t="shared" si="1"/>
        <v>49499.999999999993</v>
      </c>
      <c r="X7" s="52"/>
      <c r="Y7" s="53"/>
      <c r="Z7" s="48"/>
    </row>
    <row r="8" spans="1:32" x14ac:dyDescent="0.3">
      <c r="A8" s="91" t="s">
        <v>327</v>
      </c>
      <c r="B8" s="48" t="s">
        <v>360</v>
      </c>
      <c r="C8" s="48" t="s">
        <v>378</v>
      </c>
      <c r="D8" s="48" t="s">
        <v>379</v>
      </c>
      <c r="E8" s="1" t="s">
        <v>281</v>
      </c>
      <c r="F8" s="1" t="s">
        <v>102</v>
      </c>
      <c r="G8" s="2186">
        <v>3</v>
      </c>
      <c r="H8" s="2186">
        <f>VLOOKUP(G8,Pesos!A:B,2,0)</f>
        <v>0.7</v>
      </c>
      <c r="J8" s="48" t="s">
        <v>305</v>
      </c>
      <c r="K8" s="1">
        <v>8</v>
      </c>
      <c r="L8" s="54" t="s">
        <v>256</v>
      </c>
      <c r="M8" s="1">
        <v>3</v>
      </c>
      <c r="N8" s="1" t="s">
        <v>22</v>
      </c>
      <c r="O8" s="48">
        <v>3</v>
      </c>
      <c r="Q8" s="48">
        <v>3</v>
      </c>
      <c r="S8" s="48">
        <v>2</v>
      </c>
      <c r="T8" s="5">
        <v>9100</v>
      </c>
      <c r="U8" s="24">
        <v>0.7</v>
      </c>
      <c r="V8" s="49">
        <f t="shared" si="0"/>
        <v>2730.0000000000005</v>
      </c>
      <c r="W8" s="49">
        <f t="shared" si="1"/>
        <v>16380.000000000004</v>
      </c>
      <c r="X8" s="52"/>
      <c r="Y8" s="53"/>
      <c r="Z8" s="48"/>
    </row>
    <row r="9" spans="1:32" x14ac:dyDescent="0.3">
      <c r="A9" s="91" t="s">
        <v>327</v>
      </c>
      <c r="B9" s="48" t="s">
        <v>360</v>
      </c>
      <c r="C9" s="48" t="s">
        <v>378</v>
      </c>
      <c r="D9" s="48" t="s">
        <v>379</v>
      </c>
      <c r="E9" s="1" t="s">
        <v>282</v>
      </c>
      <c r="F9" s="1" t="s">
        <v>102</v>
      </c>
      <c r="G9" s="2186">
        <v>3</v>
      </c>
      <c r="H9" s="2186">
        <f>VLOOKUP(G9,Pesos!A:B,2,0)</f>
        <v>0.7</v>
      </c>
      <c r="J9" s="48" t="s">
        <v>305</v>
      </c>
      <c r="K9" s="1">
        <v>8</v>
      </c>
      <c r="L9" s="54" t="s">
        <v>256</v>
      </c>
      <c r="M9" s="1">
        <v>2</v>
      </c>
      <c r="N9" s="1" t="s">
        <v>63</v>
      </c>
      <c r="O9" s="48">
        <v>2</v>
      </c>
      <c r="S9" s="48">
        <v>1</v>
      </c>
      <c r="T9" s="5">
        <v>18480</v>
      </c>
      <c r="U9" s="24">
        <v>0.35</v>
      </c>
      <c r="V9" s="49">
        <f t="shared" si="0"/>
        <v>12012</v>
      </c>
      <c r="W9" s="49">
        <f t="shared" si="1"/>
        <v>24024</v>
      </c>
      <c r="X9" s="52"/>
      <c r="Y9" s="53"/>
      <c r="Z9" s="48"/>
    </row>
    <row r="10" spans="1:32" x14ac:dyDescent="0.3">
      <c r="A10" s="91" t="s">
        <v>327</v>
      </c>
      <c r="B10" s="48" t="s">
        <v>360</v>
      </c>
      <c r="C10" s="48" t="s">
        <v>378</v>
      </c>
      <c r="D10" s="48" t="s">
        <v>379</v>
      </c>
      <c r="E10" s="1" t="s">
        <v>209</v>
      </c>
      <c r="F10" s="1" t="s">
        <v>26</v>
      </c>
      <c r="G10" s="2186">
        <v>4</v>
      </c>
      <c r="H10" s="2186">
        <f>VLOOKUP(G10,Pesos!A:B,2,0)</f>
        <v>0.6</v>
      </c>
      <c r="I10" s="48" t="s">
        <v>305</v>
      </c>
      <c r="K10" s="1">
        <v>4</v>
      </c>
      <c r="L10" s="48">
        <v>8</v>
      </c>
      <c r="M10" s="1">
        <v>3</v>
      </c>
      <c r="N10" s="1" t="s">
        <v>24</v>
      </c>
      <c r="O10" s="48">
        <v>3</v>
      </c>
      <c r="S10" s="48">
        <v>1</v>
      </c>
      <c r="T10" s="5">
        <v>29625</v>
      </c>
      <c r="U10" s="24">
        <v>0.35</v>
      </c>
      <c r="V10" s="49">
        <f t="shared" si="0"/>
        <v>19256.25</v>
      </c>
      <c r="W10" s="49">
        <f t="shared" si="1"/>
        <v>57768.75</v>
      </c>
      <c r="X10" s="52"/>
      <c r="Y10" s="53"/>
      <c r="Z10" s="48"/>
    </row>
    <row r="11" spans="1:32" x14ac:dyDescent="0.3">
      <c r="A11" s="91" t="s">
        <v>327</v>
      </c>
      <c r="B11" s="48" t="s">
        <v>360</v>
      </c>
      <c r="C11" s="48" t="s">
        <v>378</v>
      </c>
      <c r="D11" s="48" t="s">
        <v>379</v>
      </c>
      <c r="E11" s="1" t="s">
        <v>283</v>
      </c>
      <c r="F11" s="1" t="s">
        <v>102</v>
      </c>
      <c r="G11" s="2186">
        <v>3</v>
      </c>
      <c r="H11" s="2186">
        <f>VLOOKUP(G11,Pesos!A:B,2,0)</f>
        <v>0.7</v>
      </c>
      <c r="J11" s="48" t="s">
        <v>305</v>
      </c>
      <c r="K11" s="1">
        <v>8</v>
      </c>
      <c r="L11" s="48">
        <v>15</v>
      </c>
      <c r="M11" s="1">
        <v>3</v>
      </c>
      <c r="N11" s="1" t="s">
        <v>24</v>
      </c>
      <c r="O11" s="48">
        <v>3</v>
      </c>
      <c r="S11" s="48">
        <v>1</v>
      </c>
      <c r="T11" s="5">
        <v>12600</v>
      </c>
      <c r="U11" s="24">
        <v>0.6</v>
      </c>
      <c r="V11" s="57">
        <f t="shared" si="0"/>
        <v>5040</v>
      </c>
      <c r="W11" s="49">
        <f t="shared" si="1"/>
        <v>15120</v>
      </c>
      <c r="X11" s="52"/>
      <c r="Y11" s="53"/>
      <c r="Z11" s="48"/>
    </row>
    <row r="12" spans="1:32" x14ac:dyDescent="0.3">
      <c r="A12" s="91" t="s">
        <v>327</v>
      </c>
      <c r="B12" s="48" t="s">
        <v>360</v>
      </c>
      <c r="C12" s="48" t="s">
        <v>378</v>
      </c>
      <c r="D12" s="48" t="s">
        <v>379</v>
      </c>
      <c r="E12" s="1" t="s">
        <v>108</v>
      </c>
      <c r="F12" s="1" t="s">
        <v>29</v>
      </c>
      <c r="G12" s="2186">
        <v>4</v>
      </c>
      <c r="H12" s="2186">
        <f>VLOOKUP(G12,Pesos!A:B,2,0)</f>
        <v>0.6</v>
      </c>
      <c r="I12" s="48" t="s">
        <v>305</v>
      </c>
      <c r="K12" s="1">
        <v>3</v>
      </c>
      <c r="L12" s="48">
        <v>7</v>
      </c>
      <c r="M12" s="1">
        <v>1</v>
      </c>
      <c r="N12" s="1" t="s">
        <v>24</v>
      </c>
      <c r="O12" s="48">
        <v>1</v>
      </c>
      <c r="S12" s="48">
        <v>1</v>
      </c>
      <c r="T12" s="5">
        <v>35000</v>
      </c>
      <c r="U12" s="24">
        <v>0.2</v>
      </c>
      <c r="V12" s="57">
        <f t="shared" si="0"/>
        <v>28000</v>
      </c>
      <c r="W12" s="49">
        <f t="shared" si="1"/>
        <v>28000</v>
      </c>
      <c r="X12" s="52"/>
      <c r="Y12" s="53"/>
      <c r="Z12" s="48"/>
    </row>
    <row r="13" spans="1:32" x14ac:dyDescent="0.3">
      <c r="A13" s="91" t="s">
        <v>327</v>
      </c>
      <c r="B13" s="48" t="s">
        <v>360</v>
      </c>
      <c r="C13" s="48" t="s">
        <v>378</v>
      </c>
      <c r="D13" s="48" t="s">
        <v>379</v>
      </c>
      <c r="E13" s="1" t="s">
        <v>108</v>
      </c>
      <c r="F13" s="1" t="s">
        <v>29</v>
      </c>
      <c r="G13" s="2186">
        <v>4</v>
      </c>
      <c r="H13" s="2186">
        <f>VLOOKUP(G13,Pesos!A:B,2,0)</f>
        <v>0.6</v>
      </c>
      <c r="I13" s="48" t="s">
        <v>305</v>
      </c>
      <c r="K13" s="1">
        <v>3</v>
      </c>
      <c r="L13" s="54" t="s">
        <v>263</v>
      </c>
      <c r="M13" s="1">
        <v>1</v>
      </c>
      <c r="N13" s="1" t="s">
        <v>24</v>
      </c>
      <c r="O13" s="48">
        <v>1</v>
      </c>
      <c r="S13" s="48">
        <v>1</v>
      </c>
      <c r="T13" s="5">
        <v>43000</v>
      </c>
      <c r="U13" s="24">
        <v>0.2</v>
      </c>
      <c r="V13" s="57">
        <f t="shared" si="0"/>
        <v>34400</v>
      </c>
      <c r="W13" s="49">
        <f t="shared" si="1"/>
        <v>34400</v>
      </c>
      <c r="X13" s="52"/>
      <c r="Y13" s="53"/>
      <c r="Z13" s="48"/>
    </row>
    <row r="14" spans="1:32" x14ac:dyDescent="0.3">
      <c r="A14" s="91" t="s">
        <v>327</v>
      </c>
      <c r="B14" s="48" t="s">
        <v>360</v>
      </c>
      <c r="C14" s="48" t="s">
        <v>378</v>
      </c>
      <c r="D14" s="48" t="s">
        <v>379</v>
      </c>
      <c r="E14" s="1" t="s">
        <v>111</v>
      </c>
      <c r="F14" s="1" t="s">
        <v>284</v>
      </c>
      <c r="G14" s="2186">
        <v>7</v>
      </c>
      <c r="H14" s="2186">
        <f>VLOOKUP(G14,Pesos!A:B,2,0)</f>
        <v>0.3</v>
      </c>
      <c r="J14" s="48" t="s">
        <v>305</v>
      </c>
      <c r="K14" s="1">
        <v>63</v>
      </c>
      <c r="L14" s="54" t="s">
        <v>285</v>
      </c>
      <c r="M14" s="1">
        <v>1</v>
      </c>
      <c r="N14" s="1" t="s">
        <v>22</v>
      </c>
      <c r="P14" s="48">
        <v>63</v>
      </c>
      <c r="S14" s="48">
        <v>1</v>
      </c>
      <c r="T14" s="5">
        <v>90935.46</v>
      </c>
      <c r="U14" s="24">
        <v>0.43</v>
      </c>
      <c r="V14" s="57">
        <f t="shared" si="0"/>
        <v>51833.212200000009</v>
      </c>
      <c r="W14" s="49">
        <f t="shared" si="1"/>
        <v>51833.212200000009</v>
      </c>
      <c r="X14" s="52"/>
      <c r="Y14" s="53"/>
      <c r="Z14" s="48"/>
    </row>
    <row r="15" spans="1:32" x14ac:dyDescent="0.3">
      <c r="A15" s="91" t="s">
        <v>327</v>
      </c>
      <c r="B15" s="48" t="s">
        <v>360</v>
      </c>
      <c r="C15" s="48" t="s">
        <v>378</v>
      </c>
      <c r="D15" s="48" t="s">
        <v>379</v>
      </c>
      <c r="E15" s="1" t="s">
        <v>278</v>
      </c>
      <c r="F15" s="1" t="s">
        <v>29</v>
      </c>
      <c r="G15" s="2186">
        <v>4</v>
      </c>
      <c r="H15" s="2186">
        <f>VLOOKUP(G15,Pesos!A:B,2,0)</f>
        <v>0.6</v>
      </c>
      <c r="I15" s="48" t="s">
        <v>305</v>
      </c>
      <c r="K15" s="1">
        <v>3</v>
      </c>
      <c r="L15" s="54" t="s">
        <v>263</v>
      </c>
      <c r="M15" s="1">
        <v>1</v>
      </c>
      <c r="N15" s="1" t="s">
        <v>24</v>
      </c>
      <c r="O15" s="48">
        <v>1</v>
      </c>
      <c r="S15" s="48">
        <v>1</v>
      </c>
      <c r="T15" s="5">
        <v>38000</v>
      </c>
      <c r="U15" s="24">
        <v>0.3</v>
      </c>
      <c r="V15" s="57">
        <f t="shared" si="0"/>
        <v>26600</v>
      </c>
      <c r="W15" s="49">
        <f t="shared" si="1"/>
        <v>26600</v>
      </c>
      <c r="X15" s="52"/>
    </row>
    <row r="16" spans="1:32" x14ac:dyDescent="0.3">
      <c r="G16" s="2196"/>
      <c r="H16" s="2196"/>
      <c r="M16" s="54"/>
      <c r="T16" s="55"/>
      <c r="U16" s="60"/>
      <c r="V16" s="2176"/>
      <c r="W16" s="2176"/>
      <c r="X16" s="50"/>
    </row>
    <row r="17" spans="1:24" x14ac:dyDescent="0.3">
      <c r="G17" s="2196"/>
      <c r="H17" s="2196"/>
      <c r="M17" s="54"/>
      <c r="O17" s="2177"/>
      <c r="P17" s="2177"/>
      <c r="Q17" s="2177"/>
      <c r="R17" s="2178"/>
      <c r="T17" s="55"/>
      <c r="U17" s="60"/>
      <c r="V17" s="2176"/>
      <c r="W17" s="2176"/>
      <c r="X17" s="50"/>
    </row>
    <row r="18" spans="1:24" x14ac:dyDescent="0.3">
      <c r="A18" s="91" t="s">
        <v>340</v>
      </c>
      <c r="B18" s="48" t="s">
        <v>360</v>
      </c>
      <c r="C18" s="48" t="s">
        <v>378</v>
      </c>
      <c r="D18" s="48" t="s">
        <v>379</v>
      </c>
      <c r="E18" s="1" t="s">
        <v>274</v>
      </c>
      <c r="F18" s="1" t="s">
        <v>275</v>
      </c>
      <c r="G18" s="2186">
        <v>1</v>
      </c>
      <c r="H18" s="2186">
        <f>VLOOKUP(G18,Pesos!A:B,2,0)</f>
        <v>0.9</v>
      </c>
      <c r="I18" s="48" t="s">
        <v>305</v>
      </c>
      <c r="K18" s="1">
        <v>12</v>
      </c>
      <c r="L18" s="48">
        <v>23</v>
      </c>
      <c r="M18" s="1">
        <v>19</v>
      </c>
      <c r="N18" s="1" t="s">
        <v>63</v>
      </c>
      <c r="Q18" s="48">
        <v>19</v>
      </c>
      <c r="R18" s="52"/>
      <c r="S18" s="48">
        <v>1</v>
      </c>
      <c r="T18" s="5">
        <v>5627</v>
      </c>
      <c r="U18" s="24">
        <v>0.1</v>
      </c>
      <c r="V18" s="57">
        <f t="shared" ref="V18:V30" si="2">T18*(1-U18)</f>
        <v>5064.3</v>
      </c>
      <c r="W18" s="49">
        <f t="shared" ref="W18:W30" si="3">V18*S18*M18</f>
        <v>96221.7</v>
      </c>
      <c r="X18" s="52"/>
    </row>
    <row r="19" spans="1:24" x14ac:dyDescent="0.3">
      <c r="A19" s="91" t="s">
        <v>340</v>
      </c>
      <c r="B19" s="48" t="s">
        <v>360</v>
      </c>
      <c r="C19" s="48" t="s">
        <v>378</v>
      </c>
      <c r="D19" s="48" t="s">
        <v>379</v>
      </c>
      <c r="E19" s="1" t="s">
        <v>274</v>
      </c>
      <c r="F19" s="1" t="s">
        <v>102</v>
      </c>
      <c r="G19" s="2186">
        <v>2</v>
      </c>
      <c r="H19" s="2186">
        <f>VLOOKUP(G19,Pesos!A:B,2,0)</f>
        <v>0.8</v>
      </c>
      <c r="J19" s="48" t="s">
        <v>305</v>
      </c>
      <c r="K19" s="1">
        <v>8</v>
      </c>
      <c r="L19" s="48">
        <v>15</v>
      </c>
      <c r="M19" s="1">
        <v>2</v>
      </c>
      <c r="N19" s="1" t="s">
        <v>24</v>
      </c>
      <c r="O19" s="48">
        <v>2</v>
      </c>
      <c r="R19" s="52"/>
      <c r="S19" s="48">
        <v>1</v>
      </c>
      <c r="T19" s="5">
        <v>15600</v>
      </c>
      <c r="U19" s="24">
        <v>0.05</v>
      </c>
      <c r="V19" s="57">
        <f t="shared" si="2"/>
        <v>14820</v>
      </c>
      <c r="W19" s="49">
        <f t="shared" si="3"/>
        <v>29640</v>
      </c>
      <c r="X19" s="52"/>
    </row>
    <row r="20" spans="1:24" x14ac:dyDescent="0.3">
      <c r="A20" s="91" t="s">
        <v>340</v>
      </c>
      <c r="B20" s="48" t="s">
        <v>360</v>
      </c>
      <c r="C20" s="48" t="s">
        <v>378</v>
      </c>
      <c r="D20" s="48" t="s">
        <v>379</v>
      </c>
      <c r="E20" s="1" t="s">
        <v>274</v>
      </c>
      <c r="F20" s="1" t="s">
        <v>26</v>
      </c>
      <c r="G20" s="2186">
        <v>7</v>
      </c>
      <c r="H20" s="2186">
        <f>VLOOKUP(G20,Pesos!A:B,2,0)</f>
        <v>0.3</v>
      </c>
      <c r="I20" s="48" t="s">
        <v>305</v>
      </c>
      <c r="K20" s="1">
        <v>4</v>
      </c>
      <c r="L20" s="48">
        <v>8</v>
      </c>
      <c r="M20" s="1">
        <v>3</v>
      </c>
      <c r="N20" s="1" t="s">
        <v>24</v>
      </c>
      <c r="O20" s="48">
        <v>3</v>
      </c>
      <c r="R20" s="52"/>
      <c r="S20" s="48">
        <v>1</v>
      </c>
      <c r="T20" s="5">
        <v>21500</v>
      </c>
      <c r="U20" s="24">
        <v>0.2</v>
      </c>
      <c r="V20" s="57">
        <f t="shared" si="2"/>
        <v>17200</v>
      </c>
      <c r="W20" s="49">
        <f t="shared" si="3"/>
        <v>51600</v>
      </c>
      <c r="X20" s="52"/>
    </row>
    <row r="21" spans="1:24" x14ac:dyDescent="0.3">
      <c r="A21" s="91" t="s">
        <v>340</v>
      </c>
      <c r="B21" s="48" t="s">
        <v>360</v>
      </c>
      <c r="C21" s="48" t="s">
        <v>378</v>
      </c>
      <c r="D21" s="48" t="s">
        <v>379</v>
      </c>
      <c r="E21" s="1" t="s">
        <v>276</v>
      </c>
      <c r="F21" s="1" t="s">
        <v>277</v>
      </c>
      <c r="G21" s="2186">
        <v>4</v>
      </c>
      <c r="H21" s="2186">
        <f>VLOOKUP(G21,Pesos!A:B,2,0)</f>
        <v>0.6</v>
      </c>
      <c r="J21" s="48" t="s">
        <v>305</v>
      </c>
      <c r="K21" s="1">
        <v>10</v>
      </c>
      <c r="L21" s="48">
        <v>10</v>
      </c>
      <c r="M21" s="1">
        <v>1</v>
      </c>
      <c r="N21" s="1" t="s">
        <v>63</v>
      </c>
      <c r="Q21" s="48">
        <v>10</v>
      </c>
      <c r="R21" s="52"/>
      <c r="S21" s="48">
        <v>1</v>
      </c>
      <c r="T21" s="5">
        <v>80000</v>
      </c>
      <c r="U21" s="24">
        <v>0.1</v>
      </c>
      <c r="V21" s="57">
        <f t="shared" si="2"/>
        <v>72000</v>
      </c>
      <c r="W21" s="49">
        <f t="shared" si="3"/>
        <v>72000</v>
      </c>
      <c r="X21" s="52"/>
    </row>
    <row r="22" spans="1:24" x14ac:dyDescent="0.3">
      <c r="A22" s="91" t="s">
        <v>340</v>
      </c>
      <c r="B22" s="48" t="s">
        <v>360</v>
      </c>
      <c r="C22" s="48" t="s">
        <v>378</v>
      </c>
      <c r="D22" s="48" t="s">
        <v>379</v>
      </c>
      <c r="E22" s="1" t="s">
        <v>278</v>
      </c>
      <c r="F22" s="1" t="s">
        <v>275</v>
      </c>
      <c r="G22" s="2186">
        <v>1</v>
      </c>
      <c r="H22" s="2186">
        <f>VLOOKUP(G22,Pesos!A:B,2,0)</f>
        <v>0.9</v>
      </c>
      <c r="I22" s="48" t="s">
        <v>305</v>
      </c>
      <c r="K22" s="1">
        <v>12</v>
      </c>
      <c r="L22" s="48">
        <v>23</v>
      </c>
      <c r="M22" s="1">
        <v>30</v>
      </c>
      <c r="N22" s="1" t="s">
        <v>63</v>
      </c>
      <c r="O22" s="48">
        <v>30</v>
      </c>
      <c r="R22" s="52"/>
      <c r="S22" s="48">
        <v>1</v>
      </c>
      <c r="T22" s="5">
        <v>5627</v>
      </c>
      <c r="U22" s="24">
        <v>0.1</v>
      </c>
      <c r="V22" s="57">
        <f t="shared" si="2"/>
        <v>5064.3</v>
      </c>
      <c r="W22" s="49">
        <f t="shared" si="3"/>
        <v>151929</v>
      </c>
      <c r="X22" s="52"/>
    </row>
    <row r="23" spans="1:24" x14ac:dyDescent="0.3">
      <c r="A23" s="91" t="s">
        <v>340</v>
      </c>
      <c r="B23" s="48" t="s">
        <v>360</v>
      </c>
      <c r="C23" s="48" t="s">
        <v>378</v>
      </c>
      <c r="D23" s="48" t="s">
        <v>379</v>
      </c>
      <c r="E23" s="1" t="s">
        <v>281</v>
      </c>
      <c r="F23" s="1" t="s">
        <v>102</v>
      </c>
      <c r="G23" s="2186">
        <v>2</v>
      </c>
      <c r="H23" s="2186">
        <f>VLOOKUP(G23,Pesos!A:B,2,0)</f>
        <v>0.8</v>
      </c>
      <c r="J23" s="48" t="s">
        <v>305</v>
      </c>
      <c r="K23" s="1">
        <v>8</v>
      </c>
      <c r="L23" s="48">
        <v>15</v>
      </c>
      <c r="M23" s="1">
        <v>3</v>
      </c>
      <c r="N23" s="1" t="s">
        <v>22</v>
      </c>
      <c r="O23" s="48">
        <v>3</v>
      </c>
      <c r="Q23" s="48">
        <v>3</v>
      </c>
      <c r="R23" s="52"/>
      <c r="S23" s="48">
        <v>2</v>
      </c>
      <c r="T23" s="5">
        <v>9100</v>
      </c>
      <c r="U23" s="24">
        <v>0.7</v>
      </c>
      <c r="V23" s="57">
        <f t="shared" si="2"/>
        <v>2730.0000000000005</v>
      </c>
      <c r="W23" s="49">
        <f t="shared" si="3"/>
        <v>16380.000000000004</v>
      </c>
      <c r="X23" s="52"/>
    </row>
    <row r="24" spans="1:24" x14ac:dyDescent="0.3">
      <c r="A24" s="91" t="s">
        <v>340</v>
      </c>
      <c r="B24" s="48" t="s">
        <v>360</v>
      </c>
      <c r="C24" s="48" t="s">
        <v>378</v>
      </c>
      <c r="D24" s="48" t="s">
        <v>379</v>
      </c>
      <c r="E24" s="1" t="s">
        <v>282</v>
      </c>
      <c r="F24" s="1" t="s">
        <v>102</v>
      </c>
      <c r="G24" s="2186">
        <v>2</v>
      </c>
      <c r="H24" s="2186">
        <f>VLOOKUP(G24,Pesos!A:B,2,0)</f>
        <v>0.8</v>
      </c>
      <c r="J24" s="48" t="s">
        <v>305</v>
      </c>
      <c r="K24" s="1">
        <v>8</v>
      </c>
      <c r="L24" s="48">
        <v>15</v>
      </c>
      <c r="M24" s="1">
        <v>2</v>
      </c>
      <c r="N24" s="1" t="s">
        <v>63</v>
      </c>
      <c r="O24" s="48">
        <v>2</v>
      </c>
      <c r="R24" s="52"/>
      <c r="S24" s="48">
        <v>1</v>
      </c>
      <c r="T24" s="5">
        <v>18480</v>
      </c>
      <c r="U24" s="24">
        <v>0.35</v>
      </c>
      <c r="V24" s="57">
        <f t="shared" si="2"/>
        <v>12012</v>
      </c>
      <c r="W24" s="49">
        <f t="shared" si="3"/>
        <v>24024</v>
      </c>
      <c r="X24" s="52"/>
    </row>
    <row r="25" spans="1:24" x14ac:dyDescent="0.3">
      <c r="A25" s="91" t="s">
        <v>340</v>
      </c>
      <c r="B25" s="48" t="s">
        <v>360</v>
      </c>
      <c r="C25" s="48" t="s">
        <v>378</v>
      </c>
      <c r="D25" s="48" t="s">
        <v>379</v>
      </c>
      <c r="E25" s="1" t="s">
        <v>209</v>
      </c>
      <c r="F25" s="1" t="s">
        <v>26</v>
      </c>
      <c r="G25" s="2186">
        <v>7</v>
      </c>
      <c r="H25" s="2186">
        <f>VLOOKUP(G25,Pesos!A:B,2,0)</f>
        <v>0.3</v>
      </c>
      <c r="I25" s="48" t="s">
        <v>305</v>
      </c>
      <c r="K25" s="1">
        <v>4</v>
      </c>
      <c r="L25" s="48">
        <v>8</v>
      </c>
      <c r="M25" s="1">
        <v>2</v>
      </c>
      <c r="N25" s="1" t="s">
        <v>24</v>
      </c>
      <c r="O25" s="48">
        <v>2</v>
      </c>
      <c r="R25" s="52"/>
      <c r="S25" s="48">
        <v>1</v>
      </c>
      <c r="T25" s="5">
        <v>29625</v>
      </c>
      <c r="U25" s="24">
        <v>0.35</v>
      </c>
      <c r="V25" s="57">
        <f t="shared" si="2"/>
        <v>19256.25</v>
      </c>
      <c r="W25" s="49">
        <f t="shared" si="3"/>
        <v>38512.5</v>
      </c>
      <c r="X25" s="52"/>
    </row>
    <row r="26" spans="1:24" x14ac:dyDescent="0.3">
      <c r="A26" s="91" t="s">
        <v>340</v>
      </c>
      <c r="B26" s="48" t="s">
        <v>360</v>
      </c>
      <c r="C26" s="48" t="s">
        <v>378</v>
      </c>
      <c r="D26" s="48" t="s">
        <v>379</v>
      </c>
      <c r="E26" s="1" t="s">
        <v>283</v>
      </c>
      <c r="F26" s="1" t="s">
        <v>102</v>
      </c>
      <c r="G26" s="2186">
        <v>2</v>
      </c>
      <c r="H26" s="2186">
        <f>VLOOKUP(G26,Pesos!A:B,2,0)</f>
        <v>0.8</v>
      </c>
      <c r="J26" s="48" t="s">
        <v>305</v>
      </c>
      <c r="K26" s="1">
        <v>8</v>
      </c>
      <c r="L26" s="48">
        <v>15</v>
      </c>
      <c r="M26" s="1">
        <v>2</v>
      </c>
      <c r="N26" s="1" t="s">
        <v>24</v>
      </c>
      <c r="O26" s="48">
        <v>2</v>
      </c>
      <c r="R26" s="52"/>
      <c r="S26" s="48">
        <v>1</v>
      </c>
      <c r="T26" s="5">
        <v>12600</v>
      </c>
      <c r="U26" s="24">
        <v>0.6</v>
      </c>
      <c r="V26" s="57">
        <f t="shared" si="2"/>
        <v>5040</v>
      </c>
      <c r="W26" s="49">
        <f t="shared" si="3"/>
        <v>10080</v>
      </c>
      <c r="X26" s="52"/>
    </row>
    <row r="27" spans="1:24" x14ac:dyDescent="0.3">
      <c r="A27" s="91" t="s">
        <v>340</v>
      </c>
      <c r="B27" s="48" t="s">
        <v>360</v>
      </c>
      <c r="C27" s="48" t="s">
        <v>378</v>
      </c>
      <c r="D27" s="48" t="s">
        <v>379</v>
      </c>
      <c r="E27" s="1" t="s">
        <v>111</v>
      </c>
      <c r="F27" s="1" t="s">
        <v>284</v>
      </c>
      <c r="G27" s="2186">
        <v>3</v>
      </c>
      <c r="H27" s="2186">
        <f>VLOOKUP(G27,Pesos!A:B,2,0)</f>
        <v>0.7</v>
      </c>
      <c r="J27" s="48" t="s">
        <v>305</v>
      </c>
      <c r="K27" s="1">
        <v>63</v>
      </c>
      <c r="L27" s="48">
        <v>63</v>
      </c>
      <c r="M27" s="1">
        <v>1</v>
      </c>
      <c r="N27" s="1" t="s">
        <v>22</v>
      </c>
      <c r="P27" s="48">
        <v>63</v>
      </c>
      <c r="R27" s="52"/>
      <c r="S27" s="48">
        <v>1</v>
      </c>
      <c r="T27" s="5">
        <v>90935.46</v>
      </c>
      <c r="U27" s="24">
        <v>0.43</v>
      </c>
      <c r="V27" s="57">
        <f t="shared" si="2"/>
        <v>51833.212200000009</v>
      </c>
      <c r="W27" s="49">
        <f t="shared" si="3"/>
        <v>51833.212200000009</v>
      </c>
      <c r="X27" s="52"/>
    </row>
    <row r="28" spans="1:24" x14ac:dyDescent="0.3">
      <c r="A28" s="91" t="s">
        <v>340</v>
      </c>
      <c r="B28" s="48" t="s">
        <v>360</v>
      </c>
      <c r="C28" s="48" t="s">
        <v>378</v>
      </c>
      <c r="D28" s="48" t="s">
        <v>379</v>
      </c>
      <c r="E28" s="1" t="s">
        <v>286</v>
      </c>
      <c r="F28" s="1" t="s">
        <v>68</v>
      </c>
      <c r="G28" s="2186">
        <v>5</v>
      </c>
      <c r="H28" s="2186">
        <f>VLOOKUP(G28,Pesos!A:B,2,0)</f>
        <v>0.5</v>
      </c>
      <c r="I28" s="48" t="s">
        <v>305</v>
      </c>
      <c r="K28" s="1">
        <v>10</v>
      </c>
      <c r="L28" s="48">
        <v>20</v>
      </c>
      <c r="M28" s="1">
        <v>20</v>
      </c>
      <c r="N28" s="1" t="s">
        <v>24</v>
      </c>
      <c r="O28" s="48">
        <v>20</v>
      </c>
      <c r="R28" s="52"/>
      <c r="S28" s="48">
        <v>1</v>
      </c>
      <c r="T28" s="5">
        <v>10350</v>
      </c>
      <c r="U28" s="24">
        <v>0.8</v>
      </c>
      <c r="V28" s="57">
        <f t="shared" si="2"/>
        <v>2069.9999999999995</v>
      </c>
      <c r="W28" s="49">
        <f t="shared" si="3"/>
        <v>41399.999999999993</v>
      </c>
      <c r="X28" s="52"/>
    </row>
    <row r="29" spans="1:24" x14ac:dyDescent="0.3">
      <c r="A29" s="91" t="s">
        <v>340</v>
      </c>
      <c r="B29" s="48" t="s">
        <v>360</v>
      </c>
      <c r="C29" s="48" t="s">
        <v>378</v>
      </c>
      <c r="D29" s="48" t="s">
        <v>379</v>
      </c>
      <c r="E29" s="1" t="s">
        <v>286</v>
      </c>
      <c r="F29" s="1" t="s">
        <v>223</v>
      </c>
      <c r="G29" s="2186">
        <v>6</v>
      </c>
      <c r="H29" s="2186">
        <f>VLOOKUP(G29,Pesos!A:B,2,0)</f>
        <v>0.4</v>
      </c>
      <c r="I29" s="48" t="s">
        <v>305</v>
      </c>
      <c r="K29" s="1">
        <v>15</v>
      </c>
      <c r="L29" s="48">
        <v>30</v>
      </c>
      <c r="M29" s="1">
        <v>20</v>
      </c>
      <c r="N29" s="1" t="s">
        <v>24</v>
      </c>
      <c r="O29" s="48">
        <v>20</v>
      </c>
      <c r="R29" s="52"/>
      <c r="S29" s="48">
        <v>1</v>
      </c>
      <c r="T29" s="5">
        <v>3308</v>
      </c>
      <c r="U29" s="24">
        <v>0.75</v>
      </c>
      <c r="V29" s="57">
        <f t="shared" si="2"/>
        <v>827</v>
      </c>
      <c r="W29" s="49">
        <f t="shared" si="3"/>
        <v>16540</v>
      </c>
      <c r="X29" s="52"/>
    </row>
    <row r="30" spans="1:24" x14ac:dyDescent="0.3">
      <c r="A30" s="91" t="s">
        <v>340</v>
      </c>
      <c r="B30" s="48" t="s">
        <v>360</v>
      </c>
      <c r="C30" s="48" t="s">
        <v>378</v>
      </c>
      <c r="D30" s="48" t="s">
        <v>379</v>
      </c>
      <c r="E30" s="1" t="s">
        <v>280</v>
      </c>
      <c r="F30" s="1" t="s">
        <v>252</v>
      </c>
      <c r="G30" s="2186">
        <v>8</v>
      </c>
      <c r="H30" s="2186">
        <f>VLOOKUP(G30,Pesos!A:B,2,0)</f>
        <v>0.2</v>
      </c>
      <c r="I30" s="48" t="s">
        <v>305</v>
      </c>
      <c r="K30" s="1">
        <v>1</v>
      </c>
      <c r="L30" s="48">
        <v>3</v>
      </c>
      <c r="M30" s="1">
        <v>3</v>
      </c>
      <c r="N30" s="1" t="s">
        <v>24</v>
      </c>
      <c r="O30" s="48">
        <v>3</v>
      </c>
      <c r="R30" s="50"/>
      <c r="S30" s="48">
        <v>1</v>
      </c>
      <c r="T30" s="5">
        <v>19000</v>
      </c>
      <c r="U30" s="24">
        <v>0.45</v>
      </c>
      <c r="V30" s="57">
        <f t="shared" si="2"/>
        <v>10450</v>
      </c>
      <c r="W30" s="49">
        <f t="shared" si="3"/>
        <v>31350</v>
      </c>
      <c r="X30" s="52"/>
    </row>
    <row r="31" spans="1:24" x14ac:dyDescent="0.3">
      <c r="E31" s="65"/>
      <c r="F31" s="65"/>
      <c r="G31" s="2203"/>
      <c r="H31" s="2203"/>
      <c r="K31" s="65"/>
      <c r="M31" s="65"/>
      <c r="N31" s="90"/>
      <c r="T31" s="61"/>
      <c r="U31" s="69"/>
      <c r="V31" s="2176"/>
      <c r="W31" s="2176"/>
      <c r="X31" s="50"/>
    </row>
    <row r="32" spans="1:24" x14ac:dyDescent="0.3">
      <c r="E32" s="65"/>
      <c r="F32" s="65"/>
      <c r="G32" s="2203"/>
      <c r="H32" s="2203"/>
      <c r="K32" s="65"/>
      <c r="M32" s="65"/>
      <c r="N32" s="90"/>
      <c r="O32" s="2177"/>
      <c r="P32" s="2177"/>
      <c r="Q32" s="2177"/>
      <c r="R32" s="2178"/>
      <c r="T32" s="61"/>
      <c r="U32" s="69"/>
      <c r="V32" s="2176"/>
      <c r="W32" s="2176"/>
      <c r="X32" s="50"/>
    </row>
    <row r="33" spans="1:23" x14ac:dyDescent="0.3">
      <c r="A33" s="91" t="s">
        <v>342</v>
      </c>
      <c r="B33" s="48" t="s">
        <v>360</v>
      </c>
      <c r="C33" s="48" t="s">
        <v>378</v>
      </c>
      <c r="D33" s="48" t="s">
        <v>379</v>
      </c>
      <c r="E33" s="1" t="s">
        <v>274</v>
      </c>
      <c r="F33" s="1" t="s">
        <v>279</v>
      </c>
      <c r="G33" s="2186">
        <v>1</v>
      </c>
      <c r="H33" s="2186">
        <f>VLOOKUP(G33,Pesos!A:B,2,0)</f>
        <v>0.9</v>
      </c>
      <c r="I33" s="48" t="s">
        <v>305</v>
      </c>
      <c r="K33" s="1">
        <v>10</v>
      </c>
      <c r="L33" s="48">
        <v>20</v>
      </c>
      <c r="M33" s="1">
        <v>10</v>
      </c>
      <c r="N33" s="1" t="s">
        <v>63</v>
      </c>
      <c r="P33" s="48">
        <v>10</v>
      </c>
      <c r="S33" s="48">
        <v>1</v>
      </c>
      <c r="T33" s="5">
        <v>5100</v>
      </c>
      <c r="U33" s="24">
        <v>0.15</v>
      </c>
      <c r="V33" s="57">
        <f t="shared" ref="V33:V43" si="4">T33*(1-U33)</f>
        <v>4335</v>
      </c>
      <c r="W33" s="57">
        <f t="shared" ref="W33:W43" si="5">V33*S33*M33</f>
        <v>43350</v>
      </c>
    </row>
    <row r="34" spans="1:23" x14ac:dyDescent="0.3">
      <c r="A34" s="91" t="s">
        <v>342</v>
      </c>
      <c r="B34" s="48" t="s">
        <v>360</v>
      </c>
      <c r="C34" s="48" t="s">
        <v>378</v>
      </c>
      <c r="D34" s="48" t="s">
        <v>379</v>
      </c>
      <c r="E34" s="1" t="s">
        <v>274</v>
      </c>
      <c r="F34" s="1" t="s">
        <v>102</v>
      </c>
      <c r="G34" s="2186">
        <v>2</v>
      </c>
      <c r="H34" s="2186">
        <f>VLOOKUP(G34,Pesos!A:B,2,0)</f>
        <v>0.8</v>
      </c>
      <c r="J34" s="48" t="s">
        <v>305</v>
      </c>
      <c r="K34" s="1">
        <v>5</v>
      </c>
      <c r="L34" s="48">
        <v>10</v>
      </c>
      <c r="M34" s="1">
        <v>2</v>
      </c>
      <c r="N34" s="1" t="s">
        <v>24</v>
      </c>
      <c r="O34" s="48">
        <v>2</v>
      </c>
      <c r="S34" s="48">
        <v>1</v>
      </c>
      <c r="T34" s="5">
        <v>15600</v>
      </c>
      <c r="U34" s="24">
        <v>0.05</v>
      </c>
      <c r="V34" s="57">
        <f t="shared" si="4"/>
        <v>14820</v>
      </c>
      <c r="W34" s="57">
        <f t="shared" si="5"/>
        <v>29640</v>
      </c>
    </row>
    <row r="35" spans="1:23" x14ac:dyDescent="0.3">
      <c r="A35" s="91" t="s">
        <v>342</v>
      </c>
      <c r="B35" s="48" t="s">
        <v>360</v>
      </c>
      <c r="C35" s="48" t="s">
        <v>378</v>
      </c>
      <c r="D35" s="48" t="s">
        <v>379</v>
      </c>
      <c r="E35" s="1" t="s">
        <v>274</v>
      </c>
      <c r="F35" s="1" t="s">
        <v>26</v>
      </c>
      <c r="G35" s="2186">
        <v>3</v>
      </c>
      <c r="H35" s="2186">
        <f>VLOOKUP(G35,Pesos!A:B,2,0)</f>
        <v>0.7</v>
      </c>
      <c r="I35" s="48" t="s">
        <v>305</v>
      </c>
      <c r="K35" s="1">
        <v>3</v>
      </c>
      <c r="L35" s="48">
        <v>7</v>
      </c>
      <c r="M35" s="1">
        <v>2</v>
      </c>
      <c r="N35" s="1" t="s">
        <v>63</v>
      </c>
      <c r="O35" s="48">
        <v>2</v>
      </c>
      <c r="S35" s="48">
        <v>1</v>
      </c>
      <c r="T35" s="5">
        <v>21500</v>
      </c>
      <c r="U35" s="24">
        <v>0.2</v>
      </c>
      <c r="V35" s="57">
        <f t="shared" si="4"/>
        <v>17200</v>
      </c>
      <c r="W35" s="57">
        <f t="shared" si="5"/>
        <v>34400</v>
      </c>
    </row>
    <row r="36" spans="1:23" x14ac:dyDescent="0.3">
      <c r="A36" s="91" t="s">
        <v>342</v>
      </c>
      <c r="B36" s="48" t="s">
        <v>360</v>
      </c>
      <c r="C36" s="48" t="s">
        <v>378</v>
      </c>
      <c r="D36" s="48" t="s">
        <v>379</v>
      </c>
      <c r="E36" s="1" t="s">
        <v>276</v>
      </c>
      <c r="F36" s="1" t="s">
        <v>277</v>
      </c>
      <c r="G36" s="2186">
        <v>5</v>
      </c>
      <c r="H36" s="2186">
        <f>VLOOKUP(G36,Pesos!A:B,2,0)</f>
        <v>0.5</v>
      </c>
      <c r="J36" s="48" t="s">
        <v>305</v>
      </c>
      <c r="K36" s="1">
        <v>10</v>
      </c>
      <c r="L36" s="48">
        <v>10</v>
      </c>
      <c r="M36" s="1">
        <v>1</v>
      </c>
      <c r="N36" s="1" t="s">
        <v>63</v>
      </c>
      <c r="P36" s="48">
        <v>10</v>
      </c>
      <c r="S36" s="48">
        <v>1</v>
      </c>
      <c r="T36" s="5">
        <v>80000</v>
      </c>
      <c r="U36" s="24">
        <v>0.1</v>
      </c>
      <c r="V36" s="57">
        <f t="shared" si="4"/>
        <v>72000</v>
      </c>
      <c r="W36" s="57">
        <f t="shared" si="5"/>
        <v>72000</v>
      </c>
    </row>
    <row r="37" spans="1:23" x14ac:dyDescent="0.3">
      <c r="A37" s="91" t="s">
        <v>342</v>
      </c>
      <c r="B37" s="48" t="s">
        <v>360</v>
      </c>
      <c r="C37" s="48" t="s">
        <v>378</v>
      </c>
      <c r="D37" s="48" t="s">
        <v>379</v>
      </c>
      <c r="E37" s="1" t="s">
        <v>278</v>
      </c>
      <c r="F37" s="1" t="s">
        <v>279</v>
      </c>
      <c r="G37" s="2186">
        <v>1</v>
      </c>
      <c r="H37" s="2186">
        <f>VLOOKUP(G37,Pesos!A:B,2,0)</f>
        <v>0.9</v>
      </c>
      <c r="I37" s="48" t="s">
        <v>305</v>
      </c>
      <c r="K37" s="1">
        <v>10</v>
      </c>
      <c r="L37" s="48">
        <v>20</v>
      </c>
      <c r="M37" s="1">
        <v>15</v>
      </c>
      <c r="N37" s="1" t="s">
        <v>63</v>
      </c>
      <c r="O37" s="48">
        <v>15</v>
      </c>
      <c r="S37" s="48">
        <v>1</v>
      </c>
      <c r="T37" s="5">
        <v>5124</v>
      </c>
      <c r="U37" s="24">
        <v>0.15</v>
      </c>
      <c r="V37" s="57">
        <f t="shared" si="4"/>
        <v>4355.3999999999996</v>
      </c>
      <c r="W37" s="57">
        <f t="shared" si="5"/>
        <v>65330.999999999993</v>
      </c>
    </row>
    <row r="38" spans="1:23" x14ac:dyDescent="0.3">
      <c r="A38" s="91" t="s">
        <v>342</v>
      </c>
      <c r="B38" s="48" t="s">
        <v>360</v>
      </c>
      <c r="C38" s="48" t="s">
        <v>378</v>
      </c>
      <c r="D38" s="48" t="s">
        <v>379</v>
      </c>
      <c r="E38" s="72" t="s">
        <v>280</v>
      </c>
      <c r="F38" s="72" t="s">
        <v>29</v>
      </c>
      <c r="G38" s="2207">
        <v>4</v>
      </c>
      <c r="H38" s="2186">
        <f>VLOOKUP(G38,Pesos!A:B,2,0)</f>
        <v>0.6</v>
      </c>
      <c r="I38" s="48" t="s">
        <v>305</v>
      </c>
      <c r="K38" s="72">
        <v>2</v>
      </c>
      <c r="L38" s="48">
        <v>4</v>
      </c>
      <c r="M38" s="72">
        <v>1</v>
      </c>
      <c r="N38" s="72" t="s">
        <v>24</v>
      </c>
      <c r="O38" s="48">
        <v>1</v>
      </c>
      <c r="S38" s="48">
        <v>1</v>
      </c>
      <c r="T38" s="5">
        <v>110000</v>
      </c>
      <c r="U38" s="24">
        <v>0.55000000000000004</v>
      </c>
      <c r="V38" s="57">
        <f t="shared" si="4"/>
        <v>49499.999999999993</v>
      </c>
      <c r="W38" s="57">
        <f t="shared" si="5"/>
        <v>49499.999999999993</v>
      </c>
    </row>
    <row r="39" spans="1:23" x14ac:dyDescent="0.3">
      <c r="A39" s="91" t="s">
        <v>342</v>
      </c>
      <c r="B39" s="48" t="s">
        <v>360</v>
      </c>
      <c r="C39" s="48" t="s">
        <v>378</v>
      </c>
      <c r="D39" s="48" t="s">
        <v>379</v>
      </c>
      <c r="E39" s="1" t="s">
        <v>281</v>
      </c>
      <c r="F39" s="1" t="s">
        <v>102</v>
      </c>
      <c r="G39" s="2186">
        <v>2</v>
      </c>
      <c r="H39" s="2186">
        <f>VLOOKUP(G39,Pesos!A:B,2,0)</f>
        <v>0.8</v>
      </c>
      <c r="J39" s="48" t="s">
        <v>305</v>
      </c>
      <c r="K39" s="1">
        <v>5</v>
      </c>
      <c r="L39" s="48">
        <v>10</v>
      </c>
      <c r="M39" s="1">
        <v>3</v>
      </c>
      <c r="N39" s="1" t="s">
        <v>22</v>
      </c>
      <c r="O39" s="48">
        <v>3</v>
      </c>
      <c r="P39" s="48">
        <v>3</v>
      </c>
      <c r="S39" s="48">
        <v>2</v>
      </c>
      <c r="T39" s="5">
        <v>9100</v>
      </c>
      <c r="U39" s="24">
        <v>0.7</v>
      </c>
      <c r="V39" s="57">
        <f t="shared" si="4"/>
        <v>2730.0000000000005</v>
      </c>
      <c r="W39" s="57">
        <f t="shared" si="5"/>
        <v>16380.000000000004</v>
      </c>
    </row>
    <row r="40" spans="1:23" x14ac:dyDescent="0.3">
      <c r="A40" s="91" t="s">
        <v>342</v>
      </c>
      <c r="B40" s="48" t="s">
        <v>360</v>
      </c>
      <c r="C40" s="48" t="s">
        <v>378</v>
      </c>
      <c r="D40" s="48" t="s">
        <v>379</v>
      </c>
      <c r="E40" s="1" t="s">
        <v>209</v>
      </c>
      <c r="F40" s="1" t="s">
        <v>26</v>
      </c>
      <c r="G40" s="2186">
        <v>3</v>
      </c>
      <c r="H40" s="2186">
        <f>VLOOKUP(G40,Pesos!A:B,2,0)</f>
        <v>0.7</v>
      </c>
      <c r="I40" s="48" t="s">
        <v>305</v>
      </c>
      <c r="K40" s="1">
        <v>3</v>
      </c>
      <c r="L40" s="48">
        <v>7</v>
      </c>
      <c r="M40" s="1">
        <v>3</v>
      </c>
      <c r="N40" s="1" t="s">
        <v>24</v>
      </c>
      <c r="O40" s="48">
        <v>3</v>
      </c>
      <c r="S40" s="48">
        <v>1</v>
      </c>
      <c r="T40" s="5">
        <v>29625</v>
      </c>
      <c r="U40" s="24">
        <v>0.35</v>
      </c>
      <c r="V40" s="57">
        <f t="shared" si="4"/>
        <v>19256.25</v>
      </c>
      <c r="W40" s="57">
        <f t="shared" si="5"/>
        <v>57768.75</v>
      </c>
    </row>
    <row r="41" spans="1:23" x14ac:dyDescent="0.3">
      <c r="A41" s="91" t="s">
        <v>342</v>
      </c>
      <c r="B41" s="48" t="s">
        <v>360</v>
      </c>
      <c r="C41" s="48" t="s">
        <v>378</v>
      </c>
      <c r="D41" s="48" t="s">
        <v>379</v>
      </c>
      <c r="E41" s="1" t="s">
        <v>283</v>
      </c>
      <c r="F41" s="1" t="s">
        <v>102</v>
      </c>
      <c r="G41" s="2186">
        <v>2</v>
      </c>
      <c r="H41" s="2186">
        <f>VLOOKUP(G41,Pesos!A:B,2,0)</f>
        <v>0.8</v>
      </c>
      <c r="J41" s="48" t="s">
        <v>305</v>
      </c>
      <c r="K41" s="1">
        <v>5</v>
      </c>
      <c r="L41" s="48">
        <v>10</v>
      </c>
      <c r="M41" s="1">
        <v>1</v>
      </c>
      <c r="N41" s="1" t="s">
        <v>24</v>
      </c>
      <c r="O41" s="48">
        <v>1</v>
      </c>
      <c r="S41" s="48">
        <v>1</v>
      </c>
      <c r="T41" s="5">
        <v>12600</v>
      </c>
      <c r="U41" s="24">
        <v>0.6</v>
      </c>
      <c r="V41" s="57">
        <f t="shared" si="4"/>
        <v>5040</v>
      </c>
      <c r="W41" s="57">
        <f t="shared" si="5"/>
        <v>5040</v>
      </c>
    </row>
    <row r="42" spans="1:23" x14ac:dyDescent="0.3">
      <c r="A42" s="91" t="s">
        <v>342</v>
      </c>
      <c r="B42" s="48" t="s">
        <v>360</v>
      </c>
      <c r="C42" s="48" t="s">
        <v>378</v>
      </c>
      <c r="D42" s="48" t="s">
        <v>379</v>
      </c>
      <c r="E42" s="1" t="s">
        <v>108</v>
      </c>
      <c r="F42" s="1" t="s">
        <v>29</v>
      </c>
      <c r="G42" s="2186">
        <v>4</v>
      </c>
      <c r="H42" s="2186">
        <f>VLOOKUP(G42,Pesos!A:B,2,0)</f>
        <v>0.6</v>
      </c>
      <c r="I42" s="48" t="s">
        <v>305</v>
      </c>
      <c r="K42" s="1">
        <v>2</v>
      </c>
      <c r="L42" s="48">
        <v>4</v>
      </c>
      <c r="M42" s="1">
        <v>1</v>
      </c>
      <c r="N42" s="1" t="s">
        <v>24</v>
      </c>
      <c r="O42" s="48">
        <v>1</v>
      </c>
      <c r="S42" s="48">
        <v>1</v>
      </c>
      <c r="T42" s="5">
        <v>35000</v>
      </c>
      <c r="U42" s="24">
        <v>0.2</v>
      </c>
      <c r="V42" s="57">
        <f t="shared" si="4"/>
        <v>28000</v>
      </c>
      <c r="W42" s="57">
        <f t="shared" si="5"/>
        <v>28000</v>
      </c>
    </row>
    <row r="43" spans="1:23" x14ac:dyDescent="0.3">
      <c r="A43" s="91" t="s">
        <v>342</v>
      </c>
      <c r="B43" s="48" t="s">
        <v>360</v>
      </c>
      <c r="C43" s="48" t="s">
        <v>378</v>
      </c>
      <c r="D43" s="48" t="s">
        <v>379</v>
      </c>
      <c r="E43" s="1" t="s">
        <v>278</v>
      </c>
      <c r="F43" s="1" t="s">
        <v>29</v>
      </c>
      <c r="G43" s="2186">
        <v>4</v>
      </c>
      <c r="H43" s="2186">
        <f>VLOOKUP(G43,Pesos!A:B,2,0)</f>
        <v>0.6</v>
      </c>
      <c r="I43" s="48" t="s">
        <v>305</v>
      </c>
      <c r="K43" s="1">
        <v>2</v>
      </c>
      <c r="L43" s="48">
        <v>4</v>
      </c>
      <c r="M43" s="1">
        <v>1</v>
      </c>
      <c r="N43" s="1" t="s">
        <v>24</v>
      </c>
      <c r="O43" s="48">
        <v>1</v>
      </c>
      <c r="S43" s="48">
        <v>1</v>
      </c>
      <c r="T43" s="5">
        <v>38000</v>
      </c>
      <c r="U43" s="24">
        <v>0.3</v>
      </c>
      <c r="V43" s="57">
        <f t="shared" si="4"/>
        <v>26600</v>
      </c>
      <c r="W43" s="57">
        <f t="shared" si="5"/>
        <v>26600</v>
      </c>
    </row>
    <row r="44" spans="1:23" x14ac:dyDescent="0.3">
      <c r="E44" s="10"/>
      <c r="F44" s="10"/>
      <c r="G44" s="2197"/>
      <c r="H44" s="2197"/>
      <c r="K44" s="10"/>
      <c r="M44" s="10"/>
      <c r="N44" s="10"/>
      <c r="O44" s="2179"/>
      <c r="P44" s="2179"/>
      <c r="Q44" s="2179"/>
      <c r="S44" s="2179"/>
      <c r="T44" s="61"/>
      <c r="U44" s="71"/>
      <c r="V44" s="2176"/>
      <c r="W44" s="2176"/>
    </row>
    <row r="45" spans="1:23" x14ac:dyDescent="0.3">
      <c r="E45" s="10"/>
      <c r="F45" s="10"/>
      <c r="G45" s="2197"/>
      <c r="H45" s="2197"/>
      <c r="K45" s="10"/>
      <c r="M45" s="10"/>
      <c r="N45" s="10"/>
      <c r="O45" s="2177"/>
      <c r="P45" s="2177"/>
      <c r="Q45" s="2177"/>
      <c r="R45" s="2178"/>
      <c r="T45" s="61"/>
      <c r="U45" s="71"/>
      <c r="V45" s="2176"/>
      <c r="W45" s="2176"/>
    </row>
    <row r="46" spans="1:23" x14ac:dyDescent="0.3">
      <c r="A46" s="91" t="s">
        <v>343</v>
      </c>
      <c r="B46" s="48" t="s">
        <v>360</v>
      </c>
      <c r="C46" s="48" t="s">
        <v>378</v>
      </c>
      <c r="D46" s="48" t="s">
        <v>379</v>
      </c>
      <c r="E46" s="1" t="s">
        <v>274</v>
      </c>
      <c r="F46" s="1" t="s">
        <v>102</v>
      </c>
      <c r="G46" s="2186">
        <v>2</v>
      </c>
      <c r="H46" s="2186">
        <f>VLOOKUP(G46,Pesos!A:B,2,0)</f>
        <v>0.8</v>
      </c>
      <c r="J46" s="48" t="s">
        <v>305</v>
      </c>
      <c r="K46" s="48">
        <v>4</v>
      </c>
      <c r="L46" s="48">
        <v>7</v>
      </c>
      <c r="M46" s="1">
        <v>2</v>
      </c>
      <c r="N46" s="1" t="s">
        <v>24</v>
      </c>
      <c r="O46" s="48">
        <v>2</v>
      </c>
      <c r="S46" s="48">
        <v>1</v>
      </c>
      <c r="T46" s="5">
        <v>15600</v>
      </c>
      <c r="U46" s="24">
        <v>0.05</v>
      </c>
      <c r="V46" s="57">
        <f t="shared" ref="V46:V56" si="6">T46*(1-U46)</f>
        <v>14820</v>
      </c>
      <c r="W46" s="57">
        <f t="shared" ref="W46:W56" si="7">V46*S46*M46</f>
        <v>29640</v>
      </c>
    </row>
    <row r="47" spans="1:23" x14ac:dyDescent="0.3">
      <c r="A47" s="91" t="s">
        <v>343</v>
      </c>
      <c r="B47" s="48" t="s">
        <v>360</v>
      </c>
      <c r="C47" s="48" t="s">
        <v>378</v>
      </c>
      <c r="D47" s="48" t="s">
        <v>379</v>
      </c>
      <c r="E47" s="1" t="s">
        <v>274</v>
      </c>
      <c r="F47" s="1" t="s">
        <v>26</v>
      </c>
      <c r="G47" s="2186">
        <v>6</v>
      </c>
      <c r="H47" s="2186">
        <f>VLOOKUP(G47,Pesos!A:B,2,0)</f>
        <v>0.4</v>
      </c>
      <c r="I47" s="48" t="s">
        <v>305</v>
      </c>
      <c r="K47" s="63">
        <v>2</v>
      </c>
      <c r="L47" s="48">
        <v>4</v>
      </c>
      <c r="M47" s="1">
        <v>3</v>
      </c>
      <c r="N47" s="1" t="s">
        <v>24</v>
      </c>
      <c r="O47" s="48">
        <v>3</v>
      </c>
      <c r="S47" s="48">
        <v>1</v>
      </c>
      <c r="T47" s="5">
        <v>21500</v>
      </c>
      <c r="U47" s="24">
        <v>0.2</v>
      </c>
      <c r="V47" s="57">
        <f t="shared" si="6"/>
        <v>17200</v>
      </c>
      <c r="W47" s="57">
        <f t="shared" si="7"/>
        <v>51600</v>
      </c>
    </row>
    <row r="48" spans="1:23" x14ac:dyDescent="0.3">
      <c r="A48" s="91" t="s">
        <v>343</v>
      </c>
      <c r="B48" s="48" t="s">
        <v>360</v>
      </c>
      <c r="C48" s="48" t="s">
        <v>378</v>
      </c>
      <c r="D48" s="48" t="s">
        <v>379</v>
      </c>
      <c r="E48" s="1" t="s">
        <v>276</v>
      </c>
      <c r="F48" s="1" t="s">
        <v>277</v>
      </c>
      <c r="G48" s="2186">
        <v>4</v>
      </c>
      <c r="H48" s="2186">
        <f>VLOOKUP(G48,Pesos!A:B,2,0)</f>
        <v>0.6</v>
      </c>
      <c r="I48" s="48" t="s">
        <v>305</v>
      </c>
      <c r="K48" s="20">
        <v>10</v>
      </c>
      <c r="L48" s="48">
        <v>10</v>
      </c>
      <c r="M48" s="1">
        <v>1</v>
      </c>
      <c r="N48" s="1" t="s">
        <v>63</v>
      </c>
      <c r="P48" s="48">
        <v>10</v>
      </c>
      <c r="S48" s="48">
        <v>1</v>
      </c>
      <c r="T48" s="5">
        <v>80000</v>
      </c>
      <c r="U48" s="24">
        <v>0.1</v>
      </c>
      <c r="V48" s="57">
        <f t="shared" si="6"/>
        <v>72000</v>
      </c>
      <c r="W48" s="57">
        <f t="shared" si="7"/>
        <v>72000</v>
      </c>
    </row>
    <row r="49" spans="1:23" x14ac:dyDescent="0.3">
      <c r="A49" s="91" t="s">
        <v>343</v>
      </c>
      <c r="B49" s="48" t="s">
        <v>360</v>
      </c>
      <c r="C49" s="48" t="s">
        <v>378</v>
      </c>
      <c r="D49" s="48" t="s">
        <v>379</v>
      </c>
      <c r="E49" s="1" t="s">
        <v>278</v>
      </c>
      <c r="F49" s="1" t="s">
        <v>279</v>
      </c>
      <c r="G49" s="2186">
        <v>1</v>
      </c>
      <c r="H49" s="2186">
        <f>VLOOKUP(G49,Pesos!A:B,2,0)</f>
        <v>0.9</v>
      </c>
      <c r="I49" s="48" t="s">
        <v>305</v>
      </c>
      <c r="K49" s="20">
        <v>10</v>
      </c>
      <c r="L49" s="48">
        <v>20</v>
      </c>
      <c r="M49" s="1">
        <v>20</v>
      </c>
      <c r="N49" s="1" t="s">
        <v>63</v>
      </c>
      <c r="O49" s="48">
        <v>20</v>
      </c>
      <c r="S49" s="48">
        <v>1</v>
      </c>
      <c r="T49" s="5">
        <v>5124</v>
      </c>
      <c r="U49" s="24">
        <v>0.15</v>
      </c>
      <c r="V49" s="57">
        <f t="shared" si="6"/>
        <v>4355.3999999999996</v>
      </c>
      <c r="W49" s="57">
        <f t="shared" si="7"/>
        <v>87108</v>
      </c>
    </row>
    <row r="50" spans="1:23" x14ac:dyDescent="0.3">
      <c r="A50" s="91" t="s">
        <v>343</v>
      </c>
      <c r="B50" s="48" t="s">
        <v>360</v>
      </c>
      <c r="C50" s="48" t="s">
        <v>378</v>
      </c>
      <c r="D50" s="48" t="s">
        <v>379</v>
      </c>
      <c r="E50" s="1" t="s">
        <v>281</v>
      </c>
      <c r="F50" s="1" t="s">
        <v>102</v>
      </c>
      <c r="G50" s="2186">
        <v>2</v>
      </c>
      <c r="H50" s="2186">
        <f>VLOOKUP(G50,Pesos!A:B,2,0)</f>
        <v>0.8</v>
      </c>
      <c r="J50" s="48" t="s">
        <v>305</v>
      </c>
      <c r="K50" s="20">
        <v>4</v>
      </c>
      <c r="L50" s="48">
        <v>7</v>
      </c>
      <c r="M50" s="1">
        <v>2</v>
      </c>
      <c r="N50" s="1" t="s">
        <v>22</v>
      </c>
      <c r="O50" s="48">
        <v>2</v>
      </c>
      <c r="Q50" s="48">
        <v>2</v>
      </c>
      <c r="S50" s="48">
        <v>2</v>
      </c>
      <c r="T50" s="5">
        <v>9100</v>
      </c>
      <c r="U50" s="24">
        <v>0.7</v>
      </c>
      <c r="V50" s="57">
        <f t="shared" si="6"/>
        <v>2730.0000000000005</v>
      </c>
      <c r="W50" s="57">
        <f t="shared" si="7"/>
        <v>10920.000000000002</v>
      </c>
    </row>
    <row r="51" spans="1:23" x14ac:dyDescent="0.3">
      <c r="A51" s="91" t="s">
        <v>343</v>
      </c>
      <c r="B51" s="48" t="s">
        <v>360</v>
      </c>
      <c r="C51" s="48" t="s">
        <v>378</v>
      </c>
      <c r="D51" s="48" t="s">
        <v>379</v>
      </c>
      <c r="E51" s="1" t="s">
        <v>282</v>
      </c>
      <c r="F51" s="1" t="s">
        <v>102</v>
      </c>
      <c r="G51" s="2186">
        <v>2</v>
      </c>
      <c r="H51" s="2186">
        <f>VLOOKUP(G51,Pesos!A:B,2,0)</f>
        <v>0.8</v>
      </c>
      <c r="J51" s="48" t="s">
        <v>305</v>
      </c>
      <c r="K51" s="20">
        <v>4</v>
      </c>
      <c r="L51" s="48">
        <v>7</v>
      </c>
      <c r="M51" s="1">
        <v>2</v>
      </c>
      <c r="N51" s="1" t="s">
        <v>63</v>
      </c>
      <c r="O51" s="48">
        <v>2</v>
      </c>
      <c r="S51" s="48">
        <v>1</v>
      </c>
      <c r="T51" s="5">
        <v>18480</v>
      </c>
      <c r="U51" s="24">
        <v>0.35</v>
      </c>
      <c r="V51" s="57">
        <f t="shared" si="6"/>
        <v>12012</v>
      </c>
      <c r="W51" s="57">
        <f t="shared" si="7"/>
        <v>24024</v>
      </c>
    </row>
    <row r="52" spans="1:23" x14ac:dyDescent="0.3">
      <c r="A52" s="91" t="s">
        <v>343</v>
      </c>
      <c r="B52" s="48" t="s">
        <v>360</v>
      </c>
      <c r="C52" s="48" t="s">
        <v>378</v>
      </c>
      <c r="D52" s="48" t="s">
        <v>379</v>
      </c>
      <c r="E52" s="1" t="s">
        <v>209</v>
      </c>
      <c r="F52" s="1" t="s">
        <v>26</v>
      </c>
      <c r="G52" s="2186">
        <v>6</v>
      </c>
      <c r="H52" s="2186">
        <f>VLOOKUP(G52,Pesos!A:B,2,0)</f>
        <v>0.4</v>
      </c>
      <c r="I52" s="48" t="s">
        <v>305</v>
      </c>
      <c r="K52" s="20">
        <v>2</v>
      </c>
      <c r="L52" s="48">
        <v>4</v>
      </c>
      <c r="M52" s="1">
        <v>1</v>
      </c>
      <c r="N52" s="1" t="s">
        <v>24</v>
      </c>
      <c r="O52" s="48">
        <v>1</v>
      </c>
      <c r="S52" s="48">
        <v>1</v>
      </c>
      <c r="T52" s="5">
        <v>29625</v>
      </c>
      <c r="U52" s="24">
        <v>0.35</v>
      </c>
      <c r="V52" s="57">
        <f t="shared" si="6"/>
        <v>19256.25</v>
      </c>
      <c r="W52" s="57">
        <f t="shared" si="7"/>
        <v>19256.25</v>
      </c>
    </row>
    <row r="53" spans="1:23" x14ac:dyDescent="0.3">
      <c r="A53" s="91" t="s">
        <v>343</v>
      </c>
      <c r="B53" s="48" t="s">
        <v>360</v>
      </c>
      <c r="C53" s="48" t="s">
        <v>378</v>
      </c>
      <c r="D53" s="48" t="s">
        <v>379</v>
      </c>
      <c r="E53" s="1" t="s">
        <v>283</v>
      </c>
      <c r="F53" s="1" t="s">
        <v>102</v>
      </c>
      <c r="G53" s="2186">
        <v>2</v>
      </c>
      <c r="H53" s="2186">
        <f>VLOOKUP(G53,Pesos!A:B,2,0)</f>
        <v>0.8</v>
      </c>
      <c r="J53" s="48" t="s">
        <v>305</v>
      </c>
      <c r="K53" s="20">
        <v>4</v>
      </c>
      <c r="L53" s="48">
        <v>7</v>
      </c>
      <c r="M53" s="1">
        <v>2</v>
      </c>
      <c r="N53" s="1" t="s">
        <v>24</v>
      </c>
      <c r="O53" s="48">
        <v>2</v>
      </c>
      <c r="S53" s="48">
        <v>1</v>
      </c>
      <c r="T53" s="5">
        <v>12600</v>
      </c>
      <c r="U53" s="24">
        <v>0.6</v>
      </c>
      <c r="V53" s="57">
        <f t="shared" si="6"/>
        <v>5040</v>
      </c>
      <c r="W53" s="57">
        <f t="shared" si="7"/>
        <v>10080</v>
      </c>
    </row>
    <row r="54" spans="1:23" x14ac:dyDescent="0.3">
      <c r="A54" s="91" t="s">
        <v>343</v>
      </c>
      <c r="B54" s="48" t="s">
        <v>360</v>
      </c>
      <c r="C54" s="48" t="s">
        <v>378</v>
      </c>
      <c r="D54" s="48" t="s">
        <v>379</v>
      </c>
      <c r="E54" s="1" t="s">
        <v>111</v>
      </c>
      <c r="F54" s="1" t="s">
        <v>284</v>
      </c>
      <c r="G54" s="2186">
        <v>3</v>
      </c>
      <c r="H54" s="2186">
        <f>VLOOKUP(G54,Pesos!A:B,2,0)</f>
        <v>0.7</v>
      </c>
      <c r="J54" s="48" t="s">
        <v>305</v>
      </c>
      <c r="K54" s="20">
        <v>63</v>
      </c>
      <c r="L54" s="48">
        <v>63</v>
      </c>
      <c r="M54" s="1">
        <v>1</v>
      </c>
      <c r="N54" s="1" t="s">
        <v>22</v>
      </c>
      <c r="P54" s="48">
        <v>63</v>
      </c>
      <c r="S54" s="48">
        <v>1</v>
      </c>
      <c r="T54" s="5">
        <v>90935.46</v>
      </c>
      <c r="U54" s="24">
        <v>0.43</v>
      </c>
      <c r="V54" s="57">
        <f t="shared" si="6"/>
        <v>51833.212200000009</v>
      </c>
      <c r="W54" s="57">
        <f t="shared" si="7"/>
        <v>51833.212200000009</v>
      </c>
    </row>
    <row r="55" spans="1:23" x14ac:dyDescent="0.3">
      <c r="A55" s="91" t="s">
        <v>343</v>
      </c>
      <c r="B55" s="48" t="s">
        <v>360</v>
      </c>
      <c r="C55" s="48" t="s">
        <v>378</v>
      </c>
      <c r="D55" s="48" t="s">
        <v>379</v>
      </c>
      <c r="E55" s="1" t="s">
        <v>286</v>
      </c>
      <c r="F55" s="1" t="s">
        <v>68</v>
      </c>
      <c r="G55" s="2186">
        <v>5</v>
      </c>
      <c r="H55" s="2186">
        <f>VLOOKUP(G55,Pesos!A:B,2,0)</f>
        <v>0.5</v>
      </c>
      <c r="I55" s="48" t="s">
        <v>305</v>
      </c>
      <c r="K55" s="20">
        <v>10</v>
      </c>
      <c r="L55" s="48">
        <v>20</v>
      </c>
      <c r="M55" s="1">
        <v>25</v>
      </c>
      <c r="N55" s="1" t="s">
        <v>24</v>
      </c>
      <c r="O55" s="48">
        <v>25</v>
      </c>
      <c r="S55" s="48">
        <v>1</v>
      </c>
      <c r="T55" s="5">
        <v>10350</v>
      </c>
      <c r="U55" s="24">
        <v>0.8</v>
      </c>
      <c r="V55" s="57">
        <f t="shared" si="6"/>
        <v>2069.9999999999995</v>
      </c>
      <c r="W55" s="57">
        <f t="shared" si="7"/>
        <v>51749.999999999985</v>
      </c>
    </row>
    <row r="56" spans="1:23" x14ac:dyDescent="0.3">
      <c r="A56" s="91" t="s">
        <v>343</v>
      </c>
      <c r="B56" s="48" t="s">
        <v>360</v>
      </c>
      <c r="C56" s="48" t="s">
        <v>378</v>
      </c>
      <c r="D56" s="48" t="s">
        <v>379</v>
      </c>
      <c r="E56" s="1" t="s">
        <v>280</v>
      </c>
      <c r="F56" s="1" t="s">
        <v>252</v>
      </c>
      <c r="G56" s="2186">
        <v>7</v>
      </c>
      <c r="H56" s="2186">
        <f>VLOOKUP(G56,Pesos!A:B,2,0)</f>
        <v>0.3</v>
      </c>
      <c r="I56" s="48" t="s">
        <v>305</v>
      </c>
      <c r="K56" s="48">
        <v>1</v>
      </c>
      <c r="L56" s="48">
        <v>2</v>
      </c>
      <c r="M56" s="1">
        <v>2</v>
      </c>
      <c r="N56" s="1" t="s">
        <v>24</v>
      </c>
      <c r="O56" s="48">
        <v>2</v>
      </c>
      <c r="S56" s="48">
        <v>1</v>
      </c>
      <c r="T56" s="5">
        <v>19000</v>
      </c>
      <c r="U56" s="24">
        <v>0.45</v>
      </c>
      <c r="V56" s="57">
        <f t="shared" si="6"/>
        <v>10450</v>
      </c>
      <c r="W56" s="57">
        <f t="shared" si="7"/>
        <v>20900</v>
      </c>
    </row>
    <row r="57" spans="1:23" x14ac:dyDescent="0.3">
      <c r="O57" s="2179"/>
      <c r="P57" s="2179"/>
      <c r="Q57" s="2179"/>
      <c r="R57" s="2179"/>
      <c r="S57" s="2179"/>
    </row>
    <row r="58" spans="1:23" x14ac:dyDescent="0.3">
      <c r="O58" s="2179"/>
      <c r="P58" s="2179"/>
      <c r="Q58" s="2179"/>
      <c r="R58" s="2179"/>
      <c r="S58" s="2179"/>
    </row>
    <row r="59" spans="1:23" x14ac:dyDescent="0.3">
      <c r="O59" s="2179"/>
      <c r="P59" s="2179"/>
      <c r="Q59" s="2179"/>
      <c r="R59" s="2179"/>
      <c r="S59" s="2179"/>
    </row>
    <row r="60" spans="1:23" x14ac:dyDescent="0.3">
      <c r="O60" s="2179"/>
      <c r="P60" s="2179"/>
      <c r="Q60" s="2179"/>
      <c r="R60" s="2179"/>
      <c r="S60" s="2179"/>
    </row>
    <row r="61" spans="1:23" x14ac:dyDescent="0.3">
      <c r="B61" s="43" t="s">
        <v>1158</v>
      </c>
      <c r="C61" s="43" t="s">
        <v>1159</v>
      </c>
      <c r="D61" s="43" t="s">
        <v>1160</v>
      </c>
      <c r="E61" s="47"/>
      <c r="O61" s="2180"/>
      <c r="P61" s="2180"/>
      <c r="Q61" s="2180"/>
      <c r="R61" s="2178"/>
    </row>
    <row r="62" spans="1:23" x14ac:dyDescent="0.3">
      <c r="A62" s="47" t="s">
        <v>1161</v>
      </c>
      <c r="B62" s="2208">
        <f>C62*(1-20%)</f>
        <v>4208</v>
      </c>
      <c r="C62" s="2208">
        <v>5260</v>
      </c>
      <c r="D62" s="2208">
        <f>C62*(1+5%)</f>
        <v>5523</v>
      </c>
    </row>
    <row r="63" spans="1:23" x14ac:dyDescent="0.3">
      <c r="A63" s="47" t="s">
        <v>1162</v>
      </c>
      <c r="B63" s="2208">
        <f t="shared" ref="B63:B65" si="8">C63*(1-20%)</f>
        <v>3360</v>
      </c>
      <c r="C63" s="2208">
        <v>4200</v>
      </c>
      <c r="D63" s="2208">
        <f t="shared" ref="D63:D65" si="9">C63*(1+5%)</f>
        <v>4410</v>
      </c>
    </row>
    <row r="64" spans="1:23" x14ac:dyDescent="0.3">
      <c r="A64" s="47" t="s">
        <v>550</v>
      </c>
      <c r="B64" s="2208">
        <f t="shared" si="8"/>
        <v>6960</v>
      </c>
      <c r="C64" s="2208">
        <v>8700</v>
      </c>
      <c r="D64" s="2208">
        <f t="shared" si="9"/>
        <v>9135</v>
      </c>
    </row>
    <row r="65" spans="1:5" x14ac:dyDescent="0.3">
      <c r="A65" s="47" t="s">
        <v>679</v>
      </c>
      <c r="B65" s="2208">
        <f t="shared" si="8"/>
        <v>2960</v>
      </c>
      <c r="C65" s="2208">
        <v>3700</v>
      </c>
      <c r="D65" s="2208">
        <f t="shared" si="9"/>
        <v>3885</v>
      </c>
    </row>
    <row r="66" spans="1:5" x14ac:dyDescent="0.3">
      <c r="B66" s="2208"/>
      <c r="C66" s="2208"/>
      <c r="D66" s="2208"/>
    </row>
    <row r="68" spans="1:5" x14ac:dyDescent="0.3">
      <c r="B68" s="43" t="s">
        <v>1163</v>
      </c>
      <c r="C68" s="43"/>
      <c r="D68" s="43"/>
      <c r="E68" s="43"/>
    </row>
    <row r="69" spans="1:5" x14ac:dyDescent="0.3">
      <c r="A69" s="47" t="s">
        <v>1161</v>
      </c>
      <c r="B69" s="2175">
        <v>0.3</v>
      </c>
      <c r="C69" s="2175">
        <v>0.5</v>
      </c>
      <c r="D69" s="2175">
        <v>0.2</v>
      </c>
      <c r="E69" s="2175"/>
    </row>
    <row r="70" spans="1:5" x14ac:dyDescent="0.3">
      <c r="A70" s="47" t="s">
        <v>1162</v>
      </c>
      <c r="B70" s="2175">
        <v>0.45</v>
      </c>
      <c r="C70" s="2175">
        <v>0.3</v>
      </c>
      <c r="D70" s="2175">
        <v>0.25</v>
      </c>
      <c r="E70" s="2175"/>
    </row>
    <row r="71" spans="1:5" x14ac:dyDescent="0.3">
      <c r="A71" s="47" t="s">
        <v>550</v>
      </c>
      <c r="B71" s="2175">
        <v>0.45</v>
      </c>
      <c r="C71" s="2175">
        <v>0.5</v>
      </c>
      <c r="D71" s="2175">
        <v>0.05</v>
      </c>
      <c r="E71" s="2175"/>
    </row>
    <row r="72" spans="1:5" x14ac:dyDescent="0.3">
      <c r="A72" s="47" t="s">
        <v>679</v>
      </c>
      <c r="B72" s="2175">
        <v>0.5</v>
      </c>
      <c r="C72" s="2175">
        <v>0.4</v>
      </c>
      <c r="D72" s="2175">
        <v>0.1</v>
      </c>
    </row>
    <row r="77" spans="1:5" x14ac:dyDescent="0.3">
      <c r="B77" s="43" t="s">
        <v>1164</v>
      </c>
      <c r="C77" s="43"/>
      <c r="D77" s="43"/>
      <c r="E77" s="43"/>
    </row>
    <row r="78" spans="1:5" x14ac:dyDescent="0.3">
      <c r="A78" s="47" t="s">
        <v>1161</v>
      </c>
      <c r="B78" s="2175">
        <v>0.1990521327014218</v>
      </c>
      <c r="C78" s="2175">
        <v>0.48341232227488151</v>
      </c>
      <c r="D78" s="2175">
        <v>0.16587677725118483</v>
      </c>
      <c r="E78" s="2175">
        <v>0.15165876777251186</v>
      </c>
    </row>
    <row r="79" spans="1:5" x14ac:dyDescent="0.3">
      <c r="A79" s="47" t="s">
        <v>1162</v>
      </c>
      <c r="B79" s="6">
        <v>0.21003134796238246</v>
      </c>
      <c r="C79" s="6">
        <v>0.39811912225705332</v>
      </c>
      <c r="D79" s="6">
        <v>0.20062695924764889</v>
      </c>
      <c r="E79" s="6">
        <v>0.19122257053291536</v>
      </c>
    </row>
    <row r="80" spans="1:5" x14ac:dyDescent="0.3">
      <c r="A80" s="47" t="s">
        <v>550</v>
      </c>
      <c r="B80" s="2175">
        <v>0.32500000000000001</v>
      </c>
      <c r="C80" s="2175">
        <v>0.40833333333333333</v>
      </c>
      <c r="D80" s="2175">
        <v>0.26666666666666666</v>
      </c>
      <c r="E80" s="2175"/>
    </row>
    <row r="81" spans="1:4" x14ac:dyDescent="0.3">
      <c r="A81" s="47" t="s">
        <v>679</v>
      </c>
      <c r="B81" s="2175">
        <v>0.25</v>
      </c>
      <c r="C81" s="2175">
        <v>0.55084745762711862</v>
      </c>
      <c r="D81" s="2175">
        <v>0.19915254237288135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BELEM</vt:lpstr>
      <vt:lpstr>Pesos</vt:lpstr>
      <vt:lpstr>BELEM PLAN</vt:lpstr>
      <vt:lpstr>BOA VISTA</vt:lpstr>
      <vt:lpstr>BOA VISTA PLAN</vt:lpstr>
      <vt:lpstr>MACAPA</vt:lpstr>
      <vt:lpstr>MACAPA PLAN</vt:lpstr>
      <vt:lpstr>MANAUS</vt:lpstr>
      <vt:lpstr>MANAUS PLAN</vt:lpstr>
      <vt:lpstr>PALMAS</vt:lpstr>
      <vt:lpstr>PALMAS PLAN</vt:lpstr>
      <vt:lpstr>PORTO VELHO</vt:lpstr>
      <vt:lpstr>PORTO VELHO PLAN</vt:lpstr>
      <vt:lpstr>RIO BRANCO</vt:lpstr>
      <vt:lpstr>RIO BRANCO PLAN</vt:lpstr>
      <vt:lpstr>VITORIA</vt:lpstr>
      <vt:lpstr>VITORIA PLAN</vt:lpstr>
      <vt:lpstr>SAO PAULO</vt:lpstr>
      <vt:lpstr>SAO PAULO PLAN</vt:lpstr>
      <vt:lpstr>BELO HORIZONTE</vt:lpstr>
      <vt:lpstr>B.HORIZONTE PLAN</vt:lpstr>
      <vt:lpstr>RIO DE JANEIRO</vt:lpstr>
      <vt:lpstr>RIO PLAN</vt:lpstr>
      <vt:lpstr>RIO DE JANEIRO_SEMPRATA</vt:lpstr>
      <vt:lpstr>BRASILIA</vt:lpstr>
      <vt:lpstr>BRASILIA PLAN</vt:lpstr>
      <vt:lpstr>CAMPO GRANDE</vt:lpstr>
      <vt:lpstr>C.GRANDE PLAN</vt:lpstr>
      <vt:lpstr>GOIANIA</vt:lpstr>
      <vt:lpstr>GOIANIA PLAN</vt:lpstr>
      <vt:lpstr>CUIABA</vt:lpstr>
      <vt:lpstr>CUIABÁ PLAN</vt:lpstr>
      <vt:lpstr>FLORIANOPOLIS</vt:lpstr>
      <vt:lpstr>FLORIPA PLAN</vt:lpstr>
      <vt:lpstr>CURITIBA </vt:lpstr>
      <vt:lpstr>CURITIBA PLAN</vt:lpstr>
      <vt:lpstr>PORTO ALEGRE</vt:lpstr>
      <vt:lpstr>POA PLAN</vt:lpstr>
      <vt:lpstr>ARACAJU</vt:lpstr>
      <vt:lpstr>ARACAJU PLAN</vt:lpstr>
      <vt:lpstr>MACEIO </vt:lpstr>
      <vt:lpstr>MACEIO PLAN</vt:lpstr>
      <vt:lpstr>NATAL</vt:lpstr>
      <vt:lpstr>NATAL PLAN</vt:lpstr>
      <vt:lpstr>TERESINA</vt:lpstr>
      <vt:lpstr>TERESINA PLAN</vt:lpstr>
      <vt:lpstr>SAO LUIS</vt:lpstr>
      <vt:lpstr>SAO LUIS PLAN</vt:lpstr>
      <vt:lpstr>JOAO PESSOA</vt:lpstr>
      <vt:lpstr>JOAO PESSOA PLAN</vt:lpstr>
      <vt:lpstr>RECIFE</vt:lpstr>
      <vt:lpstr>RECIFE PLAN</vt:lpstr>
      <vt:lpstr>FORTALEZA</vt:lpstr>
      <vt:lpstr>FORTALEZA PLAN</vt:lpstr>
      <vt:lpstr>SALVADOR</vt:lpstr>
      <vt:lpstr>SALVADOR PLAN</vt:lpstr>
    </vt:vector>
  </TitlesOfParts>
  <Manager/>
  <Company>Omnicom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Mayara Veiga Lima Ghuidotte (Almap BBDO)</dc:creator>
  <cp:keywords/>
  <dc:description/>
  <cp:lastModifiedBy>Ton Maciel</cp:lastModifiedBy>
  <cp:revision/>
  <dcterms:created xsi:type="dcterms:W3CDTF">2025-07-29T19:15:29Z</dcterms:created>
  <dcterms:modified xsi:type="dcterms:W3CDTF">2026-02-12T21:11:28Z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2025-07-29T19:20:07Z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10d768c4-8b0b-47be-826b-12e2ffa35d80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  <property fmtid="{D5CDD505-2E9C-101B-9397-08002B2CF9AE}" pid="10" name="AverageOTS" linkTarget="prop_AverageOTS">
    <vt:lpwstr>#REF!</vt:lpwstr>
  </property>
  <property fmtid="{D5CDD505-2E9C-101B-9397-08002B2CF9AE}" pid="11" name="Campaign" linkTarget="prop_Campaign">
    <vt:lpwstr>#REF!</vt:lpwstr>
  </property>
  <property fmtid="{D5CDD505-2E9C-101B-9397-08002B2CF9AE}" pid="12" name="Client" linkTarget="prop_Client">
    <vt:lpwstr>#REF!</vt:lpwstr>
  </property>
  <property fmtid="{D5CDD505-2E9C-101B-9397-08002B2CF9AE}" pid="13" name="ClientDivision" linkTarget="prop_ClientDivision">
    <vt:lpwstr>#REF!</vt:lpwstr>
  </property>
  <property fmtid="{D5CDD505-2E9C-101B-9397-08002B2CF9AE}" pid="14" name="Country" linkTarget="prop_Country">
    <vt:lpwstr>#REF!</vt:lpwstr>
  </property>
  <property fmtid="{D5CDD505-2E9C-101B-9397-08002B2CF9AE}" pid="15" name="Currency" linkTarget="prop_Currency">
    <vt:lpwstr>#REF!</vt:lpwstr>
  </property>
  <property fmtid="{D5CDD505-2E9C-101B-9397-08002B2CF9AE}" pid="16" name="Date" linkTarget="prop_Date">
    <vt:lpwstr>#REF!</vt:lpwstr>
  </property>
  <property fmtid="{D5CDD505-2E9C-101B-9397-08002B2CF9AE}" pid="17" name="ExchangeRate" linkTarget="prop_ExchangeRate">
    <vt:lpwstr>#REF!</vt:lpwstr>
  </property>
  <property fmtid="{D5CDD505-2E9C-101B-9397-08002B2CF9AE}" pid="18" name="IndirectExchangeRate" linkTarget="prop_IndirectExchangeRate">
    <vt:lpwstr>#REF!</vt:lpwstr>
  </property>
  <property fmtid="{D5CDD505-2E9C-101B-9397-08002B2CF9AE}" pid="19" name="MediaBuyingTarget" linkTarget="prop_MediaBuyingTarget">
    <vt:lpwstr>#REF!</vt:lpwstr>
  </property>
  <property fmtid="{D5CDD505-2E9C-101B-9397-08002B2CF9AE}" pid="20" name="MediaType" linkTarget="prop_MediaType">
    <vt:lpwstr>#REF!</vt:lpwstr>
  </property>
  <property fmtid="{D5CDD505-2E9C-101B-9397-08002B2CF9AE}" pid="21" name="PercentageCover" linkTarget="prop_PercentageCover">
    <vt:lpwstr>#REF!</vt:lpwstr>
  </property>
  <property fmtid="{D5CDD505-2E9C-101B-9397-08002B2CF9AE}" pid="22" name="PlanNumber" linkTarget="prop_PlanNumber">
    <vt:lpwstr>#REF!</vt:lpwstr>
  </property>
  <property fmtid="{D5CDD505-2E9C-101B-9397-08002B2CF9AE}" pid="23" name="ProductArea" linkTarget="prop_ProductArea">
    <vt:lpwstr>#REF!</vt:lpwstr>
  </property>
  <property fmtid="{D5CDD505-2E9C-101B-9397-08002B2CF9AE}" pid="24" name="Quotation" linkTarget="prop_Quotation">
    <vt:lpwstr>#REF!</vt:lpwstr>
  </property>
  <property fmtid="{D5CDD505-2E9C-101B-9397-08002B2CF9AE}" pid="25" name="Source" linkTarget="prop_Source">
    <vt:lpwstr>#REF!</vt:lpwstr>
  </property>
  <property fmtid="{D5CDD505-2E9C-101B-9397-08002B2CF9AE}" pid="26" name="UniverseSize" linkTarget="prop_UniverseSize">
    <vt:lpwstr>#REF!</vt:lpwstr>
  </property>
  <property fmtid="{D5CDD505-2E9C-101B-9397-08002B2CF9AE}" pid="27" name="Year" linkTarget="prop_Year">
    <vt:lpwstr>#REF!</vt:lpwstr>
  </property>
</Properties>
</file>